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Сергей\Desktop\Новая папка\"/>
    </mc:Choice>
  </mc:AlternateContent>
  <bookViews>
    <workbookView xWindow="0" yWindow="0" windowWidth="28800" windowHeight="12330" tabRatio="885" firstSheet="18" activeTab="18"/>
  </bookViews>
  <sheets>
    <sheet name="Step by step" sheetId="11" state="hidden" r:id="rId1"/>
    <sheet name="занимат матем" sheetId="21" state="hidden" r:id="rId2"/>
    <sheet name="капелька" sheetId="15" state="hidden" r:id="rId3"/>
    <sheet name="богатырь" sheetId="16" state="hidden" r:id="rId4"/>
    <sheet name="джунгли зовут" sheetId="17" state="hidden" r:id="rId5"/>
    <sheet name="Тиммоко" sheetId="23" state="hidden" r:id="rId6"/>
    <sheet name="Эстет.занятие по хореографии" sheetId="26" state="hidden" r:id="rId7"/>
    <sheet name="дельфиненок в бассейне" sheetId="18" state="hidden" r:id="rId8"/>
    <sheet name="&quot;День именинника&quot; " sheetId="19" state="hidden" r:id="rId9"/>
    <sheet name="Мини-футбол" sheetId="27" state="hidden" r:id="rId10"/>
    <sheet name="Мир ЛЕГО" sheetId="22" state="hidden" r:id="rId11"/>
    <sheet name="Компьютерная азбука" sheetId="14" state="hidden" r:id="rId12"/>
    <sheet name="Веселые ладошки" sheetId="31" state="hidden" r:id="rId13"/>
    <sheet name="Занимательная логика" sheetId="32" state="hidden" r:id="rId14"/>
    <sheet name="Юный Эйнштейн" sheetId="33" state="hidden" r:id="rId15"/>
    <sheet name="Юный гончар" sheetId="34" state="hidden" r:id="rId16"/>
    <sheet name="СИРС" sheetId="35" state="hidden" r:id="rId17"/>
    <sheet name="Дельфин" sheetId="39" state="hidden" r:id="rId18"/>
    <sheet name="Капитошка 2021" sheetId="40" r:id="rId19"/>
    <sheet name="АБВГДейка" sheetId="37" state="hidden" r:id="rId20"/>
    <sheet name="Сказочная рыбка" sheetId="36" state="hidden" r:id="rId21"/>
    <sheet name="Звукарик" sheetId="29" state="hidden" r:id="rId22"/>
    <sheet name="Тхэквандо ВТФ" sheetId="24" state="hidden" r:id="rId23"/>
    <sheet name="игры с тимокко" sheetId="20" state="hidden" r:id="rId24"/>
    <sheet name="расчет договоров на 2-е полугод" sheetId="25" state="hidden" r:id="rId25"/>
    <sheet name="расчет договоров нв 1 полугодие" sheetId="30" state="hidden" r:id="rId26"/>
    <sheet name="Расчет для контрактов" sheetId="38" state="hidden" r:id="rId27"/>
  </sheets>
  <definedNames>
    <definedName name="_xlnm.Print_Area" localSheetId="8">'"День именинника" '!$A$1:$BF$156</definedName>
    <definedName name="_xlnm.Print_Area" localSheetId="0">'Step by step'!$A$1:$BD$159</definedName>
    <definedName name="_xlnm.Print_Area" localSheetId="19">АБВГДейка!$A$1:$BD$161</definedName>
    <definedName name="_xlnm.Print_Area" localSheetId="3">богатырь!$A$1:$BC$158</definedName>
    <definedName name="_xlnm.Print_Area" localSheetId="12">'Веселые ладошки'!$A$1:$BC$162</definedName>
    <definedName name="_xlnm.Print_Area" localSheetId="17">Дельфин!$A$1:$BC$142</definedName>
    <definedName name="_xlnm.Print_Area" localSheetId="7">'дельфиненок в бассейне'!$A$1:$BC$142</definedName>
    <definedName name="_xlnm.Print_Area" localSheetId="4">'джунгли зовут'!$A$1:$BC$158</definedName>
    <definedName name="_xlnm.Print_Area" localSheetId="1">'занимат матем'!$A$1:$BD$159</definedName>
    <definedName name="_xlnm.Print_Area" localSheetId="13">'Занимательная логика'!$A$1:$BC$157</definedName>
    <definedName name="_xlnm.Print_Area" localSheetId="21">Звукарик!$A$1:$BD$158</definedName>
    <definedName name="_xlnm.Print_Area" localSheetId="23">'игры с тимокко'!$A$1:$BE$157</definedName>
    <definedName name="_xlnm.Print_Area" localSheetId="2">капелька!$A$1:$BD$164</definedName>
    <definedName name="_xlnm.Print_Area" localSheetId="18">'Капитошка 2021'!$A$1:$BC$142</definedName>
    <definedName name="_xlnm.Print_Area" localSheetId="11">'Компьютерная азбука'!$A$1:$BC$157</definedName>
    <definedName name="_xlnm.Print_Area" localSheetId="9">'Мини-футбол'!$A$1:$BD$157</definedName>
    <definedName name="_xlnm.Print_Area" localSheetId="10">'Мир ЛЕГО'!$A$1:$BC$156</definedName>
    <definedName name="_xlnm.Print_Area" localSheetId="16">СИРС!$A$1:$BC$153</definedName>
    <definedName name="_xlnm.Print_Area" localSheetId="20">'Сказочная рыбка'!$A$1:$BC$158</definedName>
    <definedName name="_xlnm.Print_Area" localSheetId="5">Тиммоко!$A$1:$BC$158</definedName>
    <definedName name="_xlnm.Print_Area" localSheetId="22">'Тхэквандо ВТФ'!$A$1:$BC$157</definedName>
    <definedName name="_xlnm.Print_Area" localSheetId="6">'Эстет.занятие по хореографии'!$A$1:$BD$155</definedName>
    <definedName name="_xlnm.Print_Area" localSheetId="15">'Юный гончар'!$A$1:$BC$157</definedName>
    <definedName name="_xlnm.Print_Area" localSheetId="14">'Юный Эйнштейн'!$A$1:$BC$156</definedName>
  </definedNames>
  <calcPr calcId="162913"/>
</workbook>
</file>

<file path=xl/calcChain.xml><?xml version="1.0" encoding="utf-8"?>
<calcChain xmlns="http://schemas.openxmlformats.org/spreadsheetml/2006/main">
  <c r="BI216" i="40" l="1"/>
  <c r="BI217" i="40" s="1"/>
  <c r="BI219" i="40" s="1"/>
  <c r="BI209" i="40"/>
  <c r="BI210" i="40" s="1"/>
  <c r="BI212" i="40" s="1"/>
  <c r="BI197" i="40"/>
  <c r="BI198" i="40" s="1"/>
  <c r="BI189" i="40"/>
  <c r="BI190" i="40" s="1"/>
  <c r="BI182" i="40"/>
  <c r="BI183" i="40" s="1"/>
  <c r="BI174" i="40"/>
  <c r="BI175" i="40" s="1"/>
  <c r="BI177" i="40" s="1"/>
  <c r="BG139" i="40"/>
  <c r="Z129" i="40"/>
  <c r="Z135" i="40" s="1"/>
  <c r="V129" i="40"/>
  <c r="V135" i="40" s="1"/>
  <c r="R129" i="40"/>
  <c r="R135" i="40" s="1"/>
  <c r="AG116" i="40"/>
  <c r="AU120" i="40" s="1"/>
  <c r="AA116" i="40"/>
  <c r="AA122" i="40" s="1"/>
  <c r="AA110" i="40"/>
  <c r="AG101" i="40"/>
  <c r="AG110" i="40" s="1"/>
  <c r="AE95" i="40"/>
  <c r="X95" i="40"/>
  <c r="Q95" i="40"/>
  <c r="AV94" i="40"/>
  <c r="AV93" i="40"/>
  <c r="AV92" i="40"/>
  <c r="AV91" i="40"/>
  <c r="R76" i="40"/>
  <c r="AC75" i="40" s="1"/>
  <c r="AN75" i="40" s="1"/>
  <c r="AX75" i="40" s="1"/>
  <c r="Z75" i="40"/>
  <c r="R71" i="40"/>
  <c r="AC70" i="40" s="1"/>
  <c r="AN70" i="40" s="1"/>
  <c r="AX70" i="40" s="1"/>
  <c r="Z70" i="40"/>
  <c r="R66" i="40"/>
  <c r="AC65" i="40" s="1"/>
  <c r="AN65" i="40" s="1"/>
  <c r="AX65" i="40" s="1"/>
  <c r="Z65" i="40"/>
  <c r="AS60" i="40"/>
  <c r="AC60" i="40"/>
  <c r="AN60" i="40" s="1"/>
  <c r="AX60" i="40" s="1"/>
  <c r="AX80" i="40" s="1"/>
  <c r="Z60" i="40"/>
  <c r="AU118" i="40" l="1"/>
  <c r="AV95" i="40"/>
  <c r="H130" i="40" s="1"/>
  <c r="M130" i="40" s="1"/>
  <c r="BI192" i="40"/>
  <c r="BI191" i="40" s="1"/>
  <c r="AX81" i="40"/>
  <c r="AS81" i="40" s="1"/>
  <c r="AS80" i="40"/>
  <c r="AC43" i="40"/>
  <c r="AQ130" i="40"/>
  <c r="BI185" i="40"/>
  <c r="BI184" i="40" s="1"/>
  <c r="BI200" i="40"/>
  <c r="BI199" i="40" s="1"/>
  <c r="AU102" i="40"/>
  <c r="AU104" i="40"/>
  <c r="AU106" i="40"/>
  <c r="AU108" i="40"/>
  <c r="AU117" i="40"/>
  <c r="AU119" i="40"/>
  <c r="AU121" i="40"/>
  <c r="AG122" i="40"/>
  <c r="V133" i="40"/>
  <c r="V134" i="40"/>
  <c r="BI176" i="40"/>
  <c r="BI211" i="40"/>
  <c r="BI218" i="40"/>
  <c r="AU101" i="40"/>
  <c r="AU103" i="40"/>
  <c r="AU105" i="40"/>
  <c r="AU107" i="40"/>
  <c r="AU109" i="40"/>
  <c r="AU116" i="40"/>
  <c r="R133" i="40"/>
  <c r="Z133" i="40"/>
  <c r="R134" i="40"/>
  <c r="Z134" i="40"/>
  <c r="AC58" i="39"/>
  <c r="AU122" i="40" l="1"/>
  <c r="H132" i="40" s="1"/>
  <c r="BJ199" i="40"/>
  <c r="BJ200" i="40" s="1"/>
  <c r="BJ184" i="40"/>
  <c r="BJ191" i="40"/>
  <c r="BJ192" i="40" s="1"/>
  <c r="M132" i="40"/>
  <c r="AQ132" i="40"/>
  <c r="BJ218" i="40"/>
  <c r="BJ219" i="40" s="1"/>
  <c r="BO218" i="40"/>
  <c r="BO219" i="40" s="1"/>
  <c r="BJ176" i="40"/>
  <c r="BJ177" i="40" s="1"/>
  <c r="AT130" i="40"/>
  <c r="AW130" i="40"/>
  <c r="AU110" i="40"/>
  <c r="H131" i="40" s="1"/>
  <c r="BJ211" i="40"/>
  <c r="BJ212" i="40" s="1"/>
  <c r="AX53" i="40"/>
  <c r="AN43" i="40"/>
  <c r="AS53" i="40" s="1"/>
  <c r="BH366" i="39"/>
  <c r="BH367" i="39" s="1"/>
  <c r="BH359" i="39"/>
  <c r="BH360" i="39" s="1"/>
  <c r="BH362" i="39" s="1"/>
  <c r="BH352" i="39"/>
  <c r="BH353" i="39" s="1"/>
  <c r="BH355" i="39" s="1"/>
  <c r="BH344" i="39"/>
  <c r="BH345" i="39" s="1"/>
  <c r="BH347" i="39" s="1"/>
  <c r="BH337" i="39"/>
  <c r="BH338" i="39" s="1"/>
  <c r="BH340" i="39" s="1"/>
  <c r="BH331" i="39"/>
  <c r="BH332" i="39" s="1"/>
  <c r="BH334" i="39" s="1"/>
  <c r="BH322" i="39"/>
  <c r="BH323" i="39" s="1"/>
  <c r="BH325" i="39" s="1"/>
  <c r="BH315" i="39"/>
  <c r="BH316" i="39" s="1"/>
  <c r="BH318" i="39" s="1"/>
  <c r="BH307" i="39"/>
  <c r="BH308" i="39" s="1"/>
  <c r="BH310" i="39" s="1"/>
  <c r="BH299" i="39"/>
  <c r="BH300" i="39" s="1"/>
  <c r="BH302" i="39" s="1"/>
  <c r="BH291" i="39"/>
  <c r="BH292" i="39" s="1"/>
  <c r="BH294" i="39" s="1"/>
  <c r="BH284" i="39"/>
  <c r="BH285" i="39" s="1"/>
  <c r="BH287" i="39" s="1"/>
  <c r="BH277" i="39"/>
  <c r="BH278" i="39" s="1"/>
  <c r="BH280" i="39" s="1"/>
  <c r="BH270" i="39"/>
  <c r="BH271" i="39" s="1"/>
  <c r="BH273" i="39" s="1"/>
  <c r="BH262" i="39"/>
  <c r="BH263" i="39" s="1"/>
  <c r="BH265" i="39" s="1"/>
  <c r="BH255" i="39"/>
  <c r="BH256" i="39" s="1"/>
  <c r="BH258" i="39" s="1"/>
  <c r="BH244" i="39"/>
  <c r="BH245" i="39" s="1"/>
  <c r="BH247" i="39" s="1"/>
  <c r="BH237" i="39"/>
  <c r="BH238" i="39" s="1"/>
  <c r="BH229" i="39"/>
  <c r="BH230" i="39" s="1"/>
  <c r="BH232" i="39" s="1"/>
  <c r="BH222" i="39"/>
  <c r="BH223" i="39" s="1"/>
  <c r="BH225" i="39" s="1"/>
  <c r="BH215" i="39"/>
  <c r="BH216" i="39" s="1"/>
  <c r="BH210" i="39"/>
  <c r="BH211" i="39" s="1"/>
  <c r="BH213" i="39" s="1"/>
  <c r="BH203" i="39"/>
  <c r="BH204" i="39" s="1"/>
  <c r="BH206" i="39" s="1"/>
  <c r="BH196" i="39"/>
  <c r="BH197" i="39" s="1"/>
  <c r="BH199" i="39" s="1"/>
  <c r="BH189" i="39"/>
  <c r="BH190" i="39" s="1"/>
  <c r="BH192" i="39" s="1"/>
  <c r="BH182" i="39"/>
  <c r="BH183" i="39" s="1"/>
  <c r="BH185" i="39" s="1"/>
  <c r="BH175" i="39"/>
  <c r="BH176" i="39" s="1"/>
  <c r="BH178" i="39" s="1"/>
  <c r="BH168" i="39"/>
  <c r="BH169" i="39" s="1"/>
  <c r="BH171" i="39" s="1"/>
  <c r="BH160" i="39"/>
  <c r="BH161" i="39" s="1"/>
  <c r="BH153" i="39"/>
  <c r="BH154" i="39" s="1"/>
  <c r="BH156" i="39" s="1"/>
  <c r="BH144" i="39"/>
  <c r="BH145" i="39" s="1"/>
  <c r="BH147" i="39" s="1"/>
  <c r="Z129" i="39"/>
  <c r="V129" i="39"/>
  <c r="V133" i="39" s="1"/>
  <c r="R129" i="39"/>
  <c r="AA122" i="39"/>
  <c r="AG116" i="39"/>
  <c r="AU121" i="39" s="1"/>
  <c r="AA110" i="39"/>
  <c r="AG88" i="39"/>
  <c r="AG110" i="39" s="1"/>
  <c r="AE82" i="39"/>
  <c r="X82" i="39"/>
  <c r="Q82" i="39"/>
  <c r="AV81" i="39"/>
  <c r="AV80" i="39"/>
  <c r="AV79" i="39"/>
  <c r="AV78" i="39"/>
  <c r="AC63" i="39"/>
  <c r="AN63" i="39" s="1"/>
  <c r="AX63" i="39" s="1"/>
  <c r="AS58" i="39"/>
  <c r="AN58" i="39"/>
  <c r="AX58" i="39" s="1"/>
  <c r="AX67" i="39" s="1"/>
  <c r="Z58" i="39"/>
  <c r="AX51" i="39"/>
  <c r="AU90" i="39" l="1"/>
  <c r="BO176" i="40"/>
  <c r="BO177" i="40" s="1"/>
  <c r="AX54" i="40"/>
  <c r="AS54" i="40" s="1"/>
  <c r="AC26" i="40"/>
  <c r="BX205" i="40"/>
  <c r="BJ185" i="40"/>
  <c r="BO211" i="40"/>
  <c r="BO212" i="40" s="1"/>
  <c r="AQ131" i="40"/>
  <c r="M131" i="40"/>
  <c r="AT132" i="40"/>
  <c r="AW132" i="40"/>
  <c r="BO191" i="40"/>
  <c r="BO192" i="40" s="1"/>
  <c r="BO184" i="40"/>
  <c r="BO185" i="40" s="1"/>
  <c r="BO199" i="40"/>
  <c r="BO200" i="40" s="1"/>
  <c r="AU119" i="39"/>
  <c r="AV82" i="39"/>
  <c r="H130" i="39" s="1"/>
  <c r="M130" i="39" s="1"/>
  <c r="AU130" i="39" s="1"/>
  <c r="AU99" i="39"/>
  <c r="V134" i="39"/>
  <c r="AC24" i="39"/>
  <c r="AU93" i="39"/>
  <c r="AU102" i="39"/>
  <c r="V135" i="39"/>
  <c r="BH301" i="39"/>
  <c r="BI301" i="39" s="1"/>
  <c r="BI302" i="39" s="1"/>
  <c r="BH317" i="39"/>
  <c r="BI317" i="39" s="1"/>
  <c r="CD317" i="39" s="1"/>
  <c r="AU95" i="39"/>
  <c r="AU105" i="39"/>
  <c r="BH272" i="39"/>
  <c r="BI272" i="39" s="1"/>
  <c r="BH286" i="39"/>
  <c r="BI286" i="39" s="1"/>
  <c r="CD286" i="39" s="1"/>
  <c r="AX52" i="39"/>
  <c r="AU88" i="39"/>
  <c r="AU97" i="39"/>
  <c r="AU107" i="39"/>
  <c r="BH257" i="39"/>
  <c r="BI257" i="39" s="1"/>
  <c r="CD257" i="39" s="1"/>
  <c r="AY130" i="39"/>
  <c r="AQ130" i="39"/>
  <c r="AC41" i="39"/>
  <c r="AN41" i="39" s="1"/>
  <c r="AS51" i="39" s="1"/>
  <c r="AS52" i="39" s="1"/>
  <c r="AX68" i="39"/>
  <c r="AS68" i="39" s="1"/>
  <c r="AS67" i="39"/>
  <c r="AU89" i="39"/>
  <c r="AU92" i="39"/>
  <c r="AU96" i="39"/>
  <c r="AU101" i="39"/>
  <c r="AU106" i="39"/>
  <c r="R135" i="39"/>
  <c r="R134" i="39"/>
  <c r="R133" i="39"/>
  <c r="BH170" i="39"/>
  <c r="BH198" i="39"/>
  <c r="BH224" i="39"/>
  <c r="BH264" i="39"/>
  <c r="BI273" i="39"/>
  <c r="BH293" i="39"/>
  <c r="BH324" i="39"/>
  <c r="BH339" i="39"/>
  <c r="BH354" i="39"/>
  <c r="BH369" i="39"/>
  <c r="BH368" i="39" s="1"/>
  <c r="AU118" i="39"/>
  <c r="AU120" i="39"/>
  <c r="AU116" i="39"/>
  <c r="BH146" i="39"/>
  <c r="BH163" i="39"/>
  <c r="BH162" i="39" s="1"/>
  <c r="BH177" i="39"/>
  <c r="BH205" i="39"/>
  <c r="BH218" i="39"/>
  <c r="BH217" i="39" s="1"/>
  <c r="BH231" i="39"/>
  <c r="BH246" i="39"/>
  <c r="CM286" i="39"/>
  <c r="BH191" i="39"/>
  <c r="AU108" i="39"/>
  <c r="AU104" i="39"/>
  <c r="AU100" i="39"/>
  <c r="AU91" i="39"/>
  <c r="BE91" i="39" s="1"/>
  <c r="AU94" i="39"/>
  <c r="AU98" i="39"/>
  <c r="AU103" i="39"/>
  <c r="AU109" i="39"/>
  <c r="AU117" i="39"/>
  <c r="AG122" i="39"/>
  <c r="Z135" i="39"/>
  <c r="Z134" i="39"/>
  <c r="Z133" i="39"/>
  <c r="BH155" i="39"/>
  <c r="BH184" i="39"/>
  <c r="BH212" i="39"/>
  <c r="BH240" i="39"/>
  <c r="BH239" i="39" s="1"/>
  <c r="BN272" i="39"/>
  <c r="BN273" i="39" s="1"/>
  <c r="BH279" i="39"/>
  <c r="BI287" i="39"/>
  <c r="BH309" i="39"/>
  <c r="BI318" i="39"/>
  <c r="BH333" i="39"/>
  <c r="BH346" i="39"/>
  <c r="BH361" i="39"/>
  <c r="BH344" i="23"/>
  <c r="BH345" i="23" s="1"/>
  <c r="BH524" i="11"/>
  <c r="BH525" i="11" s="1"/>
  <c r="BH517" i="11"/>
  <c r="BH518" i="11" s="1"/>
  <c r="BH520" i="11" s="1"/>
  <c r="BH509" i="11"/>
  <c r="BH510" i="11" s="1"/>
  <c r="BH202" i="35"/>
  <c r="BH203" i="35" s="1"/>
  <c r="BF429" i="17"/>
  <c r="BF430" i="17" s="1"/>
  <c r="BE334" i="27"/>
  <c r="BE335" i="27" s="1"/>
  <c r="BH209" i="31"/>
  <c r="BH210" i="31" s="1"/>
  <c r="BN257" i="39" l="1"/>
  <c r="BN258" i="39" s="1"/>
  <c r="BN301" i="39"/>
  <c r="BN302" i="39" s="1"/>
  <c r="BI258" i="39"/>
  <c r="CM257" i="39"/>
  <c r="BN286" i="39"/>
  <c r="BN287" i="39" s="1"/>
  <c r="BN317" i="39"/>
  <c r="BN318" i="39" s="1"/>
  <c r="CM317" i="39"/>
  <c r="AX36" i="40"/>
  <c r="AN26" i="40"/>
  <c r="AS36" i="40" s="1"/>
  <c r="AO83" i="40" s="1"/>
  <c r="AW131" i="40"/>
  <c r="AT131" i="40"/>
  <c r="CD272" i="39"/>
  <c r="CM272" i="39"/>
  <c r="CD301" i="39"/>
  <c r="CM301" i="39"/>
  <c r="BI217" i="39"/>
  <c r="BI162" i="39"/>
  <c r="BI163" i="39" s="1"/>
  <c r="BI212" i="39"/>
  <c r="BI213" i="39" s="1"/>
  <c r="BI246" i="39"/>
  <c r="BI177" i="39"/>
  <c r="BI178" i="39" s="1"/>
  <c r="BI368" i="39"/>
  <c r="BI324" i="39"/>
  <c r="BN324" i="39" s="1"/>
  <c r="BN325" i="39" s="1"/>
  <c r="BI224" i="39"/>
  <c r="BI225" i="39" s="1"/>
  <c r="AU110" i="39"/>
  <c r="H131" i="39" s="1"/>
  <c r="BI361" i="39"/>
  <c r="BN361" i="39" s="1"/>
  <c r="BN362" i="39" s="1"/>
  <c r="BI309" i="39"/>
  <c r="BI184" i="39"/>
  <c r="BI185" i="39" s="1"/>
  <c r="BI231" i="39"/>
  <c r="BN231" i="39" s="1"/>
  <c r="BN232" i="39" s="1"/>
  <c r="BI198" i="39"/>
  <c r="BI199" i="39" s="1"/>
  <c r="AN24" i="39"/>
  <c r="AS34" i="39" s="1"/>
  <c r="AO70" i="39" s="1"/>
  <c r="AX34" i="39"/>
  <c r="BI279" i="39"/>
  <c r="BN279" i="39" s="1"/>
  <c r="BN280" i="39" s="1"/>
  <c r="BI191" i="39"/>
  <c r="BI192" i="39" s="1"/>
  <c r="BI346" i="39"/>
  <c r="BN346" i="39" s="1"/>
  <c r="BN347" i="39" s="1"/>
  <c r="BI155" i="39"/>
  <c r="BI156" i="39" s="1"/>
  <c r="BI146" i="39"/>
  <c r="BI147" i="39" s="1"/>
  <c r="BI239" i="39"/>
  <c r="BN239" i="39" s="1"/>
  <c r="BN240" i="39" s="1"/>
  <c r="BI354" i="39"/>
  <c r="BN354" i="39" s="1"/>
  <c r="BN355" i="39" s="1"/>
  <c r="BI264" i="39"/>
  <c r="BI170" i="39"/>
  <c r="BI171" i="39" s="1"/>
  <c r="BI333" i="39"/>
  <c r="BN333" i="39" s="1"/>
  <c r="BN334" i="39" s="1"/>
  <c r="BI205" i="39"/>
  <c r="BI206" i="39" s="1"/>
  <c r="AU122" i="39"/>
  <c r="H132" i="39" s="1"/>
  <c r="BI339" i="39"/>
  <c r="BN339" i="39" s="1"/>
  <c r="BN340" i="39" s="1"/>
  <c r="BI293" i="39"/>
  <c r="BH347" i="23"/>
  <c r="BH346" i="23" s="1"/>
  <c r="BH527" i="11"/>
  <c r="BH526" i="11" s="1"/>
  <c r="BH519" i="11"/>
  <c r="BH512" i="11"/>
  <c r="BH511" i="11" s="1"/>
  <c r="BH205" i="35"/>
  <c r="BH204" i="35" s="1"/>
  <c r="BF432" i="17"/>
  <c r="BF431" i="17" s="1"/>
  <c r="BE337" i="27"/>
  <c r="BE336" i="27" s="1"/>
  <c r="BH212" i="31"/>
  <c r="BH211" i="31" s="1"/>
  <c r="BH395" i="33"/>
  <c r="BH396" i="33" s="1"/>
  <c r="BN184" i="39" l="1"/>
  <c r="BN185" i="39" s="1"/>
  <c r="BN170" i="39"/>
  <c r="BN171" i="39" s="1"/>
  <c r="BN198" i="39"/>
  <c r="BN199" i="39" s="1"/>
  <c r="AV83" i="40"/>
  <c r="AX37" i="40"/>
  <c r="BN155" i="39"/>
  <c r="BN156" i="39" s="1"/>
  <c r="BN191" i="39"/>
  <c r="BN192" i="39" s="1"/>
  <c r="BN146" i="39"/>
  <c r="BN147" i="39" s="1"/>
  <c r="BI369" i="39"/>
  <c r="CM368" i="39"/>
  <c r="CD368" i="39"/>
  <c r="CM246" i="39"/>
  <c r="BI247" i="39"/>
  <c r="CD246" i="39"/>
  <c r="BI340" i="39"/>
  <c r="CM339" i="39"/>
  <c r="CD339" i="39"/>
  <c r="BN205" i="39"/>
  <c r="BN206" i="39" s="1"/>
  <c r="BI355" i="39"/>
  <c r="CM354" i="39"/>
  <c r="CD354" i="39"/>
  <c r="CM346" i="39"/>
  <c r="BI347" i="39"/>
  <c r="CD346" i="39"/>
  <c r="CM361" i="39"/>
  <c r="BI362" i="39"/>
  <c r="CD361" i="39"/>
  <c r="BN224" i="39"/>
  <c r="BN225" i="39" s="1"/>
  <c r="BN368" i="39"/>
  <c r="BN369" i="39" s="1"/>
  <c r="BN246" i="39"/>
  <c r="BN247" i="39" s="1"/>
  <c r="BN162" i="39"/>
  <c r="BN163" i="39" s="1"/>
  <c r="CD293" i="39"/>
  <c r="CM293" i="39"/>
  <c r="BI294" i="39"/>
  <c r="CD264" i="39"/>
  <c r="CM264" i="39"/>
  <c r="BI265" i="39"/>
  <c r="CD279" i="39"/>
  <c r="BI280" i="39"/>
  <c r="CM279" i="39"/>
  <c r="BI218" i="39"/>
  <c r="CD309" i="39"/>
  <c r="BI310" i="39"/>
  <c r="CM309" i="39"/>
  <c r="BN293" i="39"/>
  <c r="BN294" i="39" s="1"/>
  <c r="M132" i="39"/>
  <c r="AU132" i="39" s="1"/>
  <c r="AQ132" i="39"/>
  <c r="AY132" i="39"/>
  <c r="CM333" i="39"/>
  <c r="BI334" i="39"/>
  <c r="CD333" i="39"/>
  <c r="BN264" i="39"/>
  <c r="BN265" i="39" s="1"/>
  <c r="BI240" i="39"/>
  <c r="CM239" i="39"/>
  <c r="CD239" i="39"/>
  <c r="AV70" i="39"/>
  <c r="AX35" i="39"/>
  <c r="CM231" i="39"/>
  <c r="BI253" i="39" s="1"/>
  <c r="BI232" i="39"/>
  <c r="CD231" i="39"/>
  <c r="BN309" i="39"/>
  <c r="BN310" i="39" s="1"/>
  <c r="AY131" i="39"/>
  <c r="AQ131" i="39"/>
  <c r="M131" i="39"/>
  <c r="AU131" i="39" s="1"/>
  <c r="CD324" i="39"/>
  <c r="CM324" i="39"/>
  <c r="BI325" i="39"/>
  <c r="BN177" i="39"/>
  <c r="BN178" i="39" s="1"/>
  <c r="BN212" i="39"/>
  <c r="BN213" i="39" s="1"/>
  <c r="BN217" i="39"/>
  <c r="BN218" i="39" s="1"/>
  <c r="BI346" i="23"/>
  <c r="BI526" i="11"/>
  <c r="BI519" i="11"/>
  <c r="BI511" i="11"/>
  <c r="BI204" i="35"/>
  <c r="BG431" i="17"/>
  <c r="BF336" i="27"/>
  <c r="BI211" i="31"/>
  <c r="BN211" i="31" s="1"/>
  <c r="BN212" i="31" s="1"/>
  <c r="BH398" i="33"/>
  <c r="BH397" i="33" s="1"/>
  <c r="BH502" i="11"/>
  <c r="BH503" i="11" s="1"/>
  <c r="BH495" i="11"/>
  <c r="BH496" i="11" s="1"/>
  <c r="BH498" i="11" s="1"/>
  <c r="BH379" i="11"/>
  <c r="BH380" i="11" s="1"/>
  <c r="BH386" i="11"/>
  <c r="BH387" i="11" s="1"/>
  <c r="BH393" i="11"/>
  <c r="BH394" i="11" s="1"/>
  <c r="BH400" i="11"/>
  <c r="BH401" i="11" s="1"/>
  <c r="BH407" i="11"/>
  <c r="BH408" i="11" s="1"/>
  <c r="BH414" i="11"/>
  <c r="BH415" i="11" s="1"/>
  <c r="BH421" i="11"/>
  <c r="BH422" i="11" s="1"/>
  <c r="BH428" i="11"/>
  <c r="BH429" i="11" s="1"/>
  <c r="BH435" i="11"/>
  <c r="BH436" i="11" s="1"/>
  <c r="BH442" i="11"/>
  <c r="BH443" i="11" s="1"/>
  <c r="BH449" i="11"/>
  <c r="BH450" i="11" s="1"/>
  <c r="BH457" i="11"/>
  <c r="BH458" i="11" s="1"/>
  <c r="BH465" i="11"/>
  <c r="BH466" i="11" s="1"/>
  <c r="BH474" i="11"/>
  <c r="BH475" i="11" s="1"/>
  <c r="BH481" i="11"/>
  <c r="BH482" i="11" s="1"/>
  <c r="AV244" i="19"/>
  <c r="AV245" i="19" s="1"/>
  <c r="AV84" i="40" l="1"/>
  <c r="AV85" i="40" s="1"/>
  <c r="AS37" i="40"/>
  <c r="AO84" i="40" s="1"/>
  <c r="AO85" i="40" s="1"/>
  <c r="H129" i="40" s="1"/>
  <c r="CM329" i="39"/>
  <c r="AV71" i="39"/>
  <c r="AV72" i="39" s="1"/>
  <c r="AS35" i="39"/>
  <c r="AO71" i="39" s="1"/>
  <c r="AO72" i="39" s="1"/>
  <c r="H129" i="39" s="1"/>
  <c r="BI347" i="23"/>
  <c r="CK346" i="23"/>
  <c r="CE346" i="23"/>
  <c r="BN346" i="23"/>
  <c r="BN347" i="23" s="1"/>
  <c r="BI527" i="11"/>
  <c r="CM526" i="11"/>
  <c r="CE526" i="11"/>
  <c r="BN526" i="11"/>
  <c r="BN527" i="11" s="1"/>
  <c r="BI520" i="11"/>
  <c r="CM519" i="11"/>
  <c r="CE519" i="11"/>
  <c r="BN519" i="11"/>
  <c r="BN520" i="11" s="1"/>
  <c r="CE511" i="11"/>
  <c r="CM511" i="11"/>
  <c r="BI512" i="11"/>
  <c r="BN511" i="11"/>
  <c r="BN512" i="11" s="1"/>
  <c r="BI205" i="35"/>
  <c r="CM204" i="35"/>
  <c r="CE204" i="35"/>
  <c r="BN204" i="35"/>
  <c r="BN205" i="35" s="1"/>
  <c r="CD431" i="17"/>
  <c r="BG432" i="17"/>
  <c r="CN431" i="17"/>
  <c r="BL431" i="17"/>
  <c r="BL432" i="17" s="1"/>
  <c r="CB336" i="27"/>
  <c r="CH336" i="27"/>
  <c r="BF337" i="27"/>
  <c r="BK336" i="27"/>
  <c r="BK337" i="27" s="1"/>
  <c r="BI212" i="31"/>
  <c r="CM211" i="31"/>
  <c r="CE211" i="31"/>
  <c r="BI397" i="33"/>
  <c r="BN397" i="33" s="1"/>
  <c r="BN398" i="33" s="1"/>
  <c r="BH505" i="11"/>
  <c r="BH504" i="11" s="1"/>
  <c r="BH497" i="11"/>
  <c r="BH468" i="11"/>
  <c r="BH467" i="11" s="1"/>
  <c r="BH437" i="11"/>
  <c r="BH438" i="11"/>
  <c r="BH410" i="11"/>
  <c r="BH409" i="11" s="1"/>
  <c r="BH382" i="11"/>
  <c r="BH381" i="11" s="1"/>
  <c r="BH460" i="11"/>
  <c r="BH459" i="11" s="1"/>
  <c r="BH431" i="11"/>
  <c r="BH430" i="11" s="1"/>
  <c r="BH403" i="11"/>
  <c r="BH402" i="11" s="1"/>
  <c r="BH484" i="11"/>
  <c r="BH483" i="11" s="1"/>
  <c r="BH452" i="11"/>
  <c r="BH451" i="11" s="1"/>
  <c r="BH424" i="11"/>
  <c r="BH423" i="11" s="1"/>
  <c r="BH396" i="11"/>
  <c r="BH395" i="11" s="1"/>
  <c r="BH477" i="11"/>
  <c r="BH476" i="11" s="1"/>
  <c r="BH445" i="11"/>
  <c r="BH444" i="11" s="1"/>
  <c r="BH417" i="11"/>
  <c r="BH416" i="11" s="1"/>
  <c r="BH389" i="11"/>
  <c r="BH388" i="11" s="1"/>
  <c r="AV247" i="19"/>
  <c r="AV246" i="19" s="1"/>
  <c r="AV236" i="19"/>
  <c r="AV237" i="19" s="1"/>
  <c r="H133" i="40" l="1"/>
  <c r="AQ129" i="40"/>
  <c r="AQ133" i="40" s="1"/>
  <c r="M129" i="40"/>
  <c r="AQ129" i="39"/>
  <c r="AQ133" i="39" s="1"/>
  <c r="M129" i="39"/>
  <c r="H133" i="39"/>
  <c r="AY129" i="39"/>
  <c r="AY133" i="39" s="1"/>
  <c r="CE397" i="33"/>
  <c r="CM397" i="33"/>
  <c r="BI398" i="33"/>
  <c r="BI504" i="11"/>
  <c r="BI497" i="11"/>
  <c r="BI444" i="11"/>
  <c r="BI459" i="11"/>
  <c r="BN459" i="11" s="1"/>
  <c r="BN460" i="11" s="1"/>
  <c r="BI476" i="11"/>
  <c r="BI388" i="11"/>
  <c r="BN388" i="11" s="1"/>
  <c r="BN389" i="11" s="1"/>
  <c r="BI402" i="11"/>
  <c r="BI416" i="11"/>
  <c r="BN416" i="11" s="1"/>
  <c r="BN417" i="11" s="1"/>
  <c r="BI430" i="11"/>
  <c r="BI395" i="11"/>
  <c r="BN395" i="11" s="1"/>
  <c r="BN396" i="11" s="1"/>
  <c r="BI451" i="11"/>
  <c r="BI409" i="11"/>
  <c r="BN409" i="11" s="1"/>
  <c r="BN410" i="11" s="1"/>
  <c r="BI467" i="11"/>
  <c r="BI423" i="11"/>
  <c r="BN423" i="11" s="1"/>
  <c r="BN424" i="11" s="1"/>
  <c r="BI483" i="11"/>
  <c r="BN483" i="11" s="1"/>
  <c r="BN484" i="11" s="1"/>
  <c r="BI381" i="11"/>
  <c r="BN381" i="11" s="1"/>
  <c r="BN382" i="11" s="1"/>
  <c r="BI437" i="11"/>
  <c r="AW246" i="19"/>
  <c r="AV239" i="19"/>
  <c r="AV238" i="19" s="1"/>
  <c r="AV228" i="19"/>
  <c r="AV229" i="19" s="1"/>
  <c r="AV220" i="19"/>
  <c r="AV221" i="19" s="1"/>
  <c r="AQ134" i="40" l="1"/>
  <c r="AQ135" i="40" s="1"/>
  <c r="AW129" i="40"/>
  <c r="AW133" i="40" s="1"/>
  <c r="M133" i="40"/>
  <c r="AT129" i="40"/>
  <c r="AT133" i="40" s="1"/>
  <c r="AT134" i="40" s="1"/>
  <c r="AT135" i="40" s="1"/>
  <c r="H134" i="40"/>
  <c r="H135" i="40" s="1"/>
  <c r="H134" i="39"/>
  <c r="H135" i="39" s="1"/>
  <c r="AY134" i="39"/>
  <c r="AY135" i="39" s="1"/>
  <c r="M133" i="39"/>
  <c r="AU129" i="39"/>
  <c r="AU133" i="39" s="1"/>
  <c r="AQ134" i="39"/>
  <c r="AQ135" i="39" s="1"/>
  <c r="BI505" i="11"/>
  <c r="CM504" i="11"/>
  <c r="CE504" i="11"/>
  <c r="BN504" i="11"/>
  <c r="BN505" i="11" s="1"/>
  <c r="BI498" i="11"/>
  <c r="CM497" i="11"/>
  <c r="CE497" i="11"/>
  <c r="BN497" i="11"/>
  <c r="BN498" i="11" s="1"/>
  <c r="CE467" i="11"/>
  <c r="CM467" i="11"/>
  <c r="BI468" i="11"/>
  <c r="CE451" i="11"/>
  <c r="CM451" i="11"/>
  <c r="BI452" i="11"/>
  <c r="BI431" i="11"/>
  <c r="CE430" i="11"/>
  <c r="CM430" i="11"/>
  <c r="BI403" i="11"/>
  <c r="CE402" i="11"/>
  <c r="CM402" i="11"/>
  <c r="BI477" i="11"/>
  <c r="CE476" i="11"/>
  <c r="CM476" i="11"/>
  <c r="BI445" i="11"/>
  <c r="CE444" i="11"/>
  <c r="CM444" i="11"/>
  <c r="CE437" i="11"/>
  <c r="CM437" i="11"/>
  <c r="BI438" i="11"/>
  <c r="CE381" i="11"/>
  <c r="CM381" i="11"/>
  <c r="BI382" i="11"/>
  <c r="CE423" i="11"/>
  <c r="CM423" i="11"/>
  <c r="BI424" i="11"/>
  <c r="CE409" i="11"/>
  <c r="CM409" i="11"/>
  <c r="BI410" i="11"/>
  <c r="CE395" i="11"/>
  <c r="CM395" i="11"/>
  <c r="BI396" i="11"/>
  <c r="BI417" i="11"/>
  <c r="CE416" i="11"/>
  <c r="CM416" i="11"/>
  <c r="BI389" i="11"/>
  <c r="CE388" i="11"/>
  <c r="CM388" i="11"/>
  <c r="BI460" i="11"/>
  <c r="CE459" i="11"/>
  <c r="CM459" i="11"/>
  <c r="BN437" i="11"/>
  <c r="BN438" i="11" s="1"/>
  <c r="CE483" i="11"/>
  <c r="CM483" i="11"/>
  <c r="BI484" i="11"/>
  <c r="BN467" i="11"/>
  <c r="BN468" i="11" s="1"/>
  <c r="BN451" i="11"/>
  <c r="BN452" i="11" s="1"/>
  <c r="BN430" i="11"/>
  <c r="BN431" i="11" s="1"/>
  <c r="BN402" i="11"/>
  <c r="BN403" i="11" s="1"/>
  <c r="BN476" i="11"/>
  <c r="BN477" i="11" s="1"/>
  <c r="BN444" i="11"/>
  <c r="BN445" i="11" s="1"/>
  <c r="BR246" i="19"/>
  <c r="AW247" i="19"/>
  <c r="BZ246" i="19"/>
  <c r="BB246" i="19"/>
  <c r="BB247" i="19" s="1"/>
  <c r="AW238" i="19"/>
  <c r="AV231" i="19"/>
  <c r="AV230" i="19"/>
  <c r="AV223" i="19"/>
  <c r="AV222" i="19" s="1"/>
  <c r="AV212" i="19"/>
  <c r="AV213" i="19" s="1"/>
  <c r="CG530" i="11" l="1"/>
  <c r="BI167" i="40"/>
  <c r="BI168" i="40" s="1"/>
  <c r="BI160" i="40"/>
  <c r="BI161" i="40" s="1"/>
  <c r="BI153" i="40"/>
  <c r="BI154" i="40" s="1"/>
  <c r="BI146" i="40"/>
  <c r="BI147" i="40" s="1"/>
  <c r="M134" i="40"/>
  <c r="M135" i="40" s="1"/>
  <c r="AW134" i="40"/>
  <c r="AW135" i="40" s="1"/>
  <c r="AU134" i="39"/>
  <c r="AU135" i="39" s="1"/>
  <c r="M134" i="39"/>
  <c r="M135" i="39" s="1"/>
  <c r="BR238" i="19"/>
  <c r="AW239" i="19"/>
  <c r="BZ238" i="19"/>
  <c r="BB238" i="19"/>
  <c r="BB239" i="19" s="1"/>
  <c r="AW230" i="19"/>
  <c r="BB230" i="19" s="1"/>
  <c r="BB231" i="19" s="1"/>
  <c r="AW222" i="19"/>
  <c r="AV215" i="19"/>
  <c r="AV214" i="19" s="1"/>
  <c r="BI149" i="40" l="1"/>
  <c r="BI148" i="40" s="1"/>
  <c r="BI163" i="40"/>
  <c r="BI162" i="40" s="1"/>
  <c r="BI156" i="40"/>
  <c r="BI155" i="40"/>
  <c r="BI170" i="40"/>
  <c r="BI169" i="40" s="1"/>
  <c r="AW231" i="19"/>
  <c r="BR230" i="19"/>
  <c r="BZ230" i="19"/>
  <c r="BZ222" i="19"/>
  <c r="BR222" i="19"/>
  <c r="AW223" i="19"/>
  <c r="BB222" i="19"/>
  <c r="BB223" i="19" s="1"/>
  <c r="AW214" i="19"/>
  <c r="BJ169" i="40" l="1"/>
  <c r="BJ170" i="40" s="1"/>
  <c r="BJ148" i="40"/>
  <c r="BO148" i="40" s="1"/>
  <c r="BO149" i="40" s="1"/>
  <c r="BJ155" i="40"/>
  <c r="BO155" i="40"/>
  <c r="BO156" i="40" s="1"/>
  <c r="BJ162" i="40"/>
  <c r="BO162" i="40" s="1"/>
  <c r="BO163" i="40" s="1"/>
  <c r="AW215" i="19"/>
  <c r="BZ214" i="19"/>
  <c r="BR214" i="19"/>
  <c r="BB214" i="19"/>
  <c r="BB215" i="19" s="1"/>
  <c r="AC63" i="18"/>
  <c r="AN63" i="18" s="1"/>
  <c r="AC58" i="18"/>
  <c r="BX177" i="40" l="1"/>
  <c r="BJ163" i="40"/>
  <c r="BX170" i="40"/>
  <c r="BJ156" i="40"/>
  <c r="BX163" i="40"/>
  <c r="BJ149" i="40"/>
  <c r="BO169" i="40"/>
  <c r="BO170" i="40" s="1"/>
  <c r="AU112" i="31"/>
  <c r="AA124" i="22" l="1"/>
  <c r="AC58" i="15" l="1"/>
  <c r="AA125" i="17" l="1"/>
  <c r="AA131" i="15"/>
  <c r="AG104" i="31" l="1"/>
  <c r="AU113" i="31" s="1"/>
  <c r="BH338" i="23" l="1"/>
  <c r="BH339" i="23" s="1"/>
  <c r="BH330" i="23"/>
  <c r="BH181" i="32"/>
  <c r="BH182" i="32" s="1"/>
  <c r="BF422" i="17"/>
  <c r="BF423" i="17" s="1"/>
  <c r="BH366" i="18"/>
  <c r="BH367" i="18" s="1"/>
  <c r="BH202" i="31"/>
  <c r="BH203" i="31" s="1"/>
  <c r="BH194" i="35"/>
  <c r="BH195" i="35" s="1"/>
  <c r="AV205" i="19"/>
  <c r="AV206" i="19" s="1"/>
  <c r="AV197" i="19"/>
  <c r="AV198" i="19"/>
  <c r="BH388" i="33"/>
  <c r="BH389" i="33" s="1"/>
  <c r="BH488" i="11"/>
  <c r="BH489" i="11" s="1"/>
  <c r="BE297" i="26"/>
  <c r="BE298" i="26" s="1"/>
  <c r="EG296" i="26"/>
  <c r="EG297" i="26" s="1"/>
  <c r="DG296" i="26"/>
  <c r="DG297" i="26" s="1"/>
  <c r="BH208" i="22"/>
  <c r="BH209" i="22" s="1"/>
  <c r="BE328" i="27"/>
  <c r="BE329" i="27" s="1"/>
  <c r="BE428" i="15"/>
  <c r="BE429" i="15" s="1"/>
  <c r="BE171" i="37"/>
  <c r="BE172" i="37" s="1"/>
  <c r="BH341" i="23" l="1"/>
  <c r="BH340" i="23" s="1"/>
  <c r="BH184" i="32"/>
  <c r="BH183" i="32" s="1"/>
  <c r="BF425" i="17"/>
  <c r="BF424" i="17" s="1"/>
  <c r="BH369" i="18"/>
  <c r="BH368" i="18" s="1"/>
  <c r="BH205" i="31"/>
  <c r="BH204" i="31" s="1"/>
  <c r="BH197" i="35"/>
  <c r="BH196" i="35" s="1"/>
  <c r="AV208" i="19"/>
  <c r="AV207" i="19" s="1"/>
  <c r="AV200" i="19"/>
  <c r="AV199" i="19" s="1"/>
  <c r="BH391" i="33"/>
  <c r="BH390" i="33" s="1"/>
  <c r="BH491" i="11"/>
  <c r="BH490" i="11" s="1"/>
  <c r="EG299" i="26"/>
  <c r="EG298" i="26" s="1"/>
  <c r="DG299" i="26"/>
  <c r="DG298" i="26" s="1"/>
  <c r="BE300" i="26"/>
  <c r="BE299" i="26" s="1"/>
  <c r="BH211" i="22"/>
  <c r="BH210" i="22" s="1"/>
  <c r="BE331" i="27"/>
  <c r="BE330" i="27" s="1"/>
  <c r="BE431" i="15"/>
  <c r="BE430" i="15" s="1"/>
  <c r="BE174" i="37"/>
  <c r="BE173" i="37" s="1"/>
  <c r="BH186" i="35"/>
  <c r="BH187" i="35" s="1"/>
  <c r="BH359" i="18"/>
  <c r="BH360" i="18" s="1"/>
  <c r="BE164" i="37"/>
  <c r="BE288" i="26"/>
  <c r="BE289" i="26" s="1"/>
  <c r="EG287" i="26"/>
  <c r="EG288" i="26" s="1"/>
  <c r="DG287" i="26"/>
  <c r="DG288" i="26" s="1"/>
  <c r="BI340" i="23" l="1"/>
  <c r="BN340" i="23" s="1"/>
  <c r="BN341" i="23" s="1"/>
  <c r="BI183" i="32"/>
  <c r="BN183" i="32" s="1"/>
  <c r="BN184" i="32" s="1"/>
  <c r="BG424" i="17"/>
  <c r="BL424" i="17" s="1"/>
  <c r="BL425" i="17" s="1"/>
  <c r="BI368" i="18"/>
  <c r="BN368" i="18" s="1"/>
  <c r="BN369" i="18" s="1"/>
  <c r="BI204" i="31"/>
  <c r="BN204" i="31" s="1"/>
  <c r="BN205" i="31" s="1"/>
  <c r="BI196" i="35"/>
  <c r="AW207" i="19"/>
  <c r="BB207" i="19" s="1"/>
  <c r="BB208" i="19" s="1"/>
  <c r="AW199" i="19"/>
  <c r="BB199" i="19" s="1"/>
  <c r="BB200" i="19" s="1"/>
  <c r="BI390" i="33"/>
  <c r="BN390" i="33" s="1"/>
  <c r="BN391" i="33" s="1"/>
  <c r="BI490" i="11"/>
  <c r="BN490" i="11" s="1"/>
  <c r="BN491" i="11" s="1"/>
  <c r="DH298" i="26"/>
  <c r="DH299" i="26" s="1"/>
  <c r="BF299" i="26"/>
  <c r="BK299" i="26" s="1"/>
  <c r="BK300" i="26" s="1"/>
  <c r="EH298" i="26"/>
  <c r="EH299" i="26" s="1"/>
  <c r="BI210" i="22"/>
  <c r="BN210" i="22" s="1"/>
  <c r="BN211" i="22" s="1"/>
  <c r="BF330" i="27"/>
  <c r="BK330" i="27" s="1"/>
  <c r="BK331" i="27" s="1"/>
  <c r="BF430" i="15"/>
  <c r="BK430" i="15" s="1"/>
  <c r="BK431" i="15" s="1"/>
  <c r="BF173" i="37"/>
  <c r="BK173" i="37" s="1"/>
  <c r="BK174" i="37" s="1"/>
  <c r="BH189" i="35"/>
  <c r="BH188" i="35" s="1"/>
  <c r="BH362" i="18"/>
  <c r="BH361" i="18" s="1"/>
  <c r="EG290" i="26"/>
  <c r="EG289" i="26" s="1"/>
  <c r="DG290" i="26"/>
  <c r="DG289" i="26" s="1"/>
  <c r="BE291" i="26"/>
  <c r="BE290" i="26" s="1"/>
  <c r="BF414" i="17"/>
  <c r="EM298" i="26" l="1"/>
  <c r="EM299" i="26" s="1"/>
  <c r="CE340" i="23"/>
  <c r="BI341" i="23"/>
  <c r="CK340" i="23"/>
  <c r="CE183" i="32"/>
  <c r="BI184" i="32"/>
  <c r="CM183" i="32"/>
  <c r="CD424" i="17"/>
  <c r="BG425" i="17"/>
  <c r="CN424" i="17"/>
  <c r="CD368" i="18"/>
  <c r="BI369" i="18"/>
  <c r="CM368" i="18"/>
  <c r="CE204" i="31"/>
  <c r="BI205" i="31"/>
  <c r="CM204" i="31"/>
  <c r="BI197" i="35"/>
  <c r="CM196" i="35"/>
  <c r="CE196" i="35"/>
  <c r="BN196" i="35"/>
  <c r="BN197" i="35" s="1"/>
  <c r="BR207" i="19"/>
  <c r="AW208" i="19"/>
  <c r="BZ207" i="19"/>
  <c r="BR199" i="19"/>
  <c r="AW200" i="19"/>
  <c r="BZ199" i="19"/>
  <c r="CE390" i="33"/>
  <c r="BI391" i="33"/>
  <c r="CM390" i="33"/>
  <c r="CE490" i="11"/>
  <c r="BI491" i="11"/>
  <c r="CM490" i="11"/>
  <c r="DM298" i="26"/>
  <c r="DM299" i="26" s="1"/>
  <c r="GI299" i="26"/>
  <c r="BF300" i="26"/>
  <c r="GO299" i="26"/>
  <c r="BW210" i="22"/>
  <c r="BI211" i="22"/>
  <c r="CE210" i="22"/>
  <c r="CB330" i="27"/>
  <c r="BF331" i="27"/>
  <c r="CH330" i="27"/>
  <c r="BZ430" i="15"/>
  <c r="BF431" i="15"/>
  <c r="CH430" i="15"/>
  <c r="BZ173" i="37"/>
  <c r="BF174" i="37"/>
  <c r="CH173" i="37"/>
  <c r="BI188" i="35"/>
  <c r="BI361" i="18"/>
  <c r="BN361" i="18" s="1"/>
  <c r="BN362" i="18" s="1"/>
  <c r="DH289" i="26"/>
  <c r="DH290" i="26" s="1"/>
  <c r="EH289" i="26"/>
  <c r="EH290" i="26" s="1"/>
  <c r="BF290" i="26"/>
  <c r="BK290" i="26" s="1"/>
  <c r="BK291" i="26" s="1"/>
  <c r="BF415" i="17"/>
  <c r="BE320" i="27"/>
  <c r="BE321" i="27" s="1"/>
  <c r="AV189" i="19"/>
  <c r="AV190" i="19" s="1"/>
  <c r="BH201" i="22"/>
  <c r="BH202" i="22" s="1"/>
  <c r="BE421" i="15"/>
  <c r="BE422" i="15" s="1"/>
  <c r="BH194" i="31"/>
  <c r="BH195" i="31" s="1"/>
  <c r="AV181" i="19"/>
  <c r="AV182" i="19" s="1"/>
  <c r="BH380" i="33"/>
  <c r="BH381" i="33" s="1"/>
  <c r="DM289" i="26" l="1"/>
  <c r="DM290" i="26" s="1"/>
  <c r="BI189" i="35"/>
  <c r="CM188" i="35"/>
  <c r="CE188" i="35"/>
  <c r="BN188" i="35"/>
  <c r="BN189" i="35" s="1"/>
  <c r="CD361" i="18"/>
  <c r="BI362" i="18"/>
  <c r="CM361" i="18"/>
  <c r="BF291" i="26"/>
  <c r="GO290" i="26"/>
  <c r="GI290" i="26"/>
  <c r="EM289" i="26"/>
  <c r="EM290" i="26" s="1"/>
  <c r="BF417" i="17"/>
  <c r="BF416" i="17" s="1"/>
  <c r="BE323" i="27"/>
  <c r="BE322" i="27" s="1"/>
  <c r="AV192" i="19"/>
  <c r="AV191" i="19" s="1"/>
  <c r="BH204" i="22"/>
  <c r="BH203" i="22" s="1"/>
  <c r="BE424" i="15"/>
  <c r="BE423" i="15" s="1"/>
  <c r="BH197" i="31"/>
  <c r="BH196" i="31" s="1"/>
  <c r="AV184" i="19"/>
  <c r="AV183" i="19" s="1"/>
  <c r="BH383" i="33"/>
  <c r="BH382" i="33" s="1"/>
  <c r="K13" i="38"/>
  <c r="C13" i="38"/>
  <c r="E13" i="38" s="1"/>
  <c r="J14" i="38" s="1"/>
  <c r="C7" i="38"/>
  <c r="E7" i="38" s="1"/>
  <c r="J8" i="38" s="1"/>
  <c r="K14" i="38" l="1"/>
  <c r="J15" i="38"/>
  <c r="K8" i="38"/>
  <c r="J9" i="38"/>
  <c r="K15" i="38"/>
  <c r="D7" i="38"/>
  <c r="BG416" i="17"/>
  <c r="BL416" i="17" s="1"/>
  <c r="BL417" i="17" s="1"/>
  <c r="BF322" i="27"/>
  <c r="BK322" i="27" s="1"/>
  <c r="BK323" i="27" s="1"/>
  <c r="AW191" i="19"/>
  <c r="BB191" i="19" s="1"/>
  <c r="BB192" i="19" s="1"/>
  <c r="BI203" i="22"/>
  <c r="BF423" i="15"/>
  <c r="BI196" i="31"/>
  <c r="BN196" i="31" s="1"/>
  <c r="BN197" i="31" s="1"/>
  <c r="AW183" i="19"/>
  <c r="BB183" i="19" s="1"/>
  <c r="BB184" i="19" s="1"/>
  <c r="BI382" i="33"/>
  <c r="BN382" i="33" s="1"/>
  <c r="BN383" i="33" s="1"/>
  <c r="D13" i="38"/>
  <c r="K7" i="38"/>
  <c r="K9" i="38" s="1"/>
  <c r="AA129" i="37"/>
  <c r="BG417" i="17" l="1"/>
  <c r="CN416" i="17"/>
  <c r="CD416" i="17"/>
  <c r="CB322" i="27"/>
  <c r="BF323" i="27"/>
  <c r="CH322" i="27"/>
  <c r="BR191" i="19"/>
  <c r="AW192" i="19"/>
  <c r="BZ191" i="19"/>
  <c r="BW203" i="22"/>
  <c r="BI204" i="22"/>
  <c r="CE203" i="22"/>
  <c r="BN203" i="22"/>
  <c r="BN204" i="22" s="1"/>
  <c r="BZ423" i="15"/>
  <c r="BF424" i="15"/>
  <c r="CH423" i="15"/>
  <c r="BK423" i="15"/>
  <c r="BK424" i="15" s="1"/>
  <c r="BI197" i="31"/>
  <c r="CM196" i="31"/>
  <c r="CE196" i="31"/>
  <c r="BR183" i="19"/>
  <c r="AW184" i="19"/>
  <c r="BZ183" i="19"/>
  <c r="CE382" i="33"/>
  <c r="BI383" i="33"/>
  <c r="CM382" i="33"/>
  <c r="BE165" i="37"/>
  <c r="BE167" i="37" s="1"/>
  <c r="Z148" i="37"/>
  <c r="Z154" i="37" s="1"/>
  <c r="V148" i="37"/>
  <c r="V154" i="37" s="1"/>
  <c r="R148" i="37"/>
  <c r="R154" i="37" s="1"/>
  <c r="AA141" i="37"/>
  <c r="AG135" i="37"/>
  <c r="AU139" i="37" s="1"/>
  <c r="AG104" i="37"/>
  <c r="AU127" i="37" s="1"/>
  <c r="X98" i="37"/>
  <c r="Q98" i="37"/>
  <c r="AE97" i="37"/>
  <c r="AE98" i="37" s="1"/>
  <c r="AV96" i="37"/>
  <c r="AV95" i="37"/>
  <c r="AV94" i="37"/>
  <c r="R79" i="37"/>
  <c r="AC78" i="37" s="1"/>
  <c r="AN78" i="37" s="1"/>
  <c r="AX78" i="37" s="1"/>
  <c r="Z78" i="37"/>
  <c r="R74" i="37"/>
  <c r="AC73" i="37" s="1"/>
  <c r="AN73" i="37" s="1"/>
  <c r="AS73" i="37"/>
  <c r="Z73" i="37"/>
  <c r="R69" i="37"/>
  <c r="AS68" i="37"/>
  <c r="AC68" i="37"/>
  <c r="AN68" i="37" s="1"/>
  <c r="AX68" i="37" s="1"/>
  <c r="Z68" i="37"/>
  <c r="R64" i="37"/>
  <c r="AS63" i="37"/>
  <c r="AC63" i="37"/>
  <c r="AN63" i="37" s="1"/>
  <c r="AX63" i="37" s="1"/>
  <c r="Z63" i="37"/>
  <c r="AS58" i="37"/>
  <c r="AC58" i="37"/>
  <c r="AN58" i="37" s="1"/>
  <c r="Z58" i="37"/>
  <c r="AX51" i="37"/>
  <c r="AX52" i="37" s="1"/>
  <c r="BH373" i="33"/>
  <c r="BH374" i="33" s="1"/>
  <c r="BH186" i="31"/>
  <c r="BH187" i="31" s="1"/>
  <c r="AX73" i="37" l="1"/>
  <c r="AV97" i="37"/>
  <c r="AV98" i="37" s="1"/>
  <c r="H149" i="37" s="1"/>
  <c r="AU104" i="37"/>
  <c r="AU111" i="37"/>
  <c r="AU119" i="37"/>
  <c r="AU135" i="37"/>
  <c r="AU107" i="37"/>
  <c r="AU115" i="37"/>
  <c r="AX58" i="37"/>
  <c r="AU106" i="37"/>
  <c r="BE106" i="37" s="1"/>
  <c r="AU109" i="37"/>
  <c r="AU113" i="37"/>
  <c r="AU117" i="37"/>
  <c r="AU121" i="37"/>
  <c r="AX83" i="37"/>
  <c r="AU105" i="37"/>
  <c r="AU108" i="37"/>
  <c r="AU110" i="37"/>
  <c r="AU112" i="37"/>
  <c r="AU114" i="37"/>
  <c r="AU116" i="37"/>
  <c r="AU118" i="37"/>
  <c r="AU120" i="37"/>
  <c r="AU122" i="37"/>
  <c r="AU124" i="37"/>
  <c r="AU126" i="37"/>
  <c r="AU128" i="37"/>
  <c r="AG129" i="37"/>
  <c r="AU136" i="37"/>
  <c r="AU138" i="37"/>
  <c r="AU140" i="37"/>
  <c r="AG141" i="37"/>
  <c r="V152" i="37"/>
  <c r="V153" i="37"/>
  <c r="AU123" i="37"/>
  <c r="AU125" i="37"/>
  <c r="AU137" i="37"/>
  <c r="R152" i="37"/>
  <c r="Z152" i="37"/>
  <c r="R153" i="37"/>
  <c r="Z153" i="37"/>
  <c r="BE166" i="37"/>
  <c r="BH376" i="33"/>
  <c r="BH375" i="33" s="1"/>
  <c r="BH189" i="31"/>
  <c r="BH188" i="31" s="1"/>
  <c r="BH352" i="18"/>
  <c r="BH353" i="18" s="1"/>
  <c r="BH178" i="35"/>
  <c r="BH179" i="35" s="1"/>
  <c r="BE312" i="27"/>
  <c r="BE313" i="27" s="1"/>
  <c r="BH174" i="32"/>
  <c r="BH175" i="32" s="1"/>
  <c r="BF406" i="17"/>
  <c r="BF407" i="17" s="1"/>
  <c r="BE280" i="26"/>
  <c r="BE281" i="26"/>
  <c r="EG279" i="26"/>
  <c r="EG280" i="26" s="1"/>
  <c r="DG279" i="26"/>
  <c r="DG280" i="26" s="1"/>
  <c r="BE413" i="15"/>
  <c r="BE414" i="15" s="1"/>
  <c r="AV173" i="19"/>
  <c r="AV174" i="19" s="1"/>
  <c r="AQ149" i="37" l="1"/>
  <c r="M149" i="37"/>
  <c r="AU149" i="37" s="1"/>
  <c r="AY149" i="37"/>
  <c r="AU141" i="37"/>
  <c r="H151" i="37" s="1"/>
  <c r="M151" i="37" s="1"/>
  <c r="AU151" i="37" s="1"/>
  <c r="AU129" i="37"/>
  <c r="H150" i="37" s="1"/>
  <c r="AQ150" i="37" s="1"/>
  <c r="BF166" i="37"/>
  <c r="BK166" i="37" s="1"/>
  <c r="BK167" i="37" s="1"/>
  <c r="AS83" i="37"/>
  <c r="AX84" i="37"/>
  <c r="AS84" i="37" s="1"/>
  <c r="AC41" i="37"/>
  <c r="AN41" i="37" s="1"/>
  <c r="AS51" i="37" s="1"/>
  <c r="AS52" i="37" s="1"/>
  <c r="AC24" i="37"/>
  <c r="BI375" i="33"/>
  <c r="BI188" i="31"/>
  <c r="BN188" i="31" s="1"/>
  <c r="BN189" i="31" s="1"/>
  <c r="BH355" i="18"/>
  <c r="BH354" i="18" s="1"/>
  <c r="BH181" i="35"/>
  <c r="BH180" i="35" s="1"/>
  <c r="BE315" i="27"/>
  <c r="BE314" i="27" s="1"/>
  <c r="BH177" i="32"/>
  <c r="BH176" i="32" s="1"/>
  <c r="BF409" i="17"/>
  <c r="BF408" i="17" s="1"/>
  <c r="EG282" i="26"/>
  <c r="EG281" i="26" s="1"/>
  <c r="DG282" i="26"/>
  <c r="DG281" i="26" s="1"/>
  <c r="BE283" i="26"/>
  <c r="BE282" i="26" s="1"/>
  <c r="BE416" i="15"/>
  <c r="BE415" i="15" s="1"/>
  <c r="AV176" i="19"/>
  <c r="AV175" i="19" s="1"/>
  <c r="AV165" i="19"/>
  <c r="AV166" i="19" s="1"/>
  <c r="BH344" i="18"/>
  <c r="BH345" i="18" s="1"/>
  <c r="BH373" i="14"/>
  <c r="BH374" i="14" s="1"/>
  <c r="BF398" i="17"/>
  <c r="BF399" i="17" s="1"/>
  <c r="BE304" i="27"/>
  <c r="BE305" i="27" s="1"/>
  <c r="BH374" i="34"/>
  <c r="BH375" i="34" s="1"/>
  <c r="AQ151" i="37" l="1"/>
  <c r="AY151" i="37"/>
  <c r="AY150" i="37"/>
  <c r="M150" i="37"/>
  <c r="AU150" i="37" s="1"/>
  <c r="AX34" i="37"/>
  <c r="AN24" i="37"/>
  <c r="AS34" i="37" s="1"/>
  <c r="AO86" i="37" s="1"/>
  <c r="BZ166" i="37"/>
  <c r="BF167" i="37"/>
  <c r="CH166" i="37"/>
  <c r="CE375" i="33"/>
  <c r="BI376" i="33"/>
  <c r="CM375" i="33"/>
  <c r="BN375" i="33"/>
  <c r="BN376" i="33" s="1"/>
  <c r="CE188" i="31"/>
  <c r="BI189" i="31"/>
  <c r="CM188" i="31"/>
  <c r="BI354" i="18"/>
  <c r="BN354" i="18" s="1"/>
  <c r="BN355" i="18" s="1"/>
  <c r="BI180" i="35"/>
  <c r="BF314" i="27"/>
  <c r="BK314" i="27" s="1"/>
  <c r="BK315" i="27" s="1"/>
  <c r="BI176" i="32"/>
  <c r="BN176" i="32" s="1"/>
  <c r="BN177" i="32" s="1"/>
  <c r="BG408" i="17"/>
  <c r="BL408" i="17" s="1"/>
  <c r="BL409" i="17" s="1"/>
  <c r="DH281" i="26"/>
  <c r="DH282" i="26" s="1"/>
  <c r="BF282" i="26"/>
  <c r="EH281" i="26"/>
  <c r="EH282" i="26" s="1"/>
  <c r="BF415" i="15"/>
  <c r="BK415" i="15" s="1"/>
  <c r="BK416" i="15" s="1"/>
  <c r="AW175" i="19"/>
  <c r="BB175" i="19" s="1"/>
  <c r="BB176" i="19" s="1"/>
  <c r="AV168" i="19"/>
  <c r="AV167" i="19" s="1"/>
  <c r="BH347" i="18"/>
  <c r="BH346" i="18" s="1"/>
  <c r="BH376" i="14"/>
  <c r="BH375" i="14" s="1"/>
  <c r="BF401" i="17"/>
  <c r="BF400" i="17" s="1"/>
  <c r="BE307" i="27"/>
  <c r="BE306" i="27" s="1"/>
  <c r="BH377" i="34"/>
  <c r="BH376" i="34" s="1"/>
  <c r="BH179" i="31"/>
  <c r="BH180" i="31" s="1"/>
  <c r="BE405" i="15"/>
  <c r="BE406" i="15" s="1"/>
  <c r="BH167" i="32"/>
  <c r="BH168" i="32" s="1"/>
  <c r="BH194" i="22"/>
  <c r="BH195" i="22" s="1"/>
  <c r="BE273" i="26"/>
  <c r="BE274" i="26" s="1"/>
  <c r="EG272" i="26"/>
  <c r="EG273" i="26" s="1"/>
  <c r="DG272" i="26"/>
  <c r="DG273" i="26" s="1"/>
  <c r="BH171" i="35"/>
  <c r="BH172" i="35" s="1"/>
  <c r="BH331" i="23"/>
  <c r="EM281" i="26" l="1"/>
  <c r="EM282" i="26" s="1"/>
  <c r="AV86" i="37"/>
  <c r="AX35" i="37"/>
  <c r="CD354" i="18"/>
  <c r="BI355" i="18"/>
  <c r="CM354" i="18"/>
  <c r="CE180" i="35"/>
  <c r="BI181" i="35"/>
  <c r="CM180" i="35"/>
  <c r="BN180" i="35"/>
  <c r="BN181" i="35" s="1"/>
  <c r="BF315" i="27"/>
  <c r="CH314" i="27"/>
  <c r="CB314" i="27"/>
  <c r="CE176" i="32"/>
  <c r="BI177" i="32"/>
  <c r="CM176" i="32"/>
  <c r="CD408" i="17"/>
  <c r="BG409" i="17"/>
  <c r="CN408" i="17"/>
  <c r="GI282" i="26"/>
  <c r="BF283" i="26"/>
  <c r="GO282" i="26"/>
  <c r="BK282" i="26"/>
  <c r="BK283" i="26" s="1"/>
  <c r="DM281" i="26"/>
  <c r="DM282" i="26" s="1"/>
  <c r="BZ415" i="15"/>
  <c r="BF416" i="15"/>
  <c r="CH415" i="15"/>
  <c r="BR175" i="19"/>
  <c r="AW176" i="19"/>
  <c r="BZ175" i="19"/>
  <c r="AW167" i="19"/>
  <c r="BB167" i="19" s="1"/>
  <c r="BB168" i="19" s="1"/>
  <c r="BI346" i="18"/>
  <c r="BN346" i="18" s="1"/>
  <c r="BN347" i="18" s="1"/>
  <c r="BI375" i="14"/>
  <c r="BN375" i="14" s="1"/>
  <c r="BN376" i="14" s="1"/>
  <c r="BG400" i="17"/>
  <c r="BL400" i="17" s="1"/>
  <c r="BL401" i="17" s="1"/>
  <c r="BF306" i="27"/>
  <c r="BI376" i="34"/>
  <c r="BN376" i="34" s="1"/>
  <c r="BN377" i="34" s="1"/>
  <c r="BH182" i="31"/>
  <c r="BH181" i="31" s="1"/>
  <c r="BE408" i="15"/>
  <c r="BE407" i="15" s="1"/>
  <c r="BH170" i="32"/>
  <c r="BH169" i="32" s="1"/>
  <c r="BH197" i="22"/>
  <c r="BH196" i="22" s="1"/>
  <c r="EG275" i="26"/>
  <c r="EG274" i="26" s="1"/>
  <c r="DG275" i="26"/>
  <c r="DG274" i="26" s="1"/>
  <c r="BE276" i="26"/>
  <c r="BE275" i="26" s="1"/>
  <c r="BH174" i="35"/>
  <c r="BH173" i="35" s="1"/>
  <c r="BH333" i="23"/>
  <c r="BH332" i="23" s="1"/>
  <c r="BH353" i="36"/>
  <c r="BH354" i="36" s="1"/>
  <c r="BH347" i="36"/>
  <c r="BH348" i="36" s="1"/>
  <c r="BH338" i="36"/>
  <c r="BH339" i="36" s="1"/>
  <c r="BH341" i="36" s="1"/>
  <c r="BH331" i="36"/>
  <c r="BH332" i="36" s="1"/>
  <c r="BH334" i="36" s="1"/>
  <c r="BH323" i="36"/>
  <c r="BH324" i="36" s="1"/>
  <c r="BH326" i="36" s="1"/>
  <c r="BH315" i="36"/>
  <c r="BH316" i="36" s="1"/>
  <c r="BH318" i="36" s="1"/>
  <c r="BH307" i="36"/>
  <c r="BH308" i="36" s="1"/>
  <c r="BH310" i="36" s="1"/>
  <c r="BH300" i="36"/>
  <c r="BH301" i="36" s="1"/>
  <c r="BH303" i="36" s="1"/>
  <c r="BH293" i="36"/>
  <c r="BH294" i="36" s="1"/>
  <c r="BH296" i="36" s="1"/>
  <c r="BH286" i="36"/>
  <c r="BH287" i="36" s="1"/>
  <c r="BH289" i="36" s="1"/>
  <c r="BH278" i="36"/>
  <c r="BH279" i="36" s="1"/>
  <c r="BH281" i="36" s="1"/>
  <c r="BH271" i="36"/>
  <c r="BH272" i="36" s="1"/>
  <c r="BH274" i="36" s="1"/>
  <c r="BH260" i="36"/>
  <c r="BH261" i="36" s="1"/>
  <c r="BH263" i="36" s="1"/>
  <c r="BH253" i="36"/>
  <c r="BH254" i="36" s="1"/>
  <c r="BH256" i="36" s="1"/>
  <c r="BH245" i="36"/>
  <c r="BH246" i="36" s="1"/>
  <c r="BH248" i="36" s="1"/>
  <c r="BH238" i="36"/>
  <c r="BH239" i="36" s="1"/>
  <c r="BH231" i="36"/>
  <c r="BH232" i="36" s="1"/>
  <c r="BH226" i="36"/>
  <c r="BH227" i="36" s="1"/>
  <c r="BH219" i="36"/>
  <c r="BH220" i="36" s="1"/>
  <c r="BH212" i="36"/>
  <c r="BH213" i="36" s="1"/>
  <c r="BH205" i="36"/>
  <c r="BH206" i="36" s="1"/>
  <c r="BH198" i="36"/>
  <c r="BH199" i="36" s="1"/>
  <c r="BH191" i="36"/>
  <c r="BH192" i="36" s="1"/>
  <c r="BH194" i="36" s="1"/>
  <c r="BH184" i="36"/>
  <c r="BH185" i="36" s="1"/>
  <c r="BH187" i="36" s="1"/>
  <c r="BH176" i="36"/>
  <c r="BH177" i="36" s="1"/>
  <c r="BH179" i="36" s="1"/>
  <c r="BH169" i="36"/>
  <c r="BH170" i="36" s="1"/>
  <c r="BH172" i="36" s="1"/>
  <c r="BH160" i="36"/>
  <c r="BH161" i="36" s="1"/>
  <c r="BH163" i="36" s="1"/>
  <c r="Z145" i="36"/>
  <c r="Z150" i="36" s="1"/>
  <c r="V145" i="36"/>
  <c r="R145" i="36"/>
  <c r="R150" i="36" s="1"/>
  <c r="AA138" i="36"/>
  <c r="AG132" i="36"/>
  <c r="AG138" i="36" s="1"/>
  <c r="AA126" i="36"/>
  <c r="AG104" i="36"/>
  <c r="X98" i="36"/>
  <c r="Q98" i="36"/>
  <c r="AE97" i="36"/>
  <c r="AV97" i="36" s="1"/>
  <c r="AV96" i="36"/>
  <c r="AV95" i="36"/>
  <c r="AV94" i="36"/>
  <c r="R79" i="36"/>
  <c r="AC78" i="36" s="1"/>
  <c r="AN78" i="36" s="1"/>
  <c r="AX78" i="36" s="1"/>
  <c r="Z78" i="36"/>
  <c r="R74" i="36"/>
  <c r="AC73" i="36" s="1"/>
  <c r="AN73" i="36" s="1"/>
  <c r="AS73" i="36"/>
  <c r="Z73" i="36"/>
  <c r="R69" i="36"/>
  <c r="AC68" i="36" s="1"/>
  <c r="AN68" i="36" s="1"/>
  <c r="AS68" i="36"/>
  <c r="Z68" i="36"/>
  <c r="R64" i="36"/>
  <c r="AC63" i="36" s="1"/>
  <c r="AN63" i="36" s="1"/>
  <c r="AX63" i="36" s="1"/>
  <c r="AS63" i="36"/>
  <c r="Z63" i="36"/>
  <c r="AS58" i="36"/>
  <c r="AC58" i="36"/>
  <c r="AN58" i="36" s="1"/>
  <c r="Z58" i="36"/>
  <c r="AX51" i="36"/>
  <c r="AX73" i="36" l="1"/>
  <c r="AX68" i="36"/>
  <c r="Z149" i="36"/>
  <c r="R151" i="36"/>
  <c r="R149" i="36"/>
  <c r="BH309" i="36"/>
  <c r="BI309" i="36" s="1"/>
  <c r="CD309" i="36" s="1"/>
  <c r="AU132" i="36"/>
  <c r="Z151" i="36"/>
  <c r="BH171" i="36"/>
  <c r="BI171" i="36" s="1"/>
  <c r="BI172" i="36" s="1"/>
  <c r="BH186" i="36"/>
  <c r="BI186" i="36" s="1"/>
  <c r="BI187" i="36" s="1"/>
  <c r="BH295" i="36"/>
  <c r="BI295" i="36" s="1"/>
  <c r="CD295" i="36" s="1"/>
  <c r="AU134" i="36"/>
  <c r="BH280" i="36"/>
  <c r="BI280" i="36" s="1"/>
  <c r="CD280" i="36" s="1"/>
  <c r="BH340" i="36"/>
  <c r="BI340" i="36" s="1"/>
  <c r="CD340" i="36" s="1"/>
  <c r="AU136" i="36"/>
  <c r="BH162" i="36"/>
  <c r="BI162" i="36" s="1"/>
  <c r="BI163" i="36" s="1"/>
  <c r="BH178" i="36"/>
  <c r="BI178" i="36" s="1"/>
  <c r="BI179" i="36" s="1"/>
  <c r="BH193" i="36"/>
  <c r="BI193" i="36" s="1"/>
  <c r="BI194" i="36" s="1"/>
  <c r="BH325" i="36"/>
  <c r="BI325" i="36" s="1"/>
  <c r="CD325" i="36" s="1"/>
  <c r="AS35" i="37"/>
  <c r="AO87" i="37" s="1"/>
  <c r="AO88" i="37" s="1"/>
  <c r="H148" i="37" s="1"/>
  <c r="AQ148" i="37" s="1"/>
  <c r="AV87" i="37"/>
  <c r="AV88" i="37" s="1"/>
  <c r="BR167" i="19"/>
  <c r="AW168" i="19"/>
  <c r="BZ167" i="19"/>
  <c r="CD346" i="18"/>
  <c r="CM346" i="18"/>
  <c r="BI347" i="18"/>
  <c r="CE375" i="14"/>
  <c r="BI376" i="14"/>
  <c r="CM375" i="14"/>
  <c r="CD400" i="17"/>
  <c r="BG401" i="17"/>
  <c r="CN400" i="17"/>
  <c r="BF307" i="27"/>
  <c r="CH306" i="27"/>
  <c r="CB306" i="27"/>
  <c r="BK306" i="27"/>
  <c r="BK307" i="27" s="1"/>
  <c r="CE376" i="34"/>
  <c r="BI377" i="34"/>
  <c r="CM376" i="34"/>
  <c r="BI181" i="31"/>
  <c r="BN181" i="31" s="1"/>
  <c r="BN182" i="31" s="1"/>
  <c r="BF407" i="15"/>
  <c r="BK407" i="15" s="1"/>
  <c r="BK408" i="15" s="1"/>
  <c r="BI169" i="32"/>
  <c r="BN169" i="32" s="1"/>
  <c r="BN170" i="32" s="1"/>
  <c r="BI196" i="22"/>
  <c r="BN196" i="22" s="1"/>
  <c r="BN197" i="22" s="1"/>
  <c r="EH274" i="26"/>
  <c r="EH275" i="26" s="1"/>
  <c r="BF275" i="26"/>
  <c r="BK275" i="26" s="1"/>
  <c r="BK276" i="26" s="1"/>
  <c r="DH274" i="26"/>
  <c r="DH275" i="26" s="1"/>
  <c r="DM274" i="26"/>
  <c r="DM275" i="26" s="1"/>
  <c r="BI173" i="35"/>
  <c r="BN173" i="35" s="1"/>
  <c r="BN174" i="35" s="1"/>
  <c r="BI332" i="23"/>
  <c r="BN332" i="23" s="1"/>
  <c r="BN333" i="23" s="1"/>
  <c r="AG126" i="36"/>
  <c r="AU125" i="36"/>
  <c r="AU123" i="36"/>
  <c r="AU121" i="36"/>
  <c r="AU119" i="36"/>
  <c r="AU117" i="36"/>
  <c r="AU115" i="36"/>
  <c r="AU113" i="36"/>
  <c r="AU111" i="36"/>
  <c r="AU109" i="36"/>
  <c r="AU106" i="36"/>
  <c r="AU104" i="36"/>
  <c r="AU107" i="36"/>
  <c r="BE107" i="36" s="1"/>
  <c r="AU110" i="36"/>
  <c r="AU114" i="36"/>
  <c r="AU118" i="36"/>
  <c r="AU122" i="36"/>
  <c r="V151" i="36"/>
  <c r="V150" i="36"/>
  <c r="V149" i="36"/>
  <c r="BH201" i="36"/>
  <c r="BH200" i="36" s="1"/>
  <c r="BH215" i="36"/>
  <c r="BH214" i="36" s="1"/>
  <c r="AX52" i="36"/>
  <c r="AX58" i="36"/>
  <c r="AX83" i="36" s="1"/>
  <c r="AV98" i="36"/>
  <c r="H146" i="36" s="1"/>
  <c r="AE98" i="36"/>
  <c r="AU105" i="36"/>
  <c r="AU108" i="36"/>
  <c r="AU112" i="36"/>
  <c r="AU116" i="36"/>
  <c r="AU120" i="36"/>
  <c r="AU124" i="36"/>
  <c r="BN162" i="36"/>
  <c r="BN163" i="36" s="1"/>
  <c r="BN171" i="36"/>
  <c r="BN172" i="36" s="1"/>
  <c r="BN178" i="36"/>
  <c r="BN179" i="36" s="1"/>
  <c r="BN186" i="36"/>
  <c r="BN187" i="36" s="1"/>
  <c r="BH208" i="36"/>
  <c r="BH207" i="36" s="1"/>
  <c r="BH229" i="36"/>
  <c r="BH228" i="36" s="1"/>
  <c r="BH241" i="36"/>
  <c r="BH240" i="36" s="1"/>
  <c r="CM280" i="36"/>
  <c r="CM295" i="36"/>
  <c r="CM325" i="36"/>
  <c r="CM340" i="36"/>
  <c r="AU133" i="36"/>
  <c r="AU135" i="36"/>
  <c r="AU137" i="36"/>
  <c r="BH222" i="36"/>
  <c r="BH221" i="36" s="1"/>
  <c r="BH234" i="36"/>
  <c r="BH233" i="36" s="1"/>
  <c r="BH247" i="36"/>
  <c r="BH255" i="36"/>
  <c r="BH262" i="36"/>
  <c r="BH273" i="36"/>
  <c r="BN280" i="36"/>
  <c r="BN281" i="36" s="1"/>
  <c r="BI281" i="36"/>
  <c r="BH288" i="36"/>
  <c r="BN295" i="36"/>
  <c r="BN296" i="36" s="1"/>
  <c r="BI296" i="36"/>
  <c r="BH302" i="36"/>
  <c r="BH317" i="36"/>
  <c r="BN325" i="36"/>
  <c r="BN326" i="36" s="1"/>
  <c r="BI326" i="36"/>
  <c r="BH333" i="36"/>
  <c r="BN340" i="36"/>
  <c r="BN341" i="36" s="1"/>
  <c r="BI341" i="36"/>
  <c r="BH350" i="36"/>
  <c r="BH349" i="36" s="1"/>
  <c r="BH356" i="36"/>
  <c r="BH355" i="36" s="1"/>
  <c r="HB254" i="26"/>
  <c r="HB255" i="26" s="1"/>
  <c r="JD253" i="26"/>
  <c r="JD254" i="26" s="1"/>
  <c r="BI310" i="36" l="1"/>
  <c r="BN309" i="36"/>
  <c r="BN310" i="36" s="1"/>
  <c r="CM309" i="36"/>
  <c r="BN193" i="36"/>
  <c r="BN194" i="36" s="1"/>
  <c r="AU138" i="36"/>
  <c r="H148" i="36" s="1"/>
  <c r="M148" i="36" s="1"/>
  <c r="AU148" i="36" s="1"/>
  <c r="H152" i="37"/>
  <c r="AY148" i="37"/>
  <c r="AY152" i="37" s="1"/>
  <c r="AQ152" i="37"/>
  <c r="M148" i="37"/>
  <c r="AU148" i="37" s="1"/>
  <c r="CE181" i="31"/>
  <c r="BI182" i="31"/>
  <c r="CM181" i="31"/>
  <c r="BZ407" i="15"/>
  <c r="BF408" i="15"/>
  <c r="CH407" i="15"/>
  <c r="CE169" i="32"/>
  <c r="BI170" i="32"/>
  <c r="CM169" i="32"/>
  <c r="BW196" i="22"/>
  <c r="BI197" i="22"/>
  <c r="CE196" i="22"/>
  <c r="GI275" i="26"/>
  <c r="BF276" i="26"/>
  <c r="GO275" i="26"/>
  <c r="EM274" i="26"/>
  <c r="EM275" i="26" s="1"/>
  <c r="CE173" i="35"/>
  <c r="BI174" i="35"/>
  <c r="CM173" i="35"/>
  <c r="CE332" i="23"/>
  <c r="BI333" i="23"/>
  <c r="CK332" i="23"/>
  <c r="BI355" i="36"/>
  <c r="BI207" i="36"/>
  <c r="BI208" i="36" s="1"/>
  <c r="BI214" i="36"/>
  <c r="BI215" i="36" s="1"/>
  <c r="AY148" i="36"/>
  <c r="AQ148" i="36"/>
  <c r="BI349" i="36"/>
  <c r="BN349" i="36" s="1"/>
  <c r="BN350" i="36" s="1"/>
  <c r="BI200" i="36"/>
  <c r="BI201" i="36" s="1"/>
  <c r="BI317" i="36"/>
  <c r="BI288" i="36"/>
  <c r="BI262" i="36"/>
  <c r="BN262" i="36" s="1"/>
  <c r="BN263" i="36" s="1"/>
  <c r="BI247" i="36"/>
  <c r="BN247" i="36" s="1"/>
  <c r="BN248" i="36" s="1"/>
  <c r="BI233" i="36"/>
  <c r="BN233" i="36" s="1"/>
  <c r="BN234" i="36" s="1"/>
  <c r="BI221" i="36"/>
  <c r="BI222" i="36" s="1"/>
  <c r="BI240" i="36"/>
  <c r="BI241" i="36" s="1"/>
  <c r="BI228" i="36"/>
  <c r="BI229" i="36" s="1"/>
  <c r="AS83" i="36"/>
  <c r="AC41" i="36"/>
  <c r="AN41" i="36" s="1"/>
  <c r="AS51" i="36" s="1"/>
  <c r="AS52" i="36" s="1"/>
  <c r="AX84" i="36"/>
  <c r="AS84" i="36" s="1"/>
  <c r="AU126" i="36"/>
  <c r="H147" i="36" s="1"/>
  <c r="AC24" i="36"/>
  <c r="BI333" i="36"/>
  <c r="BN333" i="36" s="1"/>
  <c r="BN334" i="36" s="1"/>
  <c r="BI302" i="36"/>
  <c r="BN302" i="36" s="1"/>
  <c r="BN303" i="36" s="1"/>
  <c r="BI273" i="36"/>
  <c r="BN273" i="36" s="1"/>
  <c r="BN274" i="36" s="1"/>
  <c r="BI255" i="36"/>
  <c r="BN255" i="36" s="1"/>
  <c r="BN256" i="36" s="1"/>
  <c r="AY146" i="36"/>
  <c r="AQ146" i="36"/>
  <c r="M146" i="36"/>
  <c r="AU146" i="36" s="1"/>
  <c r="JD256" i="26"/>
  <c r="JD255" i="26" s="1"/>
  <c r="HB257" i="26"/>
  <c r="HB256" i="26" s="1"/>
  <c r="BE398" i="15"/>
  <c r="BE399" i="15" s="1"/>
  <c r="BH172" i="31"/>
  <c r="BH173" i="31" s="1"/>
  <c r="BH337" i="18"/>
  <c r="BH338" i="18" s="1"/>
  <c r="BH187" i="22"/>
  <c r="BH188" i="22" s="1"/>
  <c r="BH180" i="22"/>
  <c r="BH181" i="22" s="1"/>
  <c r="BE261" i="26"/>
  <c r="BE262" i="26" s="1"/>
  <c r="EG260" i="26"/>
  <c r="EG261" i="26" s="1"/>
  <c r="DG260" i="26"/>
  <c r="DG261" i="26" s="1"/>
  <c r="BH164" i="35"/>
  <c r="BH165" i="35" s="1"/>
  <c r="BH367" i="34"/>
  <c r="BH368" i="34" s="1"/>
  <c r="BH323" i="23"/>
  <c r="BH324" i="23" s="1"/>
  <c r="BH366" i="33"/>
  <c r="BH367" i="33" s="1"/>
  <c r="BF391" i="17"/>
  <c r="BF392" i="17" s="1"/>
  <c r="BE297" i="27"/>
  <c r="BE298" i="27" s="1"/>
  <c r="BH366" i="14"/>
  <c r="BH367" i="14" s="1"/>
  <c r="BN240" i="36" l="1"/>
  <c r="BN241" i="36" s="1"/>
  <c r="BN228" i="36"/>
  <c r="BN229" i="36" s="1"/>
  <c r="BN221" i="36"/>
  <c r="BN222" i="36" s="1"/>
  <c r="BN207" i="36"/>
  <c r="BN208" i="36" s="1"/>
  <c r="M152" i="37"/>
  <c r="AU152" i="37"/>
  <c r="AY153" i="37"/>
  <c r="AY154" i="37" s="1"/>
  <c r="AQ153" i="37"/>
  <c r="AQ154" i="37" s="1"/>
  <c r="H153" i="37"/>
  <c r="H154" i="37" s="1"/>
  <c r="BI256" i="36"/>
  <c r="CM255" i="36"/>
  <c r="CD255" i="36"/>
  <c r="AX34" i="36"/>
  <c r="AN24" i="36"/>
  <c r="AS34" i="36" s="1"/>
  <c r="AO86" i="36" s="1"/>
  <c r="CD288" i="36"/>
  <c r="CM288" i="36"/>
  <c r="BI289" i="36"/>
  <c r="CD317" i="36"/>
  <c r="CM317" i="36"/>
  <c r="BI318" i="36"/>
  <c r="BI356" i="36"/>
  <c r="CM355" i="36"/>
  <c r="CD273" i="36"/>
  <c r="CM273" i="36"/>
  <c r="BI274" i="36"/>
  <c r="CD302" i="36"/>
  <c r="CM302" i="36"/>
  <c r="BI303" i="36"/>
  <c r="CD333" i="36"/>
  <c r="CM333" i="36"/>
  <c r="BI334" i="36"/>
  <c r="M147" i="36"/>
  <c r="AU147" i="36" s="1"/>
  <c r="AQ147" i="36"/>
  <c r="AY147" i="36"/>
  <c r="BI234" i="36"/>
  <c r="BI248" i="36"/>
  <c r="CM247" i="36"/>
  <c r="CD247" i="36"/>
  <c r="BI263" i="36"/>
  <c r="CM262" i="36"/>
  <c r="CD262" i="36"/>
  <c r="BN288" i="36"/>
  <c r="BN289" i="36" s="1"/>
  <c r="BN317" i="36"/>
  <c r="BN318" i="36" s="1"/>
  <c r="BN200" i="36"/>
  <c r="BN201" i="36" s="1"/>
  <c r="BI350" i="36"/>
  <c r="CM349" i="36"/>
  <c r="CD349" i="36"/>
  <c r="BN214" i="36"/>
  <c r="BN215" i="36" s="1"/>
  <c r="BN355" i="36"/>
  <c r="BN356" i="36" s="1"/>
  <c r="JE255" i="26"/>
  <c r="JE256" i="26" s="1"/>
  <c r="HC256" i="26"/>
  <c r="HH256" i="26" s="1"/>
  <c r="BE401" i="15"/>
  <c r="BE400" i="15" s="1"/>
  <c r="BH175" i="31"/>
  <c r="BH174" i="31"/>
  <c r="BH340" i="18"/>
  <c r="BH339" i="18" s="1"/>
  <c r="BH190" i="22"/>
  <c r="BH189" i="22" s="1"/>
  <c r="BH183" i="22"/>
  <c r="BH182" i="22"/>
  <c r="DG263" i="26"/>
  <c r="DG262" i="26" s="1"/>
  <c r="BE264" i="26"/>
  <c r="BE263" i="26" s="1"/>
  <c r="EG263" i="26"/>
  <c r="EG262" i="26" s="1"/>
  <c r="BH167" i="35"/>
  <c r="BH166" i="35" s="1"/>
  <c r="BH370" i="34"/>
  <c r="BH369" i="34"/>
  <c r="BH326" i="23"/>
  <c r="BH325" i="23" s="1"/>
  <c r="BH369" i="33"/>
  <c r="BH368" i="33" s="1"/>
  <c r="BF394" i="17"/>
  <c r="BF393" i="17" s="1"/>
  <c r="BE300" i="27"/>
  <c r="BE299" i="27" s="1"/>
  <c r="BH369" i="14"/>
  <c r="BH368" i="14" s="1"/>
  <c r="BH331" i="18"/>
  <c r="BH332" i="18" s="1"/>
  <c r="BI269" i="36" l="1"/>
  <c r="AU153" i="37"/>
  <c r="AU154" i="37" s="1"/>
  <c r="M153" i="37"/>
  <c r="M154" i="37" s="1"/>
  <c r="HH257" i="26"/>
  <c r="CM345" i="36"/>
  <c r="AV86" i="36"/>
  <c r="AX35" i="36"/>
  <c r="JJ255" i="26"/>
  <c r="JJ256" i="26" s="1"/>
  <c r="LG256" i="26"/>
  <c r="HC257" i="26"/>
  <c r="LM256" i="26"/>
  <c r="BF400" i="15"/>
  <c r="BI174" i="31"/>
  <c r="BN174" i="31" s="1"/>
  <c r="BN175" i="31" s="1"/>
  <c r="BI339" i="18"/>
  <c r="BI189" i="22"/>
  <c r="BN189" i="22" s="1"/>
  <c r="BN190" i="22" s="1"/>
  <c r="BI182" i="22"/>
  <c r="BN182" i="22" s="1"/>
  <c r="BN183" i="22" s="1"/>
  <c r="EH262" i="26"/>
  <c r="EH263" i="26" s="1"/>
  <c r="BF263" i="26"/>
  <c r="DH262" i="26"/>
  <c r="DH263" i="26" s="1"/>
  <c r="BI166" i="35"/>
  <c r="BN166" i="35" s="1"/>
  <c r="BN167" i="35" s="1"/>
  <c r="BI369" i="34"/>
  <c r="BN369" i="34" s="1"/>
  <c r="BN370" i="34" s="1"/>
  <c r="BI325" i="23"/>
  <c r="BN325" i="23" s="1"/>
  <c r="BN326" i="23" s="1"/>
  <c r="BI368" i="33"/>
  <c r="BN368" i="33" s="1"/>
  <c r="BN369" i="33" s="1"/>
  <c r="BG393" i="17"/>
  <c r="BL393" i="17" s="1"/>
  <c r="BL394" i="17" s="1"/>
  <c r="BF299" i="27"/>
  <c r="BK299" i="27" s="1"/>
  <c r="BK300" i="27" s="1"/>
  <c r="BI368" i="14"/>
  <c r="BH334" i="18"/>
  <c r="BH333" i="18" s="1"/>
  <c r="BE254" i="26"/>
  <c r="BE255" i="26" s="1"/>
  <c r="EG253" i="26"/>
  <c r="EG254" i="26" s="1"/>
  <c r="DG253" i="26"/>
  <c r="DG254" i="26" s="1"/>
  <c r="BE247" i="26"/>
  <c r="BE248" i="26" s="1"/>
  <c r="EG246" i="26"/>
  <c r="EG247" i="26" s="1"/>
  <c r="DG246" i="26"/>
  <c r="DG247" i="26" s="1"/>
  <c r="BH173" i="22"/>
  <c r="BH174" i="22"/>
  <c r="BH166" i="22"/>
  <c r="BH167" i="22" s="1"/>
  <c r="BH360" i="34"/>
  <c r="BH361" i="34" s="1"/>
  <c r="BH165" i="31"/>
  <c r="BH358" i="33"/>
  <c r="BH359" i="33" s="1"/>
  <c r="BF384" i="17"/>
  <c r="BF385" i="17" s="1"/>
  <c r="BE289" i="27"/>
  <c r="BE290" i="27" s="1"/>
  <c r="BE391" i="15"/>
  <c r="BE392" i="15" s="1"/>
  <c r="BE394" i="15" s="1"/>
  <c r="BH316" i="23"/>
  <c r="BH317" i="23" s="1"/>
  <c r="BH359" i="14"/>
  <c r="BH360" i="14" s="1"/>
  <c r="BH160" i="32"/>
  <c r="BH156" i="35"/>
  <c r="BK263" i="26" l="1"/>
  <c r="BK264" i="26" s="1"/>
  <c r="GO263" i="26"/>
  <c r="GI263" i="26"/>
  <c r="AS35" i="36"/>
  <c r="AO87" i="36" s="1"/>
  <c r="AO88" i="36" s="1"/>
  <c r="H145" i="36" s="1"/>
  <c r="AV87" i="36"/>
  <c r="AV88" i="36" s="1"/>
  <c r="DM262" i="26"/>
  <c r="DM263" i="26" s="1"/>
  <c r="BF401" i="15"/>
  <c r="CH400" i="15"/>
  <c r="BZ400" i="15"/>
  <c r="BK400" i="15"/>
  <c r="BK401" i="15" s="1"/>
  <c r="CE174" i="31"/>
  <c r="BI175" i="31"/>
  <c r="CM174" i="31"/>
  <c r="BI340" i="18"/>
  <c r="CM339" i="18"/>
  <c r="CD339" i="18"/>
  <c r="BN339" i="18"/>
  <c r="BN340" i="18" s="1"/>
  <c r="BW189" i="22"/>
  <c r="BI190" i="22"/>
  <c r="CE189" i="22"/>
  <c r="BW182" i="22"/>
  <c r="BI183" i="22"/>
  <c r="CE182" i="22"/>
  <c r="BF264" i="26"/>
  <c r="EM262" i="26"/>
  <c r="EM263" i="26" s="1"/>
  <c r="CE166" i="35"/>
  <c r="BI167" i="35"/>
  <c r="CM166" i="35"/>
  <c r="CE369" i="34"/>
  <c r="BI370" i="34"/>
  <c r="CM369" i="34"/>
  <c r="BI326" i="23"/>
  <c r="CK325" i="23"/>
  <c r="CE325" i="23"/>
  <c r="BI369" i="33"/>
  <c r="CM368" i="33"/>
  <c r="CE368" i="33"/>
  <c r="BG394" i="17"/>
  <c r="CN393" i="17"/>
  <c r="CD393" i="17"/>
  <c r="CB299" i="27"/>
  <c r="BF300" i="27"/>
  <c r="CH299" i="27"/>
  <c r="CE368" i="14"/>
  <c r="BI369" i="14"/>
  <c r="CM368" i="14"/>
  <c r="BN368" i="14"/>
  <c r="BN369" i="14" s="1"/>
  <c r="BI333" i="18"/>
  <c r="BN333" i="18" s="1"/>
  <c r="BN334" i="18" s="1"/>
  <c r="EG256" i="26"/>
  <c r="EG255" i="26" s="1"/>
  <c r="DG256" i="26"/>
  <c r="DG255" i="26" s="1"/>
  <c r="BE257" i="26"/>
  <c r="BE256" i="26" s="1"/>
  <c r="BE250" i="26"/>
  <c r="BE249" i="26" s="1"/>
  <c r="DG249" i="26"/>
  <c r="DG248" i="26" s="1"/>
  <c r="EG249" i="26"/>
  <c r="EG248" i="26" s="1"/>
  <c r="BH176" i="22"/>
  <c r="BH175" i="22" s="1"/>
  <c r="BH169" i="22"/>
  <c r="BH168" i="22" s="1"/>
  <c r="BH363" i="34"/>
  <c r="BH362" i="34" s="1"/>
  <c r="BH361" i="33"/>
  <c r="BH360" i="33" s="1"/>
  <c r="BF387" i="17"/>
  <c r="BF386" i="17" s="1"/>
  <c r="BE292" i="27"/>
  <c r="BE291" i="27" s="1"/>
  <c r="BE393" i="15"/>
  <c r="BH319" i="23"/>
  <c r="BH318" i="23" s="1"/>
  <c r="BH362" i="14"/>
  <c r="BH361" i="14" s="1"/>
  <c r="BH322" i="18"/>
  <c r="BH306" i="23"/>
  <c r="BH351" i="34"/>
  <c r="BH350" i="33"/>
  <c r="BF376" i="17"/>
  <c r="BH351" i="14"/>
  <c r="BE281" i="27"/>
  <c r="BE383" i="15"/>
  <c r="H149" i="36" l="1"/>
  <c r="AY145" i="36"/>
  <c r="AY149" i="36" s="1"/>
  <c r="AQ145" i="36"/>
  <c r="AQ149" i="36" s="1"/>
  <c r="M145" i="36"/>
  <c r="CD333" i="18"/>
  <c r="BI334" i="18"/>
  <c r="CM333" i="18"/>
  <c r="DH255" i="26"/>
  <c r="DH256" i="26" s="1"/>
  <c r="BF256" i="26"/>
  <c r="BK256" i="26" s="1"/>
  <c r="EH255" i="26"/>
  <c r="EH256" i="26" s="1"/>
  <c r="EH248" i="26"/>
  <c r="EH249" i="26" s="1"/>
  <c r="DH248" i="26"/>
  <c r="DH249" i="26" s="1"/>
  <c r="BF249" i="26"/>
  <c r="BK249" i="26" s="1"/>
  <c r="BK250" i="26" s="1"/>
  <c r="BI175" i="22"/>
  <c r="BN175" i="22" s="1"/>
  <c r="BN176" i="22" s="1"/>
  <c r="BI168" i="22"/>
  <c r="BN168" i="22" s="1"/>
  <c r="BN169" i="22" s="1"/>
  <c r="BI362" i="34"/>
  <c r="BN362" i="34" s="1"/>
  <c r="BN363" i="34" s="1"/>
  <c r="BI360" i="33"/>
  <c r="BN360" i="33" s="1"/>
  <c r="BN361" i="33" s="1"/>
  <c r="BG386" i="17"/>
  <c r="BL386" i="17" s="1"/>
  <c r="BL387" i="17" s="1"/>
  <c r="BF291" i="27"/>
  <c r="BK291" i="27" s="1"/>
  <c r="BK292" i="27" s="1"/>
  <c r="BF393" i="15"/>
  <c r="BK393" i="15" s="1"/>
  <c r="BK394" i="15" s="1"/>
  <c r="BI318" i="23"/>
  <c r="BN318" i="23" s="1"/>
  <c r="BN319" i="23" s="1"/>
  <c r="BI361" i="14"/>
  <c r="BN361" i="14" s="1"/>
  <c r="BN362" i="14" s="1"/>
  <c r="BK257" i="26" l="1"/>
  <c r="BH269" i="26"/>
  <c r="DM255" i="26"/>
  <c r="DM256" i="26" s="1"/>
  <c r="M149" i="36"/>
  <c r="AU145" i="36"/>
  <c r="AU149" i="36" s="1"/>
  <c r="AY150" i="36"/>
  <c r="AY151" i="36" s="1"/>
  <c r="AQ150" i="36"/>
  <c r="AQ151" i="36" s="1"/>
  <c r="H150" i="36"/>
  <c r="H151" i="36" s="1"/>
  <c r="DM248" i="26"/>
  <c r="DM249" i="26" s="1"/>
  <c r="EM255" i="26"/>
  <c r="EM256" i="26" s="1"/>
  <c r="GI256" i="26"/>
  <c r="BK269" i="26" s="1"/>
  <c r="BF257" i="26"/>
  <c r="GO256" i="26"/>
  <c r="GI249" i="26"/>
  <c r="BF250" i="26"/>
  <c r="GO249" i="26"/>
  <c r="EM248" i="26"/>
  <c r="EM249" i="26" s="1"/>
  <c r="BW175" i="22"/>
  <c r="BI176" i="22"/>
  <c r="CE175" i="22"/>
  <c r="BW168" i="22"/>
  <c r="BI169" i="22"/>
  <c r="CE168" i="22"/>
  <c r="BI363" i="34"/>
  <c r="CM362" i="34"/>
  <c r="CE362" i="34"/>
  <c r="BI361" i="33"/>
  <c r="CM360" i="33"/>
  <c r="CE360" i="33"/>
  <c r="CD386" i="17"/>
  <c r="BG387" i="17"/>
  <c r="CN386" i="17"/>
  <c r="CB291" i="27"/>
  <c r="BF292" i="27"/>
  <c r="CH291" i="27"/>
  <c r="BZ393" i="15"/>
  <c r="BF394" i="15"/>
  <c r="CH393" i="15"/>
  <c r="BI319" i="23"/>
  <c r="CK318" i="23"/>
  <c r="CE318" i="23"/>
  <c r="BI362" i="14"/>
  <c r="CM361" i="14"/>
  <c r="CE361" i="14"/>
  <c r="AU150" i="36" l="1"/>
  <c r="AU151" i="36" s="1"/>
  <c r="M150" i="36"/>
  <c r="M151" i="36" s="1"/>
  <c r="AA125" i="19"/>
  <c r="AA126" i="11"/>
  <c r="AC59" i="11"/>
  <c r="AN59" i="11" s="1"/>
  <c r="BH157" i="35" l="1"/>
  <c r="Z141" i="35"/>
  <c r="Z147" i="35" s="1"/>
  <c r="V141" i="35"/>
  <c r="V147" i="35" s="1"/>
  <c r="R141" i="35"/>
  <c r="R147" i="35" s="1"/>
  <c r="AA134" i="35"/>
  <c r="AG128" i="35"/>
  <c r="AU132" i="35" s="1"/>
  <c r="AA122" i="35"/>
  <c r="AG104" i="35"/>
  <c r="AU120" i="35" s="1"/>
  <c r="X98" i="35"/>
  <c r="Q98" i="35"/>
  <c r="AV97" i="35"/>
  <c r="AE98" i="35"/>
  <c r="AV96" i="35"/>
  <c r="AV95" i="35"/>
  <c r="AV94" i="35"/>
  <c r="R79" i="35"/>
  <c r="AC78" i="35" s="1"/>
  <c r="AN78" i="35" s="1"/>
  <c r="AX78" i="35" s="1"/>
  <c r="Z78" i="35"/>
  <c r="R74" i="35"/>
  <c r="AC73" i="35" s="1"/>
  <c r="AN73" i="35" s="1"/>
  <c r="AX73" i="35" s="1"/>
  <c r="AS73" i="35"/>
  <c r="Z73" i="35"/>
  <c r="R69" i="35"/>
  <c r="AS68" i="35"/>
  <c r="AC68" i="35"/>
  <c r="AN68" i="35" s="1"/>
  <c r="AX68" i="35" s="1"/>
  <c r="Z68" i="35"/>
  <c r="R64" i="35"/>
  <c r="AS63" i="35"/>
  <c r="AC63" i="35"/>
  <c r="AN63" i="35" s="1"/>
  <c r="AX63" i="35" s="1"/>
  <c r="Z63" i="35"/>
  <c r="AS58" i="35"/>
  <c r="AC58" i="35"/>
  <c r="AN58" i="35" s="1"/>
  <c r="Z58" i="35"/>
  <c r="AX51" i="35"/>
  <c r="AA124" i="34"/>
  <c r="BH352" i="34"/>
  <c r="BH344" i="34"/>
  <c r="BH345" i="34" s="1"/>
  <c r="BH336" i="34"/>
  <c r="BH337" i="34" s="1"/>
  <c r="BH328" i="34"/>
  <c r="BH329" i="34" s="1"/>
  <c r="BH320" i="34"/>
  <c r="BH321" i="34" s="1"/>
  <c r="BH312" i="34"/>
  <c r="BH313" i="34" s="1"/>
  <c r="BH305" i="34"/>
  <c r="BH306" i="34" s="1"/>
  <c r="BH297" i="34"/>
  <c r="BH298" i="34" s="1"/>
  <c r="BH284" i="34"/>
  <c r="BH285" i="34" s="1"/>
  <c r="BH275" i="34"/>
  <c r="BH276" i="34" s="1"/>
  <c r="BH267" i="34"/>
  <c r="BH268" i="34" s="1"/>
  <c r="BH260" i="34"/>
  <c r="BH261" i="34" s="1"/>
  <c r="BH253" i="34"/>
  <c r="BH254" i="34" s="1"/>
  <c r="BH244" i="34"/>
  <c r="BH245" i="34" s="1"/>
  <c r="BH238" i="34"/>
  <c r="BH239" i="34" s="1"/>
  <c r="BH231" i="34"/>
  <c r="BH232" i="34" s="1"/>
  <c r="BH224" i="34"/>
  <c r="BH225" i="34" s="1"/>
  <c r="BH217" i="34"/>
  <c r="BH218" i="34" s="1"/>
  <c r="BH210" i="34"/>
  <c r="BH211" i="34" s="1"/>
  <c r="BH213" i="34" s="1"/>
  <c r="BH202" i="34"/>
  <c r="BH203" i="34" s="1"/>
  <c r="BH205" i="34" s="1"/>
  <c r="BH194" i="34"/>
  <c r="BH195" i="34" s="1"/>
  <c r="BH187" i="34"/>
  <c r="BH188" i="34" s="1"/>
  <c r="BH179" i="34"/>
  <c r="BH180" i="34" s="1"/>
  <c r="BH171" i="34"/>
  <c r="BH172" i="34" s="1"/>
  <c r="BH163" i="34"/>
  <c r="BH164" i="34" s="1"/>
  <c r="Z143" i="34"/>
  <c r="Z149" i="34" s="1"/>
  <c r="V143" i="34"/>
  <c r="V149" i="34" s="1"/>
  <c r="R143" i="34"/>
  <c r="R149" i="34" s="1"/>
  <c r="AA136" i="34"/>
  <c r="AG130" i="34"/>
  <c r="AG136" i="34" s="1"/>
  <c r="AG104" i="34"/>
  <c r="AG124" i="34" s="1"/>
  <c r="X98" i="34"/>
  <c r="Q98" i="34"/>
  <c r="AE97" i="34"/>
  <c r="AE98" i="34" s="1"/>
  <c r="AV96" i="34"/>
  <c r="AV95" i="34"/>
  <c r="AV94" i="34"/>
  <c r="R79" i="34"/>
  <c r="AC78" i="34" s="1"/>
  <c r="AN78" i="34" s="1"/>
  <c r="AX78" i="34" s="1"/>
  <c r="Z78" i="34"/>
  <c r="R74" i="34"/>
  <c r="AS73" i="34"/>
  <c r="AC73" i="34"/>
  <c r="AN73" i="34" s="1"/>
  <c r="Z73" i="34"/>
  <c r="R69" i="34"/>
  <c r="AC68" i="34" s="1"/>
  <c r="AN68" i="34" s="1"/>
  <c r="AS68" i="34"/>
  <c r="Z68" i="34"/>
  <c r="R64" i="34"/>
  <c r="AC63" i="34" s="1"/>
  <c r="AN63" i="34" s="1"/>
  <c r="AX63" i="34" s="1"/>
  <c r="AS63" i="34"/>
  <c r="Z63" i="34"/>
  <c r="AS58" i="34"/>
  <c r="AC58" i="34"/>
  <c r="AN58" i="34" s="1"/>
  <c r="Z58" i="34"/>
  <c r="AX51" i="34"/>
  <c r="AA123" i="33"/>
  <c r="BH351" i="33"/>
  <c r="BH343" i="33"/>
  <c r="BH344" i="33" s="1"/>
  <c r="BH335" i="33"/>
  <c r="BH336" i="33" s="1"/>
  <c r="BH327" i="33"/>
  <c r="BH328" i="33" s="1"/>
  <c r="BH319" i="33"/>
  <c r="BH320" i="33" s="1"/>
  <c r="BH311" i="33"/>
  <c r="BH312" i="33" s="1"/>
  <c r="BH304" i="33"/>
  <c r="BH305" i="33" s="1"/>
  <c r="BH296" i="33"/>
  <c r="BH297" i="33" s="1"/>
  <c r="BH283" i="33"/>
  <c r="BH284" i="33" s="1"/>
  <c r="BH274" i="33"/>
  <c r="BH275" i="33" s="1"/>
  <c r="BH266" i="33"/>
  <c r="BH267" i="33" s="1"/>
  <c r="BH269" i="33" s="1"/>
  <c r="BH259" i="33"/>
  <c r="BH260" i="33" s="1"/>
  <c r="BH262" i="33" s="1"/>
  <c r="BH252" i="33"/>
  <c r="BH253" i="33" s="1"/>
  <c r="BH255" i="33" s="1"/>
  <c r="BH243" i="33"/>
  <c r="BH244" i="33" s="1"/>
  <c r="BH246" i="33" s="1"/>
  <c r="BH237" i="33"/>
  <c r="BH238" i="33" s="1"/>
  <c r="BH240" i="33" s="1"/>
  <c r="BH230" i="33"/>
  <c r="BH231" i="33" s="1"/>
  <c r="BH233" i="33" s="1"/>
  <c r="BH224" i="33"/>
  <c r="BH226" i="33" s="1"/>
  <c r="BH223" i="33"/>
  <c r="BH216" i="33"/>
  <c r="BH217" i="33" s="1"/>
  <c r="BH219" i="33" s="1"/>
  <c r="BH209" i="33"/>
  <c r="BH210" i="33" s="1"/>
  <c r="BH201" i="33"/>
  <c r="BH202" i="33" s="1"/>
  <c r="BH193" i="33"/>
  <c r="BH194" i="33" s="1"/>
  <c r="BH186" i="33"/>
  <c r="BH187" i="33" s="1"/>
  <c r="BH189" i="33" s="1"/>
  <c r="BH178" i="33"/>
  <c r="BH179" i="33" s="1"/>
  <c r="BH170" i="33"/>
  <c r="BH171" i="33" s="1"/>
  <c r="BH162" i="33"/>
  <c r="BH163" i="33" s="1"/>
  <c r="Z142" i="33"/>
  <c r="Z148" i="33" s="1"/>
  <c r="V142" i="33"/>
  <c r="V148" i="33" s="1"/>
  <c r="R142" i="33"/>
  <c r="R148" i="33" s="1"/>
  <c r="AA135" i="33"/>
  <c r="AG129" i="33"/>
  <c r="AU133" i="33" s="1"/>
  <c r="AG104" i="33"/>
  <c r="AU121" i="33" s="1"/>
  <c r="X98" i="33"/>
  <c r="Q98" i="33"/>
  <c r="AV97" i="33"/>
  <c r="AE98" i="33"/>
  <c r="AV96" i="33"/>
  <c r="AV95" i="33"/>
  <c r="AV94" i="33"/>
  <c r="R79" i="33"/>
  <c r="AC78" i="33" s="1"/>
  <c r="AN78" i="33" s="1"/>
  <c r="AX78" i="33" s="1"/>
  <c r="Z78" i="33"/>
  <c r="R74" i="33"/>
  <c r="AS73" i="33"/>
  <c r="AC73" i="33"/>
  <c r="AN73" i="33" s="1"/>
  <c r="AX73" i="33" s="1"/>
  <c r="Z73" i="33"/>
  <c r="R69" i="33"/>
  <c r="AS68" i="33"/>
  <c r="AC68" i="33"/>
  <c r="AN68" i="33" s="1"/>
  <c r="AX68" i="33" s="1"/>
  <c r="Z68" i="33"/>
  <c r="R64" i="33"/>
  <c r="AC63" i="33" s="1"/>
  <c r="AN63" i="33" s="1"/>
  <c r="AS63" i="33"/>
  <c r="Z63" i="33"/>
  <c r="AS58" i="33"/>
  <c r="AC58" i="33"/>
  <c r="AN58" i="33" s="1"/>
  <c r="Z58" i="33"/>
  <c r="AX51" i="33"/>
  <c r="AA124" i="32"/>
  <c r="BH161" i="32"/>
  <c r="Z143" i="32"/>
  <c r="Z149" i="32" s="1"/>
  <c r="V143" i="32"/>
  <c r="V149" i="32" s="1"/>
  <c r="R143" i="32"/>
  <c r="R149" i="32" s="1"/>
  <c r="AA136" i="32"/>
  <c r="AG130" i="32"/>
  <c r="AG136" i="32" s="1"/>
  <c r="AG104" i="32"/>
  <c r="AG124" i="32" s="1"/>
  <c r="X98" i="32"/>
  <c r="Q98" i="32"/>
  <c r="AE97" i="32"/>
  <c r="AV97" i="32" s="1"/>
  <c r="AV96" i="32"/>
  <c r="AV95" i="32"/>
  <c r="AV94" i="32"/>
  <c r="R79" i="32"/>
  <c r="AC78" i="32" s="1"/>
  <c r="AN78" i="32" s="1"/>
  <c r="AX78" i="32" s="1"/>
  <c r="Z78" i="32"/>
  <c r="R74" i="32"/>
  <c r="AC73" i="32" s="1"/>
  <c r="AN73" i="32" s="1"/>
  <c r="AS73" i="32"/>
  <c r="Z73" i="32"/>
  <c r="R69" i="32"/>
  <c r="AC68" i="32" s="1"/>
  <c r="AN68" i="32" s="1"/>
  <c r="AS68" i="32"/>
  <c r="Z68" i="32"/>
  <c r="R64" i="32"/>
  <c r="AC63" i="32" s="1"/>
  <c r="AN63" i="32" s="1"/>
  <c r="AS63" i="32"/>
  <c r="Z63" i="32"/>
  <c r="AC58" i="32"/>
  <c r="AN58" i="32" s="1"/>
  <c r="AS58" i="32"/>
  <c r="Z58" i="32"/>
  <c r="AX51" i="32"/>
  <c r="AX52" i="32" s="1"/>
  <c r="AA130" i="31"/>
  <c r="BH166" i="31"/>
  <c r="Z149" i="31"/>
  <c r="Z155" i="31" s="1"/>
  <c r="V149" i="31"/>
  <c r="V155" i="31" s="1"/>
  <c r="R149" i="31"/>
  <c r="R155" i="31" s="1"/>
  <c r="AA142" i="31"/>
  <c r="AG136" i="31"/>
  <c r="AG142" i="31" s="1"/>
  <c r="AG130" i="31"/>
  <c r="X98" i="31"/>
  <c r="Q98" i="31"/>
  <c r="AE98" i="31"/>
  <c r="AV96" i="31"/>
  <c r="AV95" i="31"/>
  <c r="AV94" i="31"/>
  <c r="R79" i="31"/>
  <c r="AC78" i="31" s="1"/>
  <c r="AN78" i="31" s="1"/>
  <c r="AX78" i="31" s="1"/>
  <c r="Z78" i="31"/>
  <c r="R74" i="31"/>
  <c r="AC73" i="31" s="1"/>
  <c r="AN73" i="31" s="1"/>
  <c r="AS73" i="31"/>
  <c r="Z73" i="31"/>
  <c r="R69" i="31"/>
  <c r="AC68" i="31" s="1"/>
  <c r="AN68" i="31" s="1"/>
  <c r="AS68" i="31"/>
  <c r="Z68" i="31"/>
  <c r="R64" i="31"/>
  <c r="AC63" i="31" s="1"/>
  <c r="AN63" i="31" s="1"/>
  <c r="AS63" i="31"/>
  <c r="Z63" i="31"/>
  <c r="AC58" i="31"/>
  <c r="AN58" i="31" s="1"/>
  <c r="AS58" i="31"/>
  <c r="Z58" i="31"/>
  <c r="AX51" i="31"/>
  <c r="AA124" i="14"/>
  <c r="AA110" i="18"/>
  <c r="AE97" i="26"/>
  <c r="AX63" i="33" l="1"/>
  <c r="AX68" i="34"/>
  <c r="AX73" i="34"/>
  <c r="AU107" i="34"/>
  <c r="AV98" i="35"/>
  <c r="H142" i="35" s="1"/>
  <c r="AX68" i="31"/>
  <c r="AX63" i="31"/>
  <c r="AX73" i="31"/>
  <c r="AX58" i="33"/>
  <c r="AX83" i="33" s="1"/>
  <c r="AC24" i="33" s="1"/>
  <c r="AV98" i="33"/>
  <c r="H143" i="33" s="1"/>
  <c r="AU104" i="33"/>
  <c r="AX58" i="34"/>
  <c r="AX83" i="34" s="1"/>
  <c r="AC24" i="34" s="1"/>
  <c r="AU116" i="34"/>
  <c r="AU110" i="34"/>
  <c r="AU118" i="34"/>
  <c r="AU130" i="34"/>
  <c r="AU109" i="34"/>
  <c r="AV97" i="34"/>
  <c r="AV98" i="34" s="1"/>
  <c r="H144" i="34" s="1"/>
  <c r="AQ144" i="34" s="1"/>
  <c r="AU104" i="34"/>
  <c r="AU112" i="34"/>
  <c r="AU120" i="34"/>
  <c r="AU106" i="34"/>
  <c r="BE106" i="34" s="1"/>
  <c r="AU114" i="34"/>
  <c r="AU122" i="34"/>
  <c r="AU107" i="33"/>
  <c r="AG123" i="33"/>
  <c r="AU136" i="31"/>
  <c r="AX58" i="31"/>
  <c r="AU107" i="31"/>
  <c r="AU109" i="31"/>
  <c r="AU111" i="31"/>
  <c r="AU115" i="31"/>
  <c r="AV97" i="31"/>
  <c r="AV98" i="31" s="1"/>
  <c r="H150" i="31" s="1"/>
  <c r="AU104" i="31"/>
  <c r="AU110" i="31"/>
  <c r="AU114" i="31"/>
  <c r="V146" i="35"/>
  <c r="V145" i="35"/>
  <c r="AU106" i="35"/>
  <c r="BE106" i="35" s="1"/>
  <c r="AU111" i="35"/>
  <c r="AU115" i="35"/>
  <c r="AU119" i="35"/>
  <c r="AX58" i="35"/>
  <c r="AX83" i="35" s="1"/>
  <c r="AC24" i="35" s="1"/>
  <c r="AU104" i="35"/>
  <c r="AU107" i="35"/>
  <c r="AU109" i="35"/>
  <c r="AU113" i="35"/>
  <c r="AU117" i="35"/>
  <c r="AU121" i="35"/>
  <c r="AG122" i="35"/>
  <c r="AX52" i="35"/>
  <c r="AU129" i="35"/>
  <c r="AU131" i="35"/>
  <c r="AU133" i="35"/>
  <c r="AG134" i="35"/>
  <c r="AU105" i="35"/>
  <c r="AU108" i="35"/>
  <c r="AU110" i="35"/>
  <c r="AU112" i="35"/>
  <c r="AU114" i="35"/>
  <c r="AU116" i="35"/>
  <c r="AU118" i="35"/>
  <c r="AU128" i="35"/>
  <c r="AU130" i="35"/>
  <c r="R145" i="35"/>
  <c r="Z145" i="35"/>
  <c r="R146" i="35"/>
  <c r="Z146" i="35"/>
  <c r="BH159" i="35"/>
  <c r="BH158" i="35" s="1"/>
  <c r="BI158" i="35" s="1"/>
  <c r="BH174" i="34"/>
  <c r="BH173" i="34" s="1"/>
  <c r="BH190" i="34"/>
  <c r="BH189" i="34" s="1"/>
  <c r="BH166" i="34"/>
  <c r="BH165" i="34" s="1"/>
  <c r="BH182" i="34"/>
  <c r="BH181" i="34" s="1"/>
  <c r="AX52" i="34"/>
  <c r="AU132" i="34"/>
  <c r="AU134" i="34"/>
  <c r="R147" i="34"/>
  <c r="Z147" i="34"/>
  <c r="R148" i="34"/>
  <c r="Z148" i="34"/>
  <c r="BH197" i="34"/>
  <c r="BH196" i="34" s="1"/>
  <c r="BH227" i="34"/>
  <c r="BH226" i="34" s="1"/>
  <c r="BH241" i="34"/>
  <c r="BH240" i="34" s="1"/>
  <c r="BH256" i="34"/>
  <c r="BH255" i="34" s="1"/>
  <c r="BH270" i="34"/>
  <c r="BH269" i="34" s="1"/>
  <c r="BH287" i="34"/>
  <c r="BH286" i="34" s="1"/>
  <c r="BH331" i="34"/>
  <c r="BH330" i="34" s="1"/>
  <c r="BH347" i="34"/>
  <c r="BH346" i="34" s="1"/>
  <c r="AU105" i="34"/>
  <c r="AU108" i="34"/>
  <c r="AU111" i="34"/>
  <c r="AU113" i="34"/>
  <c r="AU115" i="34"/>
  <c r="AU117" i="34"/>
  <c r="AU119" i="34"/>
  <c r="AU121" i="34"/>
  <c r="AU123" i="34"/>
  <c r="AU131" i="34"/>
  <c r="AU133" i="34"/>
  <c r="AU135" i="34"/>
  <c r="V147" i="34"/>
  <c r="V148" i="34"/>
  <c r="BH220" i="34"/>
  <c r="BH219" i="34" s="1"/>
  <c r="BH234" i="34"/>
  <c r="BH233" i="34" s="1"/>
  <c r="BH247" i="34"/>
  <c r="BH246" i="34" s="1"/>
  <c r="BH263" i="34"/>
  <c r="BH262" i="34" s="1"/>
  <c r="BH278" i="34"/>
  <c r="BH277" i="34" s="1"/>
  <c r="BH323" i="34"/>
  <c r="BH322" i="34" s="1"/>
  <c r="BH339" i="34"/>
  <c r="BH338" i="34" s="1"/>
  <c r="BH354" i="34"/>
  <c r="BH353" i="34" s="1"/>
  <c r="BI353" i="34" s="1"/>
  <c r="BH204" i="34"/>
  <c r="BH212" i="34"/>
  <c r="BH300" i="34"/>
  <c r="BH299" i="34" s="1"/>
  <c r="BH308" i="34"/>
  <c r="BH307" i="34" s="1"/>
  <c r="BH315" i="34"/>
  <c r="BH314" i="34" s="1"/>
  <c r="AU106" i="33"/>
  <c r="BE106" i="33" s="1"/>
  <c r="AU109" i="33"/>
  <c r="AU112" i="33"/>
  <c r="AU116" i="33"/>
  <c r="AU120" i="33"/>
  <c r="V147" i="33"/>
  <c r="AU110" i="33"/>
  <c r="AU114" i="33"/>
  <c r="AU118" i="33"/>
  <c r="AU122" i="33"/>
  <c r="V146" i="33"/>
  <c r="M143" i="33"/>
  <c r="AU143" i="33" s="1"/>
  <c r="AY143" i="33"/>
  <c r="AQ143" i="33"/>
  <c r="AX52" i="33"/>
  <c r="AU130" i="33"/>
  <c r="AU132" i="33"/>
  <c r="AU134" i="33"/>
  <c r="AG135" i="33"/>
  <c r="BH165" i="33"/>
  <c r="BH164" i="33" s="1"/>
  <c r="BH173" i="33"/>
  <c r="BH172" i="33" s="1"/>
  <c r="BH181" i="33"/>
  <c r="BH180" i="33" s="1"/>
  <c r="BH196" i="33"/>
  <c r="BH195" i="33" s="1"/>
  <c r="BH212" i="33"/>
  <c r="BH211" i="33" s="1"/>
  <c r="BH286" i="33"/>
  <c r="BH285" i="33" s="1"/>
  <c r="BH307" i="33"/>
  <c r="BH306" i="33" s="1"/>
  <c r="BH322" i="33"/>
  <c r="BH321" i="33" s="1"/>
  <c r="BH338" i="33"/>
  <c r="BH337" i="33" s="1"/>
  <c r="BH353" i="33"/>
  <c r="BH352" i="33" s="1"/>
  <c r="BI352" i="33" s="1"/>
  <c r="AU105" i="33"/>
  <c r="AU108" i="33"/>
  <c r="AU111" i="33"/>
  <c r="AU113" i="33"/>
  <c r="AU115" i="33"/>
  <c r="AU117" i="33"/>
  <c r="AU119" i="33"/>
  <c r="AU129" i="33"/>
  <c r="AU131" i="33"/>
  <c r="R146" i="33"/>
  <c r="Z146" i="33"/>
  <c r="R147" i="33"/>
  <c r="Z147" i="33"/>
  <c r="BH188" i="33"/>
  <c r="BH204" i="33"/>
  <c r="BH203" i="33" s="1"/>
  <c r="BH277" i="33"/>
  <c r="BH276" i="33" s="1"/>
  <c r="BH299" i="33"/>
  <c r="BH298" i="33" s="1"/>
  <c r="BH314" i="33"/>
  <c r="BH313" i="33" s="1"/>
  <c r="BH330" i="33"/>
  <c r="BH329" i="33" s="1"/>
  <c r="BH346" i="33"/>
  <c r="BH345" i="33" s="1"/>
  <c r="BH218" i="33"/>
  <c r="BH225" i="33"/>
  <c r="BH232" i="33"/>
  <c r="BH239" i="33"/>
  <c r="BH245" i="33"/>
  <c r="BH254" i="33"/>
  <c r="BH261" i="33"/>
  <c r="BH268" i="33"/>
  <c r="AX63" i="32"/>
  <c r="AX68" i="32"/>
  <c r="AX73" i="32"/>
  <c r="AU110" i="32"/>
  <c r="AX58" i="32"/>
  <c r="AU130" i="32"/>
  <c r="AU132" i="32"/>
  <c r="AV98" i="32"/>
  <c r="H144" i="32" s="1"/>
  <c r="AQ144" i="32" s="1"/>
  <c r="AE98" i="32"/>
  <c r="AU105" i="32"/>
  <c r="AU108" i="32"/>
  <c r="AU112" i="32"/>
  <c r="AU114" i="32"/>
  <c r="AU116" i="32"/>
  <c r="AU118" i="32"/>
  <c r="AU120" i="32"/>
  <c r="AU122" i="32"/>
  <c r="AU134" i="32"/>
  <c r="R147" i="32"/>
  <c r="Z147" i="32"/>
  <c r="R148" i="32"/>
  <c r="Z148" i="32"/>
  <c r="AU104" i="32"/>
  <c r="AU106" i="32"/>
  <c r="BE106" i="32" s="1"/>
  <c r="AU107" i="32"/>
  <c r="AU109" i="32"/>
  <c r="AU111" i="32"/>
  <c r="AU113" i="32"/>
  <c r="AU115" i="32"/>
  <c r="AU117" i="32"/>
  <c r="AU119" i="32"/>
  <c r="AU121" i="32"/>
  <c r="AU123" i="32"/>
  <c r="AU131" i="32"/>
  <c r="AU133" i="32"/>
  <c r="AU135" i="32"/>
  <c r="V147" i="32"/>
  <c r="V148" i="32"/>
  <c r="BH163" i="32"/>
  <c r="BH162" i="32" s="1"/>
  <c r="BI162" i="32" s="1"/>
  <c r="AU106" i="31"/>
  <c r="BE106" i="31" s="1"/>
  <c r="AU116" i="31"/>
  <c r="AU118" i="31"/>
  <c r="AU120" i="31"/>
  <c r="AU122" i="31"/>
  <c r="AU124" i="31"/>
  <c r="AU126" i="31"/>
  <c r="AU128" i="31"/>
  <c r="AU138" i="31"/>
  <c r="AU140" i="31"/>
  <c r="R153" i="31"/>
  <c r="Z153" i="31"/>
  <c r="R154" i="31"/>
  <c r="Z154" i="31"/>
  <c r="AX52" i="31"/>
  <c r="AU105" i="31"/>
  <c r="AU108" i="31"/>
  <c r="AU117" i="31"/>
  <c r="AU119" i="31"/>
  <c r="AU121" i="31"/>
  <c r="AU123" i="31"/>
  <c r="AU125" i="31"/>
  <c r="AU127" i="31"/>
  <c r="AU129" i="31"/>
  <c r="AU137" i="31"/>
  <c r="AU139" i="31"/>
  <c r="AU141" i="31"/>
  <c r="V153" i="31"/>
  <c r="V154" i="31"/>
  <c r="BH168" i="31"/>
  <c r="BH167" i="31" s="1"/>
  <c r="BI167" i="31" s="1"/>
  <c r="AQ142" i="35" l="1"/>
  <c r="M142" i="35"/>
  <c r="AU142" i="35" s="1"/>
  <c r="AY142" i="35"/>
  <c r="M144" i="34"/>
  <c r="AU144" i="34" s="1"/>
  <c r="AY144" i="34"/>
  <c r="AX84" i="34"/>
  <c r="AS84" i="34" s="1"/>
  <c r="AX83" i="31"/>
  <c r="AX84" i="31" s="1"/>
  <c r="AS84" i="31" s="1"/>
  <c r="AU136" i="34"/>
  <c r="H146" i="34" s="1"/>
  <c r="AQ146" i="34" s="1"/>
  <c r="AU124" i="34"/>
  <c r="AU135" i="33"/>
  <c r="H145" i="33" s="1"/>
  <c r="M145" i="33" s="1"/>
  <c r="AU145" i="33" s="1"/>
  <c r="AX84" i="35"/>
  <c r="AS84" i="35" s="1"/>
  <c r="AS83" i="33"/>
  <c r="AC41" i="33"/>
  <c r="AN41" i="33" s="1"/>
  <c r="AS51" i="33" s="1"/>
  <c r="AS52" i="33" s="1"/>
  <c r="AX84" i="33"/>
  <c r="AS84" i="33" s="1"/>
  <c r="AC24" i="31"/>
  <c r="AQ150" i="31"/>
  <c r="M150" i="31"/>
  <c r="AU150" i="31" s="1"/>
  <c r="AY150" i="31"/>
  <c r="AU124" i="32"/>
  <c r="AX83" i="32"/>
  <c r="AS83" i="32" s="1"/>
  <c r="AS83" i="34"/>
  <c r="AC41" i="34"/>
  <c r="AN41" i="34" s="1"/>
  <c r="AS51" i="34" s="1"/>
  <c r="AS52" i="34" s="1"/>
  <c r="AX34" i="34"/>
  <c r="AV86" i="34" s="1"/>
  <c r="AN24" i="34"/>
  <c r="AS34" i="34" s="1"/>
  <c r="AO86" i="34" s="1"/>
  <c r="AN24" i="33"/>
  <c r="AS34" i="33" s="1"/>
  <c r="AX34" i="33"/>
  <c r="AV86" i="33" s="1"/>
  <c r="AU130" i="31"/>
  <c r="H151" i="31" s="1"/>
  <c r="AS83" i="35"/>
  <c r="AX34" i="35"/>
  <c r="AV86" i="35" s="1"/>
  <c r="AN24" i="35"/>
  <c r="AS34" i="35" s="1"/>
  <c r="AC41" i="35"/>
  <c r="AN41" i="35" s="1"/>
  <c r="AS51" i="35" s="1"/>
  <c r="AS52" i="35" s="1"/>
  <c r="AU122" i="35"/>
  <c r="H143" i="35" s="1"/>
  <c r="AU134" i="35"/>
  <c r="H144" i="35" s="1"/>
  <c r="AQ144" i="35" s="1"/>
  <c r="AX35" i="35"/>
  <c r="H145" i="34"/>
  <c r="M145" i="34" s="1"/>
  <c r="AU145" i="34" s="1"/>
  <c r="BI314" i="34"/>
  <c r="BI299" i="34"/>
  <c r="BI338" i="34"/>
  <c r="BI346" i="34"/>
  <c r="BN346" i="34" s="1"/>
  <c r="BN347" i="34" s="1"/>
  <c r="BI286" i="34"/>
  <c r="BN286" i="34" s="1"/>
  <c r="BN287" i="34" s="1"/>
  <c r="BI255" i="34"/>
  <c r="BI256" i="34" s="1"/>
  <c r="BI226" i="34"/>
  <c r="BI227" i="34" s="1"/>
  <c r="BI307" i="34"/>
  <c r="BN307" i="34" s="1"/>
  <c r="BN308" i="34" s="1"/>
  <c r="BN353" i="34"/>
  <c r="BN354" i="34" s="1"/>
  <c r="BI322" i="34"/>
  <c r="BN322" i="34" s="1"/>
  <c r="BN323" i="34" s="1"/>
  <c r="BI330" i="34"/>
  <c r="BN330" i="34" s="1"/>
  <c r="BN331" i="34" s="1"/>
  <c r="BI269" i="34"/>
  <c r="BN269" i="34" s="1"/>
  <c r="BN270" i="34" s="1"/>
  <c r="BI240" i="34"/>
  <c r="BI241" i="34" s="1"/>
  <c r="BI196" i="34"/>
  <c r="BI197" i="34" s="1"/>
  <c r="BI189" i="34"/>
  <c r="BI190" i="34" s="1"/>
  <c r="BI212" i="34"/>
  <c r="BI213" i="34" s="1"/>
  <c r="BI277" i="34"/>
  <c r="BN277" i="34" s="1"/>
  <c r="BN278" i="34" s="1"/>
  <c r="BI262" i="34"/>
  <c r="BI263" i="34" s="1"/>
  <c r="BI246" i="34"/>
  <c r="BN246" i="34" s="1"/>
  <c r="BN247" i="34" s="1"/>
  <c r="BI233" i="34"/>
  <c r="BI234" i="34" s="1"/>
  <c r="BI219" i="34"/>
  <c r="BI220" i="34" s="1"/>
  <c r="BI181" i="34"/>
  <c r="BI182" i="34" s="1"/>
  <c r="BI165" i="34"/>
  <c r="BI166" i="34" s="1"/>
  <c r="BI173" i="34"/>
  <c r="BI174" i="34" s="1"/>
  <c r="BI204" i="34"/>
  <c r="BI205" i="34" s="1"/>
  <c r="AX35" i="34"/>
  <c r="AU123" i="33"/>
  <c r="H144" i="33" s="1"/>
  <c r="AY144" i="33" s="1"/>
  <c r="BI329" i="33"/>
  <c r="BN329" i="33" s="1"/>
  <c r="BN330" i="33" s="1"/>
  <c r="BI298" i="33"/>
  <c r="BN298" i="33" s="1"/>
  <c r="BN299" i="33" s="1"/>
  <c r="BI211" i="33"/>
  <c r="BI212" i="33" s="1"/>
  <c r="BI172" i="33"/>
  <c r="BI173" i="33" s="1"/>
  <c r="BI345" i="33"/>
  <c r="BI313" i="33"/>
  <c r="BI203" i="33"/>
  <c r="BI204" i="33" s="1"/>
  <c r="BI285" i="33"/>
  <c r="BN285" i="33" s="1"/>
  <c r="BN286" i="33" s="1"/>
  <c r="BI180" i="33"/>
  <c r="BI181" i="33" s="1"/>
  <c r="BI164" i="33"/>
  <c r="BI165" i="33" s="1"/>
  <c r="BI268" i="33"/>
  <c r="BN268" i="33" s="1"/>
  <c r="BN269" i="33" s="1"/>
  <c r="BI254" i="33"/>
  <c r="BI255" i="33" s="1"/>
  <c r="BI239" i="33"/>
  <c r="BI240" i="33" s="1"/>
  <c r="BI225" i="33"/>
  <c r="BI226" i="33" s="1"/>
  <c r="BI276" i="33"/>
  <c r="BN276" i="33" s="1"/>
  <c r="BN277" i="33" s="1"/>
  <c r="BI188" i="33"/>
  <c r="BI189" i="33" s="1"/>
  <c r="AY145" i="33"/>
  <c r="BN352" i="33"/>
  <c r="BN353" i="33" s="1"/>
  <c r="BI337" i="33"/>
  <c r="BN337" i="33" s="1"/>
  <c r="BN338" i="33" s="1"/>
  <c r="BI321" i="33"/>
  <c r="BN321" i="33" s="1"/>
  <c r="BN322" i="33" s="1"/>
  <c r="BI306" i="33"/>
  <c r="BN306" i="33" s="1"/>
  <c r="BN307" i="33" s="1"/>
  <c r="BI195" i="33"/>
  <c r="BI196" i="33" s="1"/>
  <c r="BI261" i="33"/>
  <c r="BI262" i="33" s="1"/>
  <c r="BI245" i="33"/>
  <c r="BI232" i="33"/>
  <c r="BI233" i="33" s="1"/>
  <c r="BI218" i="33"/>
  <c r="BI219" i="33" s="1"/>
  <c r="AU136" i="32"/>
  <c r="H146" i="32" s="1"/>
  <c r="AQ146" i="32" s="1"/>
  <c r="H145" i="32"/>
  <c r="AQ145" i="32" s="1"/>
  <c r="AY144" i="32"/>
  <c r="M144" i="32"/>
  <c r="AU144" i="32" s="1"/>
  <c r="AU142" i="31"/>
  <c r="H152" i="31" s="1"/>
  <c r="AQ152" i="31" s="1"/>
  <c r="AN24" i="31"/>
  <c r="AS34" i="31" s="1"/>
  <c r="AX34" i="31"/>
  <c r="AC24" i="32" l="1"/>
  <c r="M146" i="34"/>
  <c r="AU146" i="34" s="1"/>
  <c r="AY146" i="34"/>
  <c r="BN255" i="34"/>
  <c r="BN256" i="34" s="1"/>
  <c r="AC41" i="31"/>
  <c r="AN41" i="31" s="1"/>
  <c r="AS51" i="31" s="1"/>
  <c r="AS52" i="31" s="1"/>
  <c r="AS83" i="31"/>
  <c r="AC41" i="32"/>
  <c r="AN41" i="32" s="1"/>
  <c r="AS51" i="32" s="1"/>
  <c r="AS52" i="32" s="1"/>
  <c r="AX84" i="32"/>
  <c r="AS84" i="32" s="1"/>
  <c r="AQ145" i="33"/>
  <c r="M146" i="32"/>
  <c r="AU146" i="32" s="1"/>
  <c r="BN226" i="34"/>
  <c r="BN227" i="34" s="1"/>
  <c r="BN195" i="33"/>
  <c r="BN196" i="33" s="1"/>
  <c r="AO86" i="33"/>
  <c r="AX35" i="33"/>
  <c r="AV87" i="33" s="1"/>
  <c r="AV88" i="33" s="1"/>
  <c r="M152" i="31"/>
  <c r="AU152" i="31" s="1"/>
  <c r="AY152" i="31"/>
  <c r="BN189" i="34"/>
  <c r="BN190" i="34" s="1"/>
  <c r="AO86" i="35"/>
  <c r="AY143" i="35"/>
  <c r="AQ143" i="35"/>
  <c r="M143" i="35"/>
  <c r="AU143" i="35" s="1"/>
  <c r="BI159" i="35"/>
  <c r="CM158" i="35"/>
  <c r="CE158" i="35"/>
  <c r="AV87" i="35"/>
  <c r="AV88" i="35" s="1"/>
  <c r="AS35" i="35"/>
  <c r="AO87" i="35" s="1"/>
  <c r="M144" i="35"/>
  <c r="AU144" i="35" s="1"/>
  <c r="AY144" i="35"/>
  <c r="BN158" i="35"/>
  <c r="BN159" i="35" s="1"/>
  <c r="AY145" i="34"/>
  <c r="AQ145" i="34"/>
  <c r="AV87" i="34"/>
  <c r="AV88" i="34" s="1"/>
  <c r="AS35" i="34"/>
  <c r="AO87" i="34" s="1"/>
  <c r="AO88" i="34" s="1"/>
  <c r="H143" i="34" s="1"/>
  <c r="BN204" i="34"/>
  <c r="BN205" i="34" s="1"/>
  <c r="BN173" i="34"/>
  <c r="BN174" i="34" s="1"/>
  <c r="BN165" i="34"/>
  <c r="BN166" i="34" s="1"/>
  <c r="BN181" i="34"/>
  <c r="BN182" i="34" s="1"/>
  <c r="BN219" i="34"/>
  <c r="BN220" i="34" s="1"/>
  <c r="BN233" i="34"/>
  <c r="BN234" i="34" s="1"/>
  <c r="BN262" i="34"/>
  <c r="BN263" i="34" s="1"/>
  <c r="BN212" i="34"/>
  <c r="BN213" i="34" s="1"/>
  <c r="BN196" i="34"/>
  <c r="BN197" i="34" s="1"/>
  <c r="BN240" i="34"/>
  <c r="BN241" i="34" s="1"/>
  <c r="BI331" i="34"/>
  <c r="CM330" i="34"/>
  <c r="CE330" i="34"/>
  <c r="CE286" i="34"/>
  <c r="BI287" i="34"/>
  <c r="CM286" i="34"/>
  <c r="BI339" i="34"/>
  <c r="CM338" i="34"/>
  <c r="CE338" i="34"/>
  <c r="BI300" i="34"/>
  <c r="CM299" i="34"/>
  <c r="CE299" i="34"/>
  <c r="BI315" i="34"/>
  <c r="CM314" i="34"/>
  <c r="CE314" i="34"/>
  <c r="BI247" i="34"/>
  <c r="CE277" i="34"/>
  <c r="BI278" i="34"/>
  <c r="CM277" i="34"/>
  <c r="CE269" i="34"/>
  <c r="BI270" i="34"/>
  <c r="CM269" i="34"/>
  <c r="BH293" i="34" s="1"/>
  <c r="BI323" i="34"/>
  <c r="CM322" i="34"/>
  <c r="CE322" i="34"/>
  <c r="BI354" i="34"/>
  <c r="CM353" i="34"/>
  <c r="CE353" i="34"/>
  <c r="BI308" i="34"/>
  <c r="CM307" i="34"/>
  <c r="CE307" i="34"/>
  <c r="BI347" i="34"/>
  <c r="CM346" i="34"/>
  <c r="CE346" i="34"/>
  <c r="BN338" i="34"/>
  <c r="BN339" i="34" s="1"/>
  <c r="BN299" i="34"/>
  <c r="BN300" i="34" s="1"/>
  <c r="BN314" i="34"/>
  <c r="BN315" i="34" s="1"/>
  <c r="AQ144" i="33"/>
  <c r="BN225" i="33"/>
  <c r="BN226" i="33" s="1"/>
  <c r="BN239" i="33"/>
  <c r="BN240" i="33" s="1"/>
  <c r="BN254" i="33"/>
  <c r="BN255" i="33" s="1"/>
  <c r="BN211" i="33"/>
  <c r="BN212" i="33" s="1"/>
  <c r="M144" i="33"/>
  <c r="AU144" i="33" s="1"/>
  <c r="BI246" i="33"/>
  <c r="BI314" i="33"/>
  <c r="CM313" i="33"/>
  <c r="CE313" i="33"/>
  <c r="BI346" i="33"/>
  <c r="CM345" i="33"/>
  <c r="CE345" i="33"/>
  <c r="BN218" i="33"/>
  <c r="BN219" i="33" s="1"/>
  <c r="BN232" i="33"/>
  <c r="BN233" i="33" s="1"/>
  <c r="BN245" i="33"/>
  <c r="BN246" i="33" s="1"/>
  <c r="BN261" i="33"/>
  <c r="BN262" i="33" s="1"/>
  <c r="BI307" i="33"/>
  <c r="CM306" i="33"/>
  <c r="CE306" i="33"/>
  <c r="BI322" i="33"/>
  <c r="CM321" i="33"/>
  <c r="CE321" i="33"/>
  <c r="BI338" i="33"/>
  <c r="CM337" i="33"/>
  <c r="CE337" i="33"/>
  <c r="BI353" i="33"/>
  <c r="CM352" i="33"/>
  <c r="CE352" i="33"/>
  <c r="BN188" i="33"/>
  <c r="BN189" i="33" s="1"/>
  <c r="CE276" i="33"/>
  <c r="BI277" i="33"/>
  <c r="CM276" i="33"/>
  <c r="CE268" i="33"/>
  <c r="BI269" i="33"/>
  <c r="CM268" i="33"/>
  <c r="BN164" i="33"/>
  <c r="BN165" i="33" s="1"/>
  <c r="BN180" i="33"/>
  <c r="BN181" i="33" s="1"/>
  <c r="CE285" i="33"/>
  <c r="BI286" i="33"/>
  <c r="CM285" i="33"/>
  <c r="BN203" i="33"/>
  <c r="BN204" i="33" s="1"/>
  <c r="BN313" i="33"/>
  <c r="BN314" i="33" s="1"/>
  <c r="BN345" i="33"/>
  <c r="BN346" i="33" s="1"/>
  <c r="BN172" i="33"/>
  <c r="BN173" i="33" s="1"/>
  <c r="BI299" i="33"/>
  <c r="CM298" i="33"/>
  <c r="CE298" i="33"/>
  <c r="BI330" i="33"/>
  <c r="CM329" i="33"/>
  <c r="CE329" i="33"/>
  <c r="AY146" i="32"/>
  <c r="M145" i="32"/>
  <c r="AU145" i="32" s="1"/>
  <c r="AY145" i="32"/>
  <c r="BI163" i="32"/>
  <c r="CM162" i="32"/>
  <c r="CE162" i="32"/>
  <c r="BN162" i="32"/>
  <c r="BN163" i="32" s="1"/>
  <c r="M151" i="31"/>
  <c r="AU151" i="31" s="1"/>
  <c r="AQ151" i="31"/>
  <c r="AY151" i="31"/>
  <c r="BI168" i="31"/>
  <c r="CM167" i="31"/>
  <c r="CE167" i="31"/>
  <c r="AV86" i="31"/>
  <c r="AX35" i="31"/>
  <c r="BN167" i="31"/>
  <c r="BN168" i="31" s="1"/>
  <c r="BH369" i="11"/>
  <c r="BH370" i="11" s="1"/>
  <c r="BH362" i="11"/>
  <c r="BH363" i="11" s="1"/>
  <c r="BH159" i="22"/>
  <c r="BH160" i="22" s="1"/>
  <c r="BE384" i="15"/>
  <c r="BE282" i="27"/>
  <c r="BF377" i="17"/>
  <c r="BH307" i="23"/>
  <c r="BH309" i="23" s="1"/>
  <c r="BH323" i="18"/>
  <c r="BH352" i="14"/>
  <c r="AV158" i="19"/>
  <c r="AV159" i="19" s="1"/>
  <c r="AX34" i="32" l="1"/>
  <c r="AN24" i="32"/>
  <c r="AS34" i="32" s="1"/>
  <c r="AO86" i="32" s="1"/>
  <c r="AO88" i="35"/>
  <c r="H141" i="35" s="1"/>
  <c r="AQ141" i="35" s="1"/>
  <c r="AQ145" i="35" s="1"/>
  <c r="AO86" i="31"/>
  <c r="AS35" i="33"/>
  <c r="AO87" i="33" s="1"/>
  <c r="AO88" i="33" s="1"/>
  <c r="H142" i="33" s="1"/>
  <c r="AY142" i="33" s="1"/>
  <c r="AY146" i="33" s="1"/>
  <c r="CM356" i="33"/>
  <c r="H147" i="34"/>
  <c r="AY143" i="34"/>
  <c r="AY147" i="34" s="1"/>
  <c r="AQ143" i="34"/>
  <c r="AQ147" i="34" s="1"/>
  <c r="M143" i="34"/>
  <c r="CM357" i="34"/>
  <c r="BH292" i="33"/>
  <c r="AV87" i="31"/>
  <c r="AV88" i="31" s="1"/>
  <c r="AS35" i="31"/>
  <c r="AO87" i="31" s="1"/>
  <c r="BH372" i="11"/>
  <c r="BH371" i="11" s="1"/>
  <c r="BH365" i="11"/>
  <c r="BH364" i="11" s="1"/>
  <c r="BH162" i="22"/>
  <c r="BH161" i="22" s="1"/>
  <c r="BE386" i="15"/>
  <c r="BE385" i="15" s="1"/>
  <c r="BE284" i="27"/>
  <c r="BE283" i="27" s="1"/>
  <c r="BF379" i="17"/>
  <c r="BF378" i="17" s="1"/>
  <c r="BH308" i="23"/>
  <c r="BH325" i="18"/>
  <c r="BH324" i="18" s="1"/>
  <c r="BH354" i="14"/>
  <c r="BH353" i="14" s="1"/>
  <c r="BI353" i="14" s="1"/>
  <c r="AV161" i="19"/>
  <c r="AV160" i="19" s="1"/>
  <c r="BH315" i="18"/>
  <c r="BH316" i="18" s="1"/>
  <c r="BH347" i="11"/>
  <c r="AO88" i="31" l="1"/>
  <c r="H149" i="31" s="1"/>
  <c r="AQ149" i="31" s="1"/>
  <c r="AV86" i="32"/>
  <c r="AX35" i="32"/>
  <c r="M141" i="35"/>
  <c r="AU141" i="35" s="1"/>
  <c r="AU145" i="35" s="1"/>
  <c r="AY141" i="35"/>
  <c r="AY145" i="35" s="1"/>
  <c r="AY146" i="35" s="1"/>
  <c r="AY147" i="35" s="1"/>
  <c r="H145" i="35"/>
  <c r="H146" i="35" s="1"/>
  <c r="H147" i="35" s="1"/>
  <c r="H146" i="33"/>
  <c r="H147" i="33" s="1"/>
  <c r="H148" i="33" s="1"/>
  <c r="M142" i="33"/>
  <c r="AU142" i="33" s="1"/>
  <c r="AU146" i="33" s="1"/>
  <c r="AQ142" i="33"/>
  <c r="AQ146" i="33" s="1"/>
  <c r="AQ147" i="33" s="1"/>
  <c r="AQ148" i="33" s="1"/>
  <c r="AQ146" i="35"/>
  <c r="AQ147" i="35" s="1"/>
  <c r="M147" i="34"/>
  <c r="AU143" i="34"/>
  <c r="AU147" i="34" s="1"/>
  <c r="AY148" i="34"/>
  <c r="AY149" i="34" s="1"/>
  <c r="AQ148" i="34"/>
  <c r="AQ149" i="34" s="1"/>
  <c r="H148" i="34"/>
  <c r="H149" i="34" s="1"/>
  <c r="AY147" i="33"/>
  <c r="AY148" i="33" s="1"/>
  <c r="H153" i="31"/>
  <c r="AY149" i="31"/>
  <c r="AY153" i="31" s="1"/>
  <c r="AQ153" i="31"/>
  <c r="M149" i="31"/>
  <c r="AU149" i="31" s="1"/>
  <c r="BI371" i="11"/>
  <c r="BN371" i="11" s="1"/>
  <c r="BN372" i="11" s="1"/>
  <c r="BI364" i="11"/>
  <c r="BN364" i="11" s="1"/>
  <c r="BN365" i="11" s="1"/>
  <c r="BI161" i="22"/>
  <c r="BN161" i="22" s="1"/>
  <c r="BN162" i="22" s="1"/>
  <c r="BF385" i="15"/>
  <c r="BK385" i="15" s="1"/>
  <c r="BK386" i="15" s="1"/>
  <c r="BF283" i="27"/>
  <c r="BK283" i="27" s="1"/>
  <c r="BK284" i="27" s="1"/>
  <c r="BG378" i="17"/>
  <c r="BL378" i="17" s="1"/>
  <c r="BL379" i="17" s="1"/>
  <c r="BI308" i="23"/>
  <c r="BN308" i="23" s="1"/>
  <c r="BN309" i="23" s="1"/>
  <c r="BI324" i="18"/>
  <c r="BN324" i="18" s="1"/>
  <c r="BN325" i="18" s="1"/>
  <c r="BN353" i="14"/>
  <c r="BN354" i="14" s="1"/>
  <c r="AW160" i="19"/>
  <c r="BB160" i="19" s="1"/>
  <c r="BB161" i="19" s="1"/>
  <c r="BH318" i="18"/>
  <c r="BH317" i="18" s="1"/>
  <c r="BH355" i="11"/>
  <c r="BH356" i="11" s="1"/>
  <c r="BH348" i="11"/>
  <c r="BE376" i="15"/>
  <c r="BE377" i="15" s="1"/>
  <c r="BE368" i="15"/>
  <c r="BE369" i="15" s="1"/>
  <c r="BF368" i="17"/>
  <c r="BF369" i="17"/>
  <c r="BH344" i="14"/>
  <c r="BH345" i="14" s="1"/>
  <c r="BH299" i="23"/>
  <c r="BH300" i="23" s="1"/>
  <c r="BE272" i="27"/>
  <c r="BE273" i="27" s="1"/>
  <c r="BE240" i="26"/>
  <c r="AS35" i="32" l="1"/>
  <c r="AO87" i="32" s="1"/>
  <c r="AO88" i="32" s="1"/>
  <c r="H143" i="32" s="1"/>
  <c r="AV87" i="32"/>
  <c r="AV88" i="32" s="1"/>
  <c r="M145" i="35"/>
  <c r="M146" i="35" s="1"/>
  <c r="M147" i="35" s="1"/>
  <c r="M146" i="33"/>
  <c r="M147" i="33" s="1"/>
  <c r="M148" i="33" s="1"/>
  <c r="AU146" i="35"/>
  <c r="AU147" i="35" s="1"/>
  <c r="AU148" i="34"/>
  <c r="AU149" i="34" s="1"/>
  <c r="M148" i="34"/>
  <c r="M149" i="34" s="1"/>
  <c r="AU147" i="33"/>
  <c r="AU148" i="33" s="1"/>
  <c r="M153" i="31"/>
  <c r="AU153" i="31"/>
  <c r="AY154" i="31"/>
  <c r="AY155" i="31" s="1"/>
  <c r="AQ154" i="31"/>
  <c r="AQ155" i="31" s="1"/>
  <c r="H154" i="31"/>
  <c r="H155" i="31" s="1"/>
  <c r="CE371" i="11"/>
  <c r="BI372" i="11"/>
  <c r="CM371" i="11"/>
  <c r="CE364" i="11"/>
  <c r="BI365" i="11"/>
  <c r="CM364" i="11"/>
  <c r="BW161" i="22"/>
  <c r="BI162" i="22"/>
  <c r="CE161" i="22"/>
  <c r="BZ385" i="15"/>
  <c r="BF386" i="15"/>
  <c r="CH385" i="15"/>
  <c r="CB283" i="27"/>
  <c r="BF284" i="27"/>
  <c r="CH283" i="27"/>
  <c r="CD378" i="17"/>
  <c r="BG379" i="17"/>
  <c r="CN378" i="17"/>
  <c r="CE308" i="23"/>
  <c r="BI309" i="23"/>
  <c r="CK308" i="23"/>
  <c r="CD324" i="18"/>
  <c r="BI325" i="18"/>
  <c r="CM324" i="18"/>
  <c r="CE353" i="14"/>
  <c r="BI354" i="14"/>
  <c r="CM353" i="14"/>
  <c r="BR160" i="19"/>
  <c r="AW161" i="19"/>
  <c r="BZ160" i="19"/>
  <c r="BI317" i="18"/>
  <c r="BN317" i="18" s="1"/>
  <c r="BN318" i="18" s="1"/>
  <c r="BH358" i="11"/>
  <c r="BH357" i="11" s="1"/>
  <c r="BH350" i="11"/>
  <c r="BH349" i="11" s="1"/>
  <c r="BE379" i="15"/>
  <c r="BE378" i="15" s="1"/>
  <c r="BE371" i="15"/>
  <c r="BE370" i="15" s="1"/>
  <c r="BF371" i="17"/>
  <c r="BF370" i="17" s="1"/>
  <c r="BH347" i="14"/>
  <c r="BH346" i="14" s="1"/>
  <c r="BH302" i="23"/>
  <c r="BH301" i="23" s="1"/>
  <c r="BE275" i="27"/>
  <c r="BE274" i="27" s="1"/>
  <c r="BE241" i="26"/>
  <c r="EG239" i="26"/>
  <c r="EG240" i="26" s="1"/>
  <c r="DG239" i="26"/>
  <c r="DG240" i="26" s="1"/>
  <c r="AQ143" i="32" l="1"/>
  <c r="AQ147" i="32" s="1"/>
  <c r="AQ148" i="32" s="1"/>
  <c r="AQ149" i="32" s="1"/>
  <c r="M143" i="32"/>
  <c r="H147" i="32"/>
  <c r="AY143" i="32"/>
  <c r="AY147" i="32" s="1"/>
  <c r="AY148" i="32" s="1"/>
  <c r="AY149" i="32" s="1"/>
  <c r="AU154" i="31"/>
  <c r="AU155" i="31" s="1"/>
  <c r="M154" i="31"/>
  <c r="M155" i="31" s="1"/>
  <c r="CD317" i="18"/>
  <c r="BI318" i="18"/>
  <c r="CM317" i="18"/>
  <c r="BI357" i="11"/>
  <c r="BN357" i="11" s="1"/>
  <c r="BN358" i="11" s="1"/>
  <c r="BI349" i="11"/>
  <c r="BN349" i="11" s="1"/>
  <c r="BN350" i="11" s="1"/>
  <c r="BF378" i="15"/>
  <c r="BK378" i="15" s="1"/>
  <c r="BK379" i="15" s="1"/>
  <c r="BF370" i="15"/>
  <c r="BK370" i="15" s="1"/>
  <c r="BK371" i="15" s="1"/>
  <c r="BG370" i="17"/>
  <c r="BL370" i="17" s="1"/>
  <c r="BL371" i="17" s="1"/>
  <c r="BI346" i="14"/>
  <c r="BN346" i="14" s="1"/>
  <c r="BN347" i="14" s="1"/>
  <c r="BI301" i="23"/>
  <c r="BN301" i="23" s="1"/>
  <c r="BN302" i="23" s="1"/>
  <c r="BF274" i="27"/>
  <c r="BK274" i="27" s="1"/>
  <c r="BK275" i="27" s="1"/>
  <c r="BE243" i="26"/>
  <c r="BE242" i="26" s="1"/>
  <c r="DG242" i="26"/>
  <c r="DG241" i="26" s="1"/>
  <c r="EG242" i="26"/>
  <c r="EG241" i="26" s="1"/>
  <c r="BF360" i="17"/>
  <c r="H148" i="32" l="1"/>
  <c r="H149" i="32"/>
  <c r="AU143" i="32"/>
  <c r="AU147" i="32" s="1"/>
  <c r="AU148" i="32" s="1"/>
  <c r="AU149" i="32" s="1"/>
  <c r="M147" i="32"/>
  <c r="M148" i="32" s="1"/>
  <c r="M149" i="32" s="1"/>
  <c r="CE357" i="11"/>
  <c r="BI358" i="11"/>
  <c r="CM357" i="11"/>
  <c r="CE349" i="11"/>
  <c r="BI350" i="11"/>
  <c r="CM349" i="11"/>
  <c r="BZ378" i="15"/>
  <c r="BF379" i="15"/>
  <c r="CH378" i="15"/>
  <c r="BZ370" i="15"/>
  <c r="BF371" i="15"/>
  <c r="CH370" i="15"/>
  <c r="CD370" i="17"/>
  <c r="BG371" i="17"/>
  <c r="CN370" i="17"/>
  <c r="CE346" i="14"/>
  <c r="BI347" i="14"/>
  <c r="CM346" i="14"/>
  <c r="CE301" i="23"/>
  <c r="BI302" i="23"/>
  <c r="CK301" i="23"/>
  <c r="CB274" i="27"/>
  <c r="BF275" i="27"/>
  <c r="CH274" i="27"/>
  <c r="DH241" i="26"/>
  <c r="DH242" i="26" s="1"/>
  <c r="EH241" i="26"/>
  <c r="EH242" i="26" s="1"/>
  <c r="BF242" i="26"/>
  <c r="BK242" i="26" s="1"/>
  <c r="BK243" i="26" s="1"/>
  <c r="BF361" i="17"/>
  <c r="BE361" i="15"/>
  <c r="BE362" i="15" s="1"/>
  <c r="BH290" i="23"/>
  <c r="BH291" i="23" s="1"/>
  <c r="BE264" i="27"/>
  <c r="BE265" i="27" s="1"/>
  <c r="BH340" i="11"/>
  <c r="BH341" i="11" s="1"/>
  <c r="BH336" i="14"/>
  <c r="BH337" i="14" s="1"/>
  <c r="BE353" i="15"/>
  <c r="BE354" i="15" s="1"/>
  <c r="BE233" i="26"/>
  <c r="BE234" i="26" s="1"/>
  <c r="EG232" i="26"/>
  <c r="EG233" i="26" s="1"/>
  <c r="DG232" i="26"/>
  <c r="DG233" i="26" s="1"/>
  <c r="BH307" i="18"/>
  <c r="BH308" i="18" s="1"/>
  <c r="BH333" i="11"/>
  <c r="BH334" i="11" s="1"/>
  <c r="DM241" i="26" l="1"/>
  <c r="DM242" i="26" s="1"/>
  <c r="GI242" i="26"/>
  <c r="BF243" i="26"/>
  <c r="GO242" i="26"/>
  <c r="EM241" i="26"/>
  <c r="EM242" i="26" s="1"/>
  <c r="BF363" i="17"/>
  <c r="BF362" i="17" s="1"/>
  <c r="BE364" i="15"/>
  <c r="BE363" i="15" s="1"/>
  <c r="BH293" i="23"/>
  <c r="BH292" i="23" s="1"/>
  <c r="BE267" i="27"/>
  <c r="BE266" i="27" s="1"/>
  <c r="BH343" i="11"/>
  <c r="BH342" i="11" s="1"/>
  <c r="BH339" i="14"/>
  <c r="BH338" i="14" s="1"/>
  <c r="BE356" i="15"/>
  <c r="BE355" i="15" s="1"/>
  <c r="EG235" i="26"/>
  <c r="EG234" i="26" s="1"/>
  <c r="DG235" i="26"/>
  <c r="DG234" i="26" s="1"/>
  <c r="BE236" i="26"/>
  <c r="BE235" i="26" s="1"/>
  <c r="BH310" i="18"/>
  <c r="BH309" i="18" s="1"/>
  <c r="BH336" i="11"/>
  <c r="BH335" i="11" s="1"/>
  <c r="BE226" i="26"/>
  <c r="BE227" i="26" s="1"/>
  <c r="EG225" i="26"/>
  <c r="EG226" i="26" s="1"/>
  <c r="DG225" i="26"/>
  <c r="DG226" i="26" s="1"/>
  <c r="BE256" i="27"/>
  <c r="BE257" i="27" s="1"/>
  <c r="BH282" i="23"/>
  <c r="BH283" i="23" s="1"/>
  <c r="BH328" i="14"/>
  <c r="BH329" i="14" s="1"/>
  <c r="BF352" i="17"/>
  <c r="BF353" i="17" s="1"/>
  <c r="BG362" i="17" l="1"/>
  <c r="BF363" i="15"/>
  <c r="BK363" i="15" s="1"/>
  <c r="BK364" i="15" s="1"/>
  <c r="BI292" i="23"/>
  <c r="BN292" i="23" s="1"/>
  <c r="BN293" i="23" s="1"/>
  <c r="BF266" i="27"/>
  <c r="BK266" i="27" s="1"/>
  <c r="BK267" i="27" s="1"/>
  <c r="BI342" i="11"/>
  <c r="BN342" i="11" s="1"/>
  <c r="BN343" i="11" s="1"/>
  <c r="BI338" i="14"/>
  <c r="BF355" i="15"/>
  <c r="BK355" i="15" s="1"/>
  <c r="BK356" i="15" s="1"/>
  <c r="DH234" i="26"/>
  <c r="DH235" i="26" s="1"/>
  <c r="EH234" i="26"/>
  <c r="EH235" i="26" s="1"/>
  <c r="BF235" i="26"/>
  <c r="BK235" i="26" s="1"/>
  <c r="BK236" i="26" s="1"/>
  <c r="BI309" i="18"/>
  <c r="BN309" i="18" s="1"/>
  <c r="BN310" i="18" s="1"/>
  <c r="BI335" i="11"/>
  <c r="EG228" i="26"/>
  <c r="EG227" i="26" s="1"/>
  <c r="DG228" i="26"/>
  <c r="DG227" i="26" s="1"/>
  <c r="BE229" i="26"/>
  <c r="BE228" i="26" s="1"/>
  <c r="BE259" i="27"/>
  <c r="BE258" i="27" s="1"/>
  <c r="BH285" i="23"/>
  <c r="BH284" i="23" s="1"/>
  <c r="BH331" i="14"/>
  <c r="BH330" i="14" s="1"/>
  <c r="BF355" i="17"/>
  <c r="BF354" i="17" s="1"/>
  <c r="BE345" i="15"/>
  <c r="BE346" i="15" s="1"/>
  <c r="BE337" i="15"/>
  <c r="BE338" i="15" s="1"/>
  <c r="BE340" i="15" s="1"/>
  <c r="BH326" i="11"/>
  <c r="BH327" i="11" s="1"/>
  <c r="BH299" i="18"/>
  <c r="BH300" i="18" s="1"/>
  <c r="BH318" i="11"/>
  <c r="BH319" i="11" s="1"/>
  <c r="DM234" i="26" l="1"/>
  <c r="DM235" i="26" s="1"/>
  <c r="BG363" i="17"/>
  <c r="CN362" i="17"/>
  <c r="CD362" i="17"/>
  <c r="BL362" i="17"/>
  <c r="BL363" i="17" s="1"/>
  <c r="BF364" i="15"/>
  <c r="CH363" i="15"/>
  <c r="BZ363" i="15"/>
  <c r="BI293" i="23"/>
  <c r="CK292" i="23"/>
  <c r="CE292" i="23"/>
  <c r="CB266" i="27"/>
  <c r="BF267" i="27"/>
  <c r="CH266" i="27"/>
  <c r="BI343" i="11"/>
  <c r="CM342" i="11"/>
  <c r="CE342" i="11"/>
  <c r="BI339" i="14"/>
  <c r="CM338" i="14"/>
  <c r="CE338" i="14"/>
  <c r="BN338" i="14"/>
  <c r="BN339" i="14" s="1"/>
  <c r="BZ355" i="15"/>
  <c r="BF356" i="15"/>
  <c r="CH355" i="15"/>
  <c r="BF236" i="26"/>
  <c r="GO235" i="26"/>
  <c r="GI235" i="26"/>
  <c r="EM234" i="26"/>
  <c r="EM235" i="26" s="1"/>
  <c r="CD309" i="18"/>
  <c r="BI310" i="18"/>
  <c r="CM309" i="18"/>
  <c r="BI336" i="11"/>
  <c r="CM335" i="11"/>
  <c r="CE335" i="11"/>
  <c r="BN335" i="11"/>
  <c r="BN336" i="11" s="1"/>
  <c r="DH227" i="26"/>
  <c r="DH228" i="26" s="1"/>
  <c r="EH227" i="26"/>
  <c r="EH228" i="26" s="1"/>
  <c r="BF228" i="26"/>
  <c r="BK228" i="26" s="1"/>
  <c r="BK229" i="26" s="1"/>
  <c r="BF258" i="27"/>
  <c r="BK258" i="27" s="1"/>
  <c r="BK259" i="27" s="1"/>
  <c r="BI284" i="23"/>
  <c r="BI330" i="14"/>
  <c r="BG354" i="17"/>
  <c r="BL354" i="17" s="1"/>
  <c r="BL355" i="17" s="1"/>
  <c r="BE348" i="15"/>
  <c r="BE347" i="15" s="1"/>
  <c r="BE339" i="15"/>
  <c r="BH329" i="11"/>
  <c r="BH328" i="11" s="1"/>
  <c r="BH302" i="18"/>
  <c r="BH301" i="18" s="1"/>
  <c r="BH321" i="11"/>
  <c r="BH320" i="11" s="1"/>
  <c r="BH309" i="11"/>
  <c r="BH310" i="11" s="1"/>
  <c r="BF344" i="17"/>
  <c r="BF345" i="17" s="1"/>
  <c r="BE329" i="15"/>
  <c r="BE330" i="15" s="1"/>
  <c r="BH320" i="14"/>
  <c r="BH321" i="14" s="1"/>
  <c r="BE248" i="27"/>
  <c r="BE249" i="27" s="1"/>
  <c r="BE251" i="27" s="1"/>
  <c r="BH291" i="18"/>
  <c r="BH292" i="18" s="1"/>
  <c r="BH275" i="23"/>
  <c r="BH276" i="23" s="1"/>
  <c r="BH302" i="11"/>
  <c r="BH303" i="11" s="1"/>
  <c r="DM227" i="26" l="1"/>
  <c r="DM228" i="26" s="1"/>
  <c r="BN284" i="23"/>
  <c r="BN285" i="23" s="1"/>
  <c r="BF229" i="26"/>
  <c r="GO228" i="26"/>
  <c r="GI228" i="26"/>
  <c r="EM227" i="26"/>
  <c r="EM228" i="26" s="1"/>
  <c r="CB258" i="27"/>
  <c r="BF259" i="27"/>
  <c r="CH258" i="27"/>
  <c r="BI285" i="23"/>
  <c r="CK284" i="23"/>
  <c r="CE284" i="23"/>
  <c r="BI331" i="14"/>
  <c r="CM330" i="14"/>
  <c r="CE330" i="14"/>
  <c r="BN330" i="14"/>
  <c r="BN331" i="14" s="1"/>
  <c r="BG355" i="17"/>
  <c r="CN354" i="17"/>
  <c r="CD354" i="17"/>
  <c r="BF347" i="15"/>
  <c r="BK347" i="15" s="1"/>
  <c r="BK348" i="15" s="1"/>
  <c r="BF339" i="15"/>
  <c r="BK339" i="15" s="1"/>
  <c r="BK340" i="15" s="1"/>
  <c r="BI328" i="11"/>
  <c r="BI301" i="18"/>
  <c r="BN301" i="18" s="1"/>
  <c r="BN302" i="18" s="1"/>
  <c r="BI320" i="11"/>
  <c r="BN320" i="11" s="1"/>
  <c r="BN321" i="11" s="1"/>
  <c r="BH312" i="11"/>
  <c r="BH311" i="11" s="1"/>
  <c r="BF347" i="17"/>
  <c r="BF346" i="17" s="1"/>
  <c r="BE332" i="15"/>
  <c r="BE331" i="15" s="1"/>
  <c r="BH323" i="14"/>
  <c r="BH322" i="14" s="1"/>
  <c r="BE250" i="27"/>
  <c r="BH294" i="18"/>
  <c r="BH293" i="18" s="1"/>
  <c r="BH278" i="23"/>
  <c r="BH277" i="23" s="1"/>
  <c r="BH305" i="11"/>
  <c r="BH304" i="11" s="1"/>
  <c r="BZ347" i="15" l="1"/>
  <c r="BF348" i="15"/>
  <c r="CH347" i="15"/>
  <c r="BZ339" i="15"/>
  <c r="BF340" i="15"/>
  <c r="CH339" i="15"/>
  <c r="BI329" i="11"/>
  <c r="CM328" i="11"/>
  <c r="CE328" i="11"/>
  <c r="BN328" i="11"/>
  <c r="BN329" i="11" s="1"/>
  <c r="BI302" i="18"/>
  <c r="CM301" i="18"/>
  <c r="CD301" i="18"/>
  <c r="CE320" i="11"/>
  <c r="BI321" i="11"/>
  <c r="CM320" i="11"/>
  <c r="BI311" i="11"/>
  <c r="BN311" i="11" s="1"/>
  <c r="BN312" i="11" s="1"/>
  <c r="BG346" i="17"/>
  <c r="BL346" i="17" s="1"/>
  <c r="BL347" i="17" s="1"/>
  <c r="BF331" i="15"/>
  <c r="BK331" i="15" s="1"/>
  <c r="BK332" i="15" s="1"/>
  <c r="BI322" i="14"/>
  <c r="BF250" i="27"/>
  <c r="BK250" i="27" s="1"/>
  <c r="BK251" i="27" s="1"/>
  <c r="BI293" i="18"/>
  <c r="BN293" i="18" s="1"/>
  <c r="BN294" i="18" s="1"/>
  <c r="BI277" i="23"/>
  <c r="BN277" i="23" s="1"/>
  <c r="BN278" i="23" s="1"/>
  <c r="BI304" i="11"/>
  <c r="BN304" i="11" s="1"/>
  <c r="BN305" i="11" s="1"/>
  <c r="BI312" i="11" l="1"/>
  <c r="CM311" i="11"/>
  <c r="CE311" i="11"/>
  <c r="CD346" i="17"/>
  <c r="BG347" i="17"/>
  <c r="CN346" i="17"/>
  <c r="BF332" i="15"/>
  <c r="CH331" i="15"/>
  <c r="BZ331" i="15"/>
  <c r="BI323" i="14"/>
  <c r="CM322" i="14"/>
  <c r="CE322" i="14"/>
  <c r="BN322" i="14"/>
  <c r="BN323" i="14" s="1"/>
  <c r="CB250" i="27"/>
  <c r="BF251" i="27"/>
  <c r="CH250" i="27"/>
  <c r="BI294" i="18"/>
  <c r="CM293" i="18"/>
  <c r="CD293" i="18"/>
  <c r="CE277" i="23"/>
  <c r="BI278" i="23"/>
  <c r="CK277" i="23"/>
  <c r="BI305" i="11"/>
  <c r="CM304" i="11"/>
  <c r="CE304" i="11"/>
  <c r="BH284" i="18"/>
  <c r="BH285" i="18" s="1"/>
  <c r="BE240" i="27"/>
  <c r="BE241" i="27" s="1"/>
  <c r="BF337" i="17"/>
  <c r="BF338" i="17" s="1"/>
  <c r="BE217" i="26"/>
  <c r="BE218" i="26" s="1"/>
  <c r="EG216" i="26"/>
  <c r="EG217" i="26" s="1"/>
  <c r="DG216" i="26"/>
  <c r="DG217" i="26" s="1"/>
  <c r="BH295" i="11"/>
  <c r="BH296" i="11" s="1"/>
  <c r="BH312" i="14"/>
  <c r="BH313" i="14" s="1"/>
  <c r="BE322" i="15"/>
  <c r="BE323" i="15" s="1"/>
  <c r="BH288" i="11"/>
  <c r="BH289" i="11" s="1"/>
  <c r="BH267" i="23"/>
  <c r="BH268" i="23" s="1"/>
  <c r="BE314" i="15"/>
  <c r="BE315" i="15" s="1"/>
  <c r="BH287" i="18" l="1"/>
  <c r="BH286" i="18" s="1"/>
  <c r="BE243" i="27"/>
  <c r="BE242" i="27" s="1"/>
  <c r="BF340" i="17"/>
  <c r="BF339" i="17" s="1"/>
  <c r="DG219" i="26"/>
  <c r="DG218" i="26" s="1"/>
  <c r="BE220" i="26"/>
  <c r="BE219" i="26" s="1"/>
  <c r="EG219" i="26"/>
  <c r="EG218" i="26" s="1"/>
  <c r="BH298" i="11"/>
  <c r="BH297" i="11" s="1"/>
  <c r="BH315" i="14"/>
  <c r="BH314" i="14" s="1"/>
  <c r="BE325" i="15"/>
  <c r="BE324" i="15" s="1"/>
  <c r="BH291" i="11"/>
  <c r="BH290" i="11" s="1"/>
  <c r="BH270" i="23"/>
  <c r="BH269" i="23" s="1"/>
  <c r="BE317" i="15"/>
  <c r="BE316" i="15" s="1"/>
  <c r="BH281" i="11"/>
  <c r="BH282" i="11" s="1"/>
  <c r="BH274" i="11"/>
  <c r="BH275" i="11" s="1"/>
  <c r="BH277" i="18"/>
  <c r="BH278" i="18" s="1"/>
  <c r="BE307" i="15"/>
  <c r="BE308" i="15" s="1"/>
  <c r="BE300" i="15"/>
  <c r="BE301" i="15" s="1"/>
  <c r="BF329" i="17"/>
  <c r="BF330" i="17" s="1"/>
  <c r="BH305" i="14"/>
  <c r="BH306" i="14" s="1"/>
  <c r="BH260" i="23"/>
  <c r="BH261" i="23" s="1"/>
  <c r="BE233" i="27"/>
  <c r="BE234" i="27" s="1"/>
  <c r="BE210" i="26"/>
  <c r="BE211" i="26" s="1"/>
  <c r="EG209" i="26"/>
  <c r="EG210" i="26" s="1"/>
  <c r="DG209" i="26"/>
  <c r="DG210" i="26" s="1"/>
  <c r="BI286" i="18" l="1"/>
  <c r="BN286" i="18" s="1"/>
  <c r="BN287" i="18" s="1"/>
  <c r="BF242" i="27"/>
  <c r="BG339" i="17"/>
  <c r="BL339" i="17" s="1"/>
  <c r="BL340" i="17" s="1"/>
  <c r="EH218" i="26"/>
  <c r="EH219" i="26" s="1"/>
  <c r="DH218" i="26"/>
  <c r="DH219" i="26" s="1"/>
  <c r="BF219" i="26"/>
  <c r="BK219" i="26" s="1"/>
  <c r="BK220" i="26" s="1"/>
  <c r="BI297" i="11"/>
  <c r="BI314" i="14"/>
  <c r="BN314" i="14" s="1"/>
  <c r="BN315" i="14" s="1"/>
  <c r="BF324" i="15"/>
  <c r="BK324" i="15" s="1"/>
  <c r="BK325" i="15" s="1"/>
  <c r="BI290" i="11"/>
  <c r="BN290" i="11" s="1"/>
  <c r="BN291" i="11" s="1"/>
  <c r="BI269" i="23"/>
  <c r="BN269" i="23" s="1"/>
  <c r="BN270" i="23" s="1"/>
  <c r="BF316" i="15"/>
  <c r="BK316" i="15" s="1"/>
  <c r="BK317" i="15" s="1"/>
  <c r="BH284" i="11"/>
  <c r="BH283" i="11" s="1"/>
  <c r="BH277" i="11"/>
  <c r="BH276" i="11" s="1"/>
  <c r="BH280" i="18"/>
  <c r="BH279" i="18" s="1"/>
  <c r="BE310" i="15"/>
  <c r="BE309" i="15" s="1"/>
  <c r="BE303" i="15"/>
  <c r="BE302" i="15" s="1"/>
  <c r="BF332" i="17"/>
  <c r="BF331" i="17" s="1"/>
  <c r="BH308" i="14"/>
  <c r="BH307" i="14" s="1"/>
  <c r="BH263" i="23"/>
  <c r="BH262" i="23" s="1"/>
  <c r="BE236" i="27"/>
  <c r="BE235" i="27" s="1"/>
  <c r="DG212" i="26"/>
  <c r="DG211" i="26" s="1"/>
  <c r="BE213" i="26"/>
  <c r="BE212" i="26"/>
  <c r="EG212" i="26"/>
  <c r="EG211" i="26" s="1"/>
  <c r="BH297" i="14"/>
  <c r="BH298" i="14" s="1"/>
  <c r="BH253" i="23"/>
  <c r="DM218" i="26" l="1"/>
  <c r="DM219" i="26" s="1"/>
  <c r="CD286" i="18"/>
  <c r="BI287" i="18"/>
  <c r="CM286" i="18"/>
  <c r="CB242" i="27"/>
  <c r="BF243" i="27"/>
  <c r="CH242" i="27"/>
  <c r="BK242" i="27"/>
  <c r="BK243" i="27" s="1"/>
  <c r="BG340" i="17"/>
  <c r="CN339" i="17"/>
  <c r="CD339" i="17"/>
  <c r="GI219" i="26"/>
  <c r="BF220" i="26"/>
  <c r="GO219" i="26"/>
  <c r="EM218" i="26"/>
  <c r="EM219" i="26" s="1"/>
  <c r="CE297" i="11"/>
  <c r="BI298" i="11"/>
  <c r="CM297" i="11"/>
  <c r="BN297" i="11"/>
  <c r="BN298" i="11" s="1"/>
  <c r="CE314" i="14"/>
  <c r="BI315" i="14"/>
  <c r="CM314" i="14"/>
  <c r="BZ324" i="15"/>
  <c r="BF325" i="15"/>
  <c r="CH324" i="15"/>
  <c r="CE290" i="11"/>
  <c r="CM290" i="11"/>
  <c r="BI291" i="11"/>
  <c r="CE269" i="23"/>
  <c r="BI270" i="23"/>
  <c r="CK269" i="23"/>
  <c r="BF317" i="15"/>
  <c r="CH316" i="15"/>
  <c r="BZ316" i="15"/>
  <c r="BI283" i="11"/>
  <c r="BN283" i="11" s="1"/>
  <c r="BN284" i="11" s="1"/>
  <c r="BI276" i="11"/>
  <c r="BN276" i="11" s="1"/>
  <c r="BN277" i="11" s="1"/>
  <c r="BI279" i="18"/>
  <c r="BF309" i="15"/>
  <c r="BF302" i="15"/>
  <c r="BK302" i="15" s="1"/>
  <c r="BK303" i="15" s="1"/>
  <c r="BG331" i="17"/>
  <c r="BL331" i="17" s="1"/>
  <c r="BL332" i="17" s="1"/>
  <c r="BI307" i="14"/>
  <c r="BN307" i="14" s="1"/>
  <c r="BN308" i="14" s="1"/>
  <c r="BI262" i="23"/>
  <c r="BN262" i="23" s="1"/>
  <c r="BN263" i="23" s="1"/>
  <c r="BF235" i="27"/>
  <c r="BK235" i="27" s="1"/>
  <c r="BK236" i="27" s="1"/>
  <c r="EH211" i="26"/>
  <c r="EH212" i="26" s="1"/>
  <c r="BF212" i="26"/>
  <c r="BK212" i="26" s="1"/>
  <c r="BK213" i="26" s="1"/>
  <c r="DH211" i="26"/>
  <c r="DH212" i="26" s="1"/>
  <c r="BH300" i="14"/>
  <c r="BH299" i="14" s="1"/>
  <c r="BH254" i="23"/>
  <c r="BF321" i="17"/>
  <c r="BF322" i="17" s="1"/>
  <c r="BE225" i="27"/>
  <c r="BE226" i="27" s="1"/>
  <c r="DM211" i="26" l="1"/>
  <c r="DM212" i="26" s="1"/>
  <c r="CE283" i="11"/>
  <c r="BI284" i="11"/>
  <c r="CM283" i="11"/>
  <c r="CE276" i="11"/>
  <c r="BI277" i="11"/>
  <c r="CM276" i="11"/>
  <c r="CD279" i="18"/>
  <c r="BI280" i="18"/>
  <c r="CM279" i="18"/>
  <c r="BN279" i="18"/>
  <c r="BN280" i="18" s="1"/>
  <c r="BF310" i="15"/>
  <c r="CH309" i="15"/>
  <c r="BZ309" i="15"/>
  <c r="BK309" i="15"/>
  <c r="BK310" i="15" s="1"/>
  <c r="BZ302" i="15"/>
  <c r="BF303" i="15"/>
  <c r="CH302" i="15"/>
  <c r="CD331" i="17"/>
  <c r="BG332" i="17"/>
  <c r="CN331" i="17"/>
  <c r="CE307" i="14"/>
  <c r="BI308" i="14"/>
  <c r="CM307" i="14"/>
  <c r="CE262" i="23"/>
  <c r="BI263" i="23"/>
  <c r="CK262" i="23"/>
  <c r="CB235" i="27"/>
  <c r="BF236" i="27"/>
  <c r="CH235" i="27"/>
  <c r="GI212" i="26"/>
  <c r="BF213" i="26"/>
  <c r="GO212" i="26"/>
  <c r="EM211" i="26"/>
  <c r="EM212" i="26" s="1"/>
  <c r="BI299" i="14"/>
  <c r="BH256" i="23"/>
  <c r="BH255" i="23" s="1"/>
  <c r="BF324" i="17"/>
  <c r="BF323" i="17" s="1"/>
  <c r="BE228" i="27"/>
  <c r="BE227" i="27" s="1"/>
  <c r="BH267" i="11"/>
  <c r="BH268" i="11" s="1"/>
  <c r="BH260" i="11"/>
  <c r="BH261" i="11" s="1"/>
  <c r="BE293" i="15"/>
  <c r="BE294" i="15" s="1"/>
  <c r="BE286" i="15"/>
  <c r="BE287" i="15" s="1"/>
  <c r="BE279" i="15"/>
  <c r="BE203" i="26"/>
  <c r="BI300" i="14" l="1"/>
  <c r="CM299" i="14"/>
  <c r="CM357" i="14" s="1"/>
  <c r="CE299" i="14"/>
  <c r="BN299" i="14"/>
  <c r="BN300" i="14" s="1"/>
  <c r="BI255" i="23"/>
  <c r="BG323" i="17"/>
  <c r="BL323" i="17" s="1"/>
  <c r="BL324" i="17" s="1"/>
  <c r="BF227" i="27"/>
  <c r="BK227" i="27" s="1"/>
  <c r="BK228" i="27" s="1"/>
  <c r="BH270" i="11"/>
  <c r="BH269" i="11" s="1"/>
  <c r="BH263" i="11"/>
  <c r="BH262" i="11" s="1"/>
  <c r="BE296" i="15"/>
  <c r="BE295" i="15" s="1"/>
  <c r="BE289" i="15"/>
  <c r="BE288" i="15" s="1"/>
  <c r="BE204" i="26"/>
  <c r="EG202" i="26"/>
  <c r="EG203" i="26" s="1"/>
  <c r="DG202" i="26"/>
  <c r="DG203" i="26" s="1"/>
  <c r="BH270" i="18"/>
  <c r="BH271" i="18" s="1"/>
  <c r="BH262" i="18"/>
  <c r="BH263" i="18" s="1"/>
  <c r="CE255" i="23" l="1"/>
  <c r="BI256" i="23"/>
  <c r="CK255" i="23"/>
  <c r="CJ313" i="23" s="1"/>
  <c r="BN255" i="23"/>
  <c r="BN256" i="23" s="1"/>
  <c r="CD323" i="17"/>
  <c r="BG324" i="17"/>
  <c r="CN323" i="17"/>
  <c r="CB227" i="27"/>
  <c r="BF228" i="27"/>
  <c r="CH227" i="27"/>
  <c r="BI269" i="11"/>
  <c r="BN269" i="11" s="1"/>
  <c r="BN270" i="11" s="1"/>
  <c r="BI262" i="11"/>
  <c r="BN262" i="11" s="1"/>
  <c r="BN263" i="11" s="1"/>
  <c r="BF295" i="15"/>
  <c r="BK295" i="15" s="1"/>
  <c r="BK296" i="15" s="1"/>
  <c r="BF288" i="15"/>
  <c r="BK288" i="15" s="1"/>
  <c r="BK289" i="15" s="1"/>
  <c r="DG205" i="26"/>
  <c r="DG204" i="26" s="1"/>
  <c r="BE206" i="26"/>
  <c r="BE205" i="26" s="1"/>
  <c r="EG205" i="26"/>
  <c r="EG204" i="26" s="1"/>
  <c r="BH273" i="18"/>
  <c r="BH272" i="18" s="1"/>
  <c r="BH265" i="18"/>
  <c r="BH264" i="18" s="1"/>
  <c r="BH255" i="18"/>
  <c r="BE218" i="27"/>
  <c r="BF313" i="17"/>
  <c r="BH253" i="11"/>
  <c r="CE269" i="11" l="1"/>
  <c r="BI270" i="11"/>
  <c r="CM269" i="11"/>
  <c r="CE262" i="11"/>
  <c r="BI263" i="11"/>
  <c r="CM262" i="11"/>
  <c r="BZ295" i="15"/>
  <c r="BF296" i="15"/>
  <c r="CH295" i="15"/>
  <c r="BZ288" i="15"/>
  <c r="BF289" i="15"/>
  <c r="CH288" i="15"/>
  <c r="EH204" i="26"/>
  <c r="EH205" i="26" s="1"/>
  <c r="BF205" i="26"/>
  <c r="BK205" i="26" s="1"/>
  <c r="BK206" i="26" s="1"/>
  <c r="DH204" i="26"/>
  <c r="DH205" i="26" s="1"/>
  <c r="BI272" i="18"/>
  <c r="BN272" i="18" s="1"/>
  <c r="BN273" i="18" s="1"/>
  <c r="BI264" i="18"/>
  <c r="DM204" i="26" l="1"/>
  <c r="DM205" i="26" s="1"/>
  <c r="GI205" i="26"/>
  <c r="BF206" i="26"/>
  <c r="GO205" i="26"/>
  <c r="EM204" i="26"/>
  <c r="EM205" i="26" s="1"/>
  <c r="BI273" i="18"/>
  <c r="CM272" i="18"/>
  <c r="CD272" i="18"/>
  <c r="CD264" i="18"/>
  <c r="BI265" i="18"/>
  <c r="CM264" i="18"/>
  <c r="BN264" i="18"/>
  <c r="BN265" i="18" s="1"/>
  <c r="AA124" i="27" l="1"/>
  <c r="BH256" i="18" l="1"/>
  <c r="BF314" i="17"/>
  <c r="BH307" i="21"/>
  <c r="BH308" i="21" s="1"/>
  <c r="BH245" i="23"/>
  <c r="BH246" i="23" s="1"/>
  <c r="BE271" i="15"/>
  <c r="BE272" i="15" s="1"/>
  <c r="BE280" i="15"/>
  <c r="BE219" i="27"/>
  <c r="BE195" i="26"/>
  <c r="BE196" i="26" s="1"/>
  <c r="EG194" i="26"/>
  <c r="EG195" i="26" s="1"/>
  <c r="DG194" i="26"/>
  <c r="DG195" i="26" s="1"/>
  <c r="BH303" i="24"/>
  <c r="BH304" i="24" s="1"/>
  <c r="BH258" i="18" l="1"/>
  <c r="BH257" i="18" s="1"/>
  <c r="BF316" i="17"/>
  <c r="BF315" i="17" s="1"/>
  <c r="BH310" i="21"/>
  <c r="BH309" i="21" s="1"/>
  <c r="BH248" i="23"/>
  <c r="BH247" i="23" s="1"/>
  <c r="BE274" i="15"/>
  <c r="BE273" i="15" s="1"/>
  <c r="BE282" i="15"/>
  <c r="BE281" i="15" s="1"/>
  <c r="BE221" i="27"/>
  <c r="BE220" i="27" s="1"/>
  <c r="EG197" i="26"/>
  <c r="EG196" i="26" s="1"/>
  <c r="DG197" i="26"/>
  <c r="DG196" i="26" s="1"/>
  <c r="BE198" i="26"/>
  <c r="BE197" i="26" s="1"/>
  <c r="BH306" i="24"/>
  <c r="BH305" i="24" s="1"/>
  <c r="BI257" i="18" l="1"/>
  <c r="BN257" i="18" s="1"/>
  <c r="BN258" i="18" s="1"/>
  <c r="BG315" i="17"/>
  <c r="BL315" i="17" s="1"/>
  <c r="BL316" i="17" s="1"/>
  <c r="BI309" i="21"/>
  <c r="BN309" i="21" s="1"/>
  <c r="BN310" i="21" s="1"/>
  <c r="BI247" i="23"/>
  <c r="BN247" i="23" s="1"/>
  <c r="BN248" i="23" s="1"/>
  <c r="BF273" i="15"/>
  <c r="BK273" i="15" s="1"/>
  <c r="BK274" i="15" s="1"/>
  <c r="BF281" i="15"/>
  <c r="BK281" i="15" s="1"/>
  <c r="BK282" i="15" s="1"/>
  <c r="BF220" i="27"/>
  <c r="DH196" i="26"/>
  <c r="DH197" i="26" s="1"/>
  <c r="BF197" i="26"/>
  <c r="BK197" i="26" s="1"/>
  <c r="BK198" i="26" s="1"/>
  <c r="EH196" i="26"/>
  <c r="EH197" i="26" s="1"/>
  <c r="BI305" i="24"/>
  <c r="CH220" i="27" l="1"/>
  <c r="CH287" i="27" s="1"/>
  <c r="CB220" i="27"/>
  <c r="DM196" i="26"/>
  <c r="DM197" i="26" s="1"/>
  <c r="CD257" i="18"/>
  <c r="BI258" i="18"/>
  <c r="CM257" i="18"/>
  <c r="CM329" i="18" s="1"/>
  <c r="BG316" i="17"/>
  <c r="CN315" i="17"/>
  <c r="CD315" i="17"/>
  <c r="BI310" i="21"/>
  <c r="CG308" i="21"/>
  <c r="CO308" i="21"/>
  <c r="CE247" i="23"/>
  <c r="BI248" i="23"/>
  <c r="CK247" i="23"/>
  <c r="BZ281" i="15"/>
  <c r="BF282" i="15"/>
  <c r="CH281" i="15"/>
  <c r="BZ273" i="15"/>
  <c r="BF274" i="15"/>
  <c r="CH273" i="15"/>
  <c r="BF221" i="27"/>
  <c r="BK220" i="27"/>
  <c r="BK221" i="27" s="1"/>
  <c r="EM196" i="26"/>
  <c r="EM197" i="26" s="1"/>
  <c r="GI197" i="26"/>
  <c r="BF198" i="26"/>
  <c r="GO197" i="26"/>
  <c r="CC305" i="24"/>
  <c r="BI306" i="24"/>
  <c r="CH305" i="24"/>
  <c r="BN305" i="24"/>
  <c r="BN306" i="24" s="1"/>
  <c r="BH294" i="24"/>
  <c r="BH295" i="24" s="1"/>
  <c r="BH244" i="18"/>
  <c r="BH245" i="18" s="1"/>
  <c r="BG287" i="16"/>
  <c r="BG288" i="16"/>
  <c r="BF299" i="17"/>
  <c r="BF300" i="17" s="1"/>
  <c r="BF302" i="17" s="1"/>
  <c r="BH292" i="21"/>
  <c r="BH293" i="21" s="1"/>
  <c r="BH232" i="23"/>
  <c r="BH233" i="23" s="1"/>
  <c r="BE257" i="15"/>
  <c r="BE258" i="15" s="1"/>
  <c r="BH284" i="14"/>
  <c r="BH285" i="14" s="1"/>
  <c r="BE204" i="27"/>
  <c r="BE205" i="27" s="1"/>
  <c r="BE185" i="26"/>
  <c r="BE186" i="26" s="1"/>
  <c r="J5" i="30"/>
  <c r="EG184" i="26"/>
  <c r="EG185" i="26" s="1"/>
  <c r="DG184" i="26"/>
  <c r="DG185" i="26" s="1"/>
  <c r="BE249" i="15"/>
  <c r="BE250" i="15" s="1"/>
  <c r="BH297" i="24" l="1"/>
  <c r="BH296" i="24" s="1"/>
  <c r="BH247" i="18"/>
  <c r="BH246" i="18" s="1"/>
  <c r="BG290" i="16"/>
  <c r="BG289" i="16" s="1"/>
  <c r="BF301" i="17"/>
  <c r="BH295" i="21"/>
  <c r="BH294" i="21" s="1"/>
  <c r="BH235" i="23"/>
  <c r="BH234" i="23" s="1"/>
  <c r="BE260" i="15"/>
  <c r="BE259" i="15" s="1"/>
  <c r="BH287" i="14"/>
  <c r="BH286" i="14" s="1"/>
  <c r="BE207" i="27"/>
  <c r="BE206" i="27" s="1"/>
  <c r="EG187" i="26"/>
  <c r="EG186" i="26" s="1"/>
  <c r="DG187" i="26"/>
  <c r="DG186" i="26" s="1"/>
  <c r="BE188" i="26"/>
  <c r="BE187" i="26" s="1"/>
  <c r="BF187" i="26" s="1"/>
  <c r="BE252" i="15"/>
  <c r="BE251" i="15" s="1"/>
  <c r="BF251" i="15" s="1"/>
  <c r="CH251" i="15" l="1"/>
  <c r="BZ251" i="15"/>
  <c r="BI296" i="24"/>
  <c r="BN296" i="24" s="1"/>
  <c r="BN297" i="24" s="1"/>
  <c r="BI246" i="18"/>
  <c r="BN246" i="18" s="1"/>
  <c r="BN247" i="18" s="1"/>
  <c r="BH289" i="16"/>
  <c r="BG301" i="17"/>
  <c r="BL301" i="17" s="1"/>
  <c r="BL302" i="17" s="1"/>
  <c r="BI294" i="21"/>
  <c r="BN294" i="21" s="1"/>
  <c r="BN295" i="21" s="1"/>
  <c r="BI234" i="23"/>
  <c r="BN234" i="23" s="1"/>
  <c r="BN235" i="23" s="1"/>
  <c r="BF259" i="15"/>
  <c r="BK259" i="15" s="1"/>
  <c r="BK260" i="15" s="1"/>
  <c r="BI286" i="14"/>
  <c r="BN286" i="14" s="1"/>
  <c r="BN287" i="14" s="1"/>
  <c r="BF206" i="27"/>
  <c r="CB206" i="27" s="1"/>
  <c r="EH186" i="26"/>
  <c r="EH187" i="26" s="1"/>
  <c r="DH186" i="26"/>
  <c r="DH187" i="26" s="1"/>
  <c r="BK187" i="26"/>
  <c r="BK188" i="26" s="1"/>
  <c r="BK251" i="15"/>
  <c r="BK252" i="15" s="1"/>
  <c r="BG279" i="16"/>
  <c r="BG280" i="16" s="1"/>
  <c r="BH237" i="18"/>
  <c r="BH238" i="18" s="1"/>
  <c r="BF290" i="17"/>
  <c r="BF291" i="17" s="1"/>
  <c r="BH284" i="21"/>
  <c r="BH285" i="21" s="1"/>
  <c r="BE180" i="29"/>
  <c r="BE181" i="29" s="1"/>
  <c r="BH224" i="23"/>
  <c r="BH225" i="23" s="1"/>
  <c r="BE240" i="15"/>
  <c r="BE241" i="15" s="1"/>
  <c r="DM186" i="26" l="1"/>
  <c r="DM187" i="26" s="1"/>
  <c r="BM289" i="16"/>
  <c r="BM290" i="16" s="1"/>
  <c r="CM288" i="16"/>
  <c r="BK206" i="27"/>
  <c r="BK207" i="27" s="1"/>
  <c r="CH259" i="15"/>
  <c r="BZ259" i="15"/>
  <c r="CC296" i="24"/>
  <c r="BI297" i="24"/>
  <c r="CH296" i="24"/>
  <c r="CD246" i="18"/>
  <c r="BI247" i="18"/>
  <c r="CM246" i="18"/>
  <c r="CV288" i="16"/>
  <c r="BH290" i="16"/>
  <c r="CD301" i="17"/>
  <c r="BG302" i="17"/>
  <c r="CN301" i="17"/>
  <c r="CO293" i="21"/>
  <c r="BI295" i="21"/>
  <c r="CG293" i="21"/>
  <c r="CE234" i="23"/>
  <c r="BI235" i="23"/>
  <c r="CK234" i="23"/>
  <c r="BF260" i="15"/>
  <c r="CE286" i="14"/>
  <c r="BI287" i="14"/>
  <c r="CM286" i="14"/>
  <c r="BF207" i="27"/>
  <c r="CH206" i="27"/>
  <c r="GI187" i="26"/>
  <c r="BF188" i="26"/>
  <c r="GO187" i="26"/>
  <c r="EM186" i="26"/>
  <c r="EM187" i="26" s="1"/>
  <c r="BF252" i="15"/>
  <c r="BG282" i="16"/>
  <c r="BG281" i="16" s="1"/>
  <c r="BH240" i="18"/>
  <c r="BH239" i="18" s="1"/>
  <c r="BF293" i="17"/>
  <c r="BF292" i="17" s="1"/>
  <c r="BH287" i="21"/>
  <c r="BH286" i="21" s="1"/>
  <c r="BI286" i="21" s="1"/>
  <c r="BE183" i="29"/>
  <c r="BE182" i="29" s="1"/>
  <c r="BH227" i="23"/>
  <c r="BH226" i="23" s="1"/>
  <c r="BI226" i="23" s="1"/>
  <c r="BE243" i="15"/>
  <c r="BE242" i="15" s="1"/>
  <c r="BE232" i="15"/>
  <c r="BE233" i="15" s="1"/>
  <c r="BH275" i="14"/>
  <c r="BH276" i="14" s="1"/>
  <c r="BE195" i="27"/>
  <c r="BE196" i="27" s="1"/>
  <c r="BE177" i="26"/>
  <c r="BE178" i="26" s="1"/>
  <c r="EG176" i="26"/>
  <c r="EG177" i="26" s="1"/>
  <c r="DG176" i="26"/>
  <c r="DG177" i="26" s="1"/>
  <c r="BH284" i="24"/>
  <c r="BH285" i="24" s="1"/>
  <c r="BH281" i="16" l="1"/>
  <c r="BM281" i="16" s="1"/>
  <c r="BM282" i="16" s="1"/>
  <c r="BI239" i="18"/>
  <c r="BN239" i="18" s="1"/>
  <c r="BN240" i="18" s="1"/>
  <c r="BG292" i="17"/>
  <c r="BN286" i="21"/>
  <c r="BN287" i="21" s="1"/>
  <c r="BF182" i="29"/>
  <c r="BK182" i="29" s="1"/>
  <c r="BK183" i="29" s="1"/>
  <c r="BF242" i="15"/>
  <c r="BE235" i="15"/>
  <c r="BE234" i="15" s="1"/>
  <c r="BH278" i="14"/>
  <c r="BH277" i="14" s="1"/>
  <c r="BE198" i="27"/>
  <c r="BE197" i="27" s="1"/>
  <c r="EG179" i="26"/>
  <c r="EG178" i="26" s="1"/>
  <c r="DG179" i="26"/>
  <c r="DG178" i="26" s="1"/>
  <c r="BE180" i="26"/>
  <c r="BE179" i="26" s="1"/>
  <c r="BF179" i="26" s="1"/>
  <c r="BH287" i="24"/>
  <c r="BH286" i="24" s="1"/>
  <c r="CV280" i="16" l="1"/>
  <c r="BH282" i="16"/>
  <c r="CM280" i="16"/>
  <c r="BI240" i="18"/>
  <c r="CM239" i="18"/>
  <c r="CD239" i="18"/>
  <c r="CD292" i="17"/>
  <c r="BG293" i="17"/>
  <c r="CN292" i="17"/>
  <c r="BL292" i="17"/>
  <c r="BL293" i="17" s="1"/>
  <c r="CO285" i="21"/>
  <c r="BI287" i="21"/>
  <c r="CG285" i="21"/>
  <c r="CB182" i="29"/>
  <c r="BF183" i="29"/>
  <c r="CJ182" i="29"/>
  <c r="BI227" i="23"/>
  <c r="CK226" i="23"/>
  <c r="CE226" i="23"/>
  <c r="BN226" i="23"/>
  <c r="BN227" i="23" s="1"/>
  <c r="BF243" i="15"/>
  <c r="CH242" i="15"/>
  <c r="BZ242" i="15"/>
  <c r="BK242" i="15"/>
  <c r="BK243" i="15" s="1"/>
  <c r="BF234" i="15"/>
  <c r="BK234" i="15" s="1"/>
  <c r="BK235" i="15" s="1"/>
  <c r="BI277" i="14"/>
  <c r="BN277" i="14" s="1"/>
  <c r="BN278" i="14" s="1"/>
  <c r="BF197" i="27"/>
  <c r="BK197" i="27" s="1"/>
  <c r="BK198" i="27" s="1"/>
  <c r="DH178" i="26"/>
  <c r="DH179" i="26" s="1"/>
  <c r="BK179" i="26"/>
  <c r="BK180" i="26" s="1"/>
  <c r="EH178" i="26"/>
  <c r="EH179" i="26" s="1"/>
  <c r="BI286" i="24"/>
  <c r="DM178" i="26" l="1"/>
  <c r="DM179" i="26" s="1"/>
  <c r="BZ234" i="15"/>
  <c r="BF235" i="15"/>
  <c r="CH234" i="15"/>
  <c r="CE277" i="14"/>
  <c r="BI278" i="14"/>
  <c r="CM277" i="14"/>
  <c r="CB197" i="27"/>
  <c r="BF198" i="27"/>
  <c r="CH197" i="27"/>
  <c r="EM178" i="26"/>
  <c r="EM179" i="26" s="1"/>
  <c r="GI179" i="26"/>
  <c r="BF180" i="26"/>
  <c r="GO179" i="26"/>
  <c r="BI287" i="24"/>
  <c r="CH286" i="24"/>
  <c r="CC286" i="24"/>
  <c r="BN286" i="24"/>
  <c r="BN287" i="24" s="1"/>
  <c r="BH267" i="14"/>
  <c r="BH274" i="24"/>
  <c r="BH275" i="24" s="1"/>
  <c r="BE159" i="29"/>
  <c r="BE160" i="29" s="1"/>
  <c r="BE162" i="29" s="1"/>
  <c r="BE161" i="29" s="1"/>
  <c r="BE167" i="29"/>
  <c r="BE168" i="29" s="1"/>
  <c r="BE170" i="29" s="1"/>
  <c r="BE169" i="29" s="1"/>
  <c r="BE173" i="29"/>
  <c r="BE174" i="29" s="1"/>
  <c r="BE224" i="15"/>
  <c r="BE225" i="15" s="1"/>
  <c r="BE217" i="15"/>
  <c r="BE218" i="15" s="1"/>
  <c r="BH277" i="21"/>
  <c r="BH278" i="21" s="1"/>
  <c r="BF283" i="17"/>
  <c r="BF284" i="17" s="1"/>
  <c r="BG271" i="16"/>
  <c r="BG272" i="16" s="1"/>
  <c r="BH254" i="11"/>
  <c r="BE170" i="26"/>
  <c r="BE171" i="26" s="1"/>
  <c r="BE173" i="26" s="1"/>
  <c r="BE187" i="27"/>
  <c r="BE188" i="27" s="1"/>
  <c r="BH277" i="24" l="1"/>
  <c r="BH276" i="24" s="1"/>
  <c r="BE176" i="29"/>
  <c r="BE175" i="29"/>
  <c r="BF169" i="29"/>
  <c r="BF170" i="29" s="1"/>
  <c r="BF161" i="29"/>
  <c r="BE227" i="15"/>
  <c r="BE226" i="15" s="1"/>
  <c r="BE220" i="15"/>
  <c r="BE219" i="15" s="1"/>
  <c r="BH280" i="21"/>
  <c r="BH279" i="21" s="1"/>
  <c r="BI279" i="21" s="1"/>
  <c r="BF286" i="17"/>
  <c r="BF285" i="17" s="1"/>
  <c r="BG274" i="16"/>
  <c r="BG273" i="16" s="1"/>
  <c r="BH256" i="11"/>
  <c r="BH255" i="11" s="1"/>
  <c r="BE172" i="26"/>
  <c r="BF172" i="26" s="1"/>
  <c r="BE190" i="27"/>
  <c r="BE189" i="27" s="1"/>
  <c r="J25" i="30"/>
  <c r="CO278" i="21" l="1"/>
  <c r="CG278" i="21"/>
  <c r="BF162" i="29"/>
  <c r="GO172" i="26"/>
  <c r="GI172" i="26"/>
  <c r="BK161" i="29"/>
  <c r="BK162" i="29" s="1"/>
  <c r="BK169" i="29"/>
  <c r="BK170" i="29" s="1"/>
  <c r="BI276" i="24"/>
  <c r="BN276" i="24" s="1"/>
  <c r="BN277" i="24" s="1"/>
  <c r="BF175" i="29"/>
  <c r="BK175" i="29" s="1"/>
  <c r="BK176" i="29" s="1"/>
  <c r="BF226" i="15"/>
  <c r="BZ226" i="15" s="1"/>
  <c r="BF219" i="15"/>
  <c r="BZ219" i="15" s="1"/>
  <c r="BI280" i="21"/>
  <c r="BG285" i="17"/>
  <c r="BH273" i="16"/>
  <c r="BI255" i="11"/>
  <c r="BN255" i="11" s="1"/>
  <c r="BN256" i="11" s="1"/>
  <c r="BF173" i="26"/>
  <c r="BF189" i="27"/>
  <c r="J7" i="30"/>
  <c r="K7" i="30" s="1"/>
  <c r="J26" i="30"/>
  <c r="BM273" i="16" l="1"/>
  <c r="BM274" i="16" s="1"/>
  <c r="CM272" i="16"/>
  <c r="BK189" i="27"/>
  <c r="BK190" i="27" s="1"/>
  <c r="CH189" i="27"/>
  <c r="BL285" i="17"/>
  <c r="BL286" i="17" s="1"/>
  <c r="CD285" i="17"/>
  <c r="BK219" i="15"/>
  <c r="BK220" i="15" s="1"/>
  <c r="BK226" i="15"/>
  <c r="BK227" i="15" s="1"/>
  <c r="CC276" i="24"/>
  <c r="BI277" i="24"/>
  <c r="CH276" i="24"/>
  <c r="CB175" i="29"/>
  <c r="CJ175" i="29"/>
  <c r="BH187" i="29" s="1"/>
  <c r="BF176" i="29"/>
  <c r="BF227" i="15"/>
  <c r="CH226" i="15"/>
  <c r="BF220" i="15"/>
  <c r="CH219" i="15"/>
  <c r="BN279" i="21"/>
  <c r="BN280" i="21" s="1"/>
  <c r="BG286" i="17"/>
  <c r="CN285" i="17"/>
  <c r="CV272" i="16"/>
  <c r="BH274" i="16"/>
  <c r="CE255" i="11"/>
  <c r="BI256" i="11"/>
  <c r="CM255" i="11"/>
  <c r="CM376" i="11" s="1"/>
  <c r="BK172" i="26"/>
  <c r="BK173" i="26" s="1"/>
  <c r="CB189" i="27"/>
  <c r="BF190" i="27"/>
  <c r="K25" i="30"/>
  <c r="C25" i="30"/>
  <c r="K26" i="30"/>
  <c r="E25" i="30" l="1"/>
  <c r="D25" i="30" s="1"/>
  <c r="BH246" i="11"/>
  <c r="BH247" i="11"/>
  <c r="BE179" i="27"/>
  <c r="BE180" i="27" s="1"/>
  <c r="BE209" i="15"/>
  <c r="BE210" i="15" s="1"/>
  <c r="BE202" i="15"/>
  <c r="BE203" i="15" s="1"/>
  <c r="BH268" i="14"/>
  <c r="BH265" i="24"/>
  <c r="BH266" i="24" s="1"/>
  <c r="BH229" i="18"/>
  <c r="BH230" i="18" s="1"/>
  <c r="BF276" i="17"/>
  <c r="BF277" i="17"/>
  <c r="BH249" i="11" l="1"/>
  <c r="BH248" i="11" s="1"/>
  <c r="BI248" i="11" s="1"/>
  <c r="BE182" i="27"/>
  <c r="BE181" i="27" s="1"/>
  <c r="BF181" i="27" s="1"/>
  <c r="BE212" i="15"/>
  <c r="BE211" i="15" s="1"/>
  <c r="BE205" i="15"/>
  <c r="BE204" i="15" s="1"/>
  <c r="BF204" i="15" s="1"/>
  <c r="BH270" i="14"/>
  <c r="BH269" i="14" s="1"/>
  <c r="BH268" i="24"/>
  <c r="BH267" i="24" s="1"/>
  <c r="BI267" i="24" s="1"/>
  <c r="BH232" i="18"/>
  <c r="BH231" i="18" s="1"/>
  <c r="BI231" i="18" s="1"/>
  <c r="BF279" i="17"/>
  <c r="BF278" i="17" s="1"/>
  <c r="BG278" i="17" s="1"/>
  <c r="BG263" i="16"/>
  <c r="BG264" i="16" s="1"/>
  <c r="BG266" i="16" s="1"/>
  <c r="CH267" i="24" l="1"/>
  <c r="CC267" i="24"/>
  <c r="CB181" i="27"/>
  <c r="CH181" i="27"/>
  <c r="CM231" i="18"/>
  <c r="CD231" i="18"/>
  <c r="CD278" i="17"/>
  <c r="CN278" i="17"/>
  <c r="CM248" i="11"/>
  <c r="CE248" i="11"/>
  <c r="BZ204" i="15"/>
  <c r="CH204" i="15"/>
  <c r="BI249" i="11"/>
  <c r="BN248" i="11"/>
  <c r="BN249" i="11" s="1"/>
  <c r="BF182" i="27"/>
  <c r="BF211" i="15"/>
  <c r="BF205" i="15"/>
  <c r="BK204" i="15"/>
  <c r="BK205" i="15" s="1"/>
  <c r="BI269" i="14"/>
  <c r="BI268" i="24"/>
  <c r="BN267" i="24"/>
  <c r="BN268" i="24" s="1"/>
  <c r="BI232" i="18"/>
  <c r="BN231" i="18"/>
  <c r="BN232" i="18" s="1"/>
  <c r="BG279" i="17"/>
  <c r="BG265" i="16"/>
  <c r="BH265" i="16" s="1"/>
  <c r="CV264" i="16" l="1"/>
  <c r="CM264" i="16"/>
  <c r="BI270" i="14"/>
  <c r="CM269" i="14"/>
  <c r="CE269" i="14"/>
  <c r="CH211" i="15"/>
  <c r="BZ211" i="15"/>
  <c r="BK211" i="15"/>
  <c r="BK212" i="15" s="1"/>
  <c r="BK181" i="27"/>
  <c r="BK182" i="27" s="1"/>
  <c r="BF212" i="15"/>
  <c r="BN269" i="14"/>
  <c r="BN270" i="14" s="1"/>
  <c r="BL278" i="17"/>
  <c r="BL279" i="17" s="1"/>
  <c r="BH266" i="16"/>
  <c r="K5" i="30"/>
  <c r="O7" i="30"/>
  <c r="J6" i="30"/>
  <c r="K6" i="30" s="1"/>
  <c r="C6" i="30"/>
  <c r="E6" i="30" s="1"/>
  <c r="D6" i="30" s="1"/>
  <c r="J9" i="30"/>
  <c r="J4" i="30"/>
  <c r="C4" i="30"/>
  <c r="E4" i="30" s="1"/>
  <c r="J15" i="30" l="1"/>
  <c r="K4" i="30"/>
  <c r="O15" i="30"/>
  <c r="BM265" i="16"/>
  <c r="BM266" i="16" s="1"/>
  <c r="K9" i="30"/>
  <c r="M17" i="30"/>
  <c r="D4" i="30"/>
  <c r="BH222" i="18"/>
  <c r="BH223" i="18" s="1"/>
  <c r="BH256" i="24"/>
  <c r="BH257" i="24" s="1"/>
  <c r="BH215" i="23"/>
  <c r="BH216" i="23"/>
  <c r="BE172" i="27"/>
  <c r="BE173" i="27" s="1"/>
  <c r="BE194" i="15"/>
  <c r="BE195" i="15" s="1"/>
  <c r="BH260" i="14"/>
  <c r="BH261" i="14" s="1"/>
  <c r="BH239" i="11"/>
  <c r="BH240" i="11" s="1"/>
  <c r="BH225" i="18" l="1"/>
  <c r="BH224" i="18" s="1"/>
  <c r="BH259" i="24"/>
  <c r="BH258" i="24" s="1"/>
  <c r="BH218" i="23"/>
  <c r="BH217" i="23" s="1"/>
  <c r="BE175" i="27"/>
  <c r="BE174" i="27" s="1"/>
  <c r="BE197" i="15"/>
  <c r="BE196" i="15" s="1"/>
  <c r="BH263" i="14"/>
  <c r="BH262" i="14" s="1"/>
  <c r="BH242" i="11"/>
  <c r="BH241" i="11" s="1"/>
  <c r="BI224" i="18" l="1"/>
  <c r="BI225" i="18" s="1"/>
  <c r="BI258" i="24"/>
  <c r="BI259" i="24" s="1"/>
  <c r="BI217" i="23"/>
  <c r="BI218" i="23" s="1"/>
  <c r="BF174" i="27"/>
  <c r="BF175" i="27" s="1"/>
  <c r="BF196" i="15"/>
  <c r="BF197" i="15" s="1"/>
  <c r="BI262" i="14"/>
  <c r="BI263" i="14" s="1"/>
  <c r="BI241" i="11"/>
  <c r="BI242" i="11" s="1"/>
  <c r="BH247" i="24"/>
  <c r="BH248" i="24" s="1"/>
  <c r="BH208" i="23"/>
  <c r="BH209" i="23" s="1"/>
  <c r="BE164" i="26"/>
  <c r="BE165" i="26" s="1"/>
  <c r="BE166" i="27"/>
  <c r="BE167" i="27" s="1"/>
  <c r="BF269" i="17"/>
  <c r="BF270" i="17" s="1"/>
  <c r="BE187" i="15"/>
  <c r="BE188" i="15" s="1"/>
  <c r="BE180" i="15"/>
  <c r="BE181" i="15" s="1"/>
  <c r="BE183" i="15" s="1"/>
  <c r="BH232" i="11"/>
  <c r="BH233" i="11" s="1"/>
  <c r="BG256" i="16"/>
  <c r="BG257" i="16" s="1"/>
  <c r="BH253" i="14"/>
  <c r="BH254" i="14" s="1"/>
  <c r="BH270" i="21"/>
  <c r="BH271" i="21" s="1"/>
  <c r="BK196" i="15" l="1"/>
  <c r="BK197" i="15" s="1"/>
  <c r="BN224" i="18"/>
  <c r="BN225" i="18" s="1"/>
  <c r="BN258" i="24"/>
  <c r="BN259" i="24" s="1"/>
  <c r="BN217" i="23"/>
  <c r="BN218" i="23" s="1"/>
  <c r="BK174" i="27"/>
  <c r="BK175" i="27" s="1"/>
  <c r="BN262" i="14"/>
  <c r="BN263" i="14" s="1"/>
  <c r="BN241" i="11"/>
  <c r="BN242" i="11" s="1"/>
  <c r="BH250" i="24"/>
  <c r="BH249" i="24" s="1"/>
  <c r="BH211" i="23"/>
  <c r="BH210" i="23" s="1"/>
  <c r="BE167" i="26"/>
  <c r="BE166" i="26" s="1"/>
  <c r="BF166" i="26" s="1"/>
  <c r="BE169" i="27"/>
  <c r="BE168" i="27" s="1"/>
  <c r="BF272" i="17"/>
  <c r="BF271" i="17" s="1"/>
  <c r="BE190" i="15"/>
  <c r="BE189" i="15" s="1"/>
  <c r="BE182" i="15"/>
  <c r="BH235" i="11"/>
  <c r="BH234" i="11" s="1"/>
  <c r="BG259" i="16"/>
  <c r="BG258" i="16" s="1"/>
  <c r="BH256" i="14"/>
  <c r="BH255" i="14" s="1"/>
  <c r="BH273" i="21"/>
  <c r="BH272" i="21" s="1"/>
  <c r="BI249" i="24" l="1"/>
  <c r="BI250" i="24" s="1"/>
  <c r="BI210" i="23"/>
  <c r="BI211" i="23" s="1"/>
  <c r="BF167" i="26"/>
  <c r="BK166" i="26"/>
  <c r="BK167" i="26" s="1"/>
  <c r="BF168" i="27"/>
  <c r="BF169" i="27" s="1"/>
  <c r="BG271" i="17"/>
  <c r="BG272" i="17" s="1"/>
  <c r="BF189" i="15"/>
  <c r="BF190" i="15" s="1"/>
  <c r="BF182" i="15"/>
  <c r="BF183" i="15" s="1"/>
  <c r="BI234" i="11"/>
  <c r="BI235" i="11" s="1"/>
  <c r="BH258" i="16"/>
  <c r="BI255" i="14"/>
  <c r="BI256" i="14" s="1"/>
  <c r="BI272" i="21"/>
  <c r="BI273" i="21" s="1"/>
  <c r="BH259" i="16" l="1"/>
  <c r="BG298" i="16"/>
  <c r="BK168" i="27"/>
  <c r="BK169" i="27" s="1"/>
  <c r="BK189" i="15"/>
  <c r="BK190" i="15" s="1"/>
  <c r="BN249" i="24"/>
  <c r="BN250" i="24" s="1"/>
  <c r="BN210" i="23"/>
  <c r="BN211" i="23" s="1"/>
  <c r="BL271" i="17"/>
  <c r="BL272" i="17" s="1"/>
  <c r="BK182" i="15"/>
  <c r="BK183" i="15" s="1"/>
  <c r="BN234" i="11"/>
  <c r="BN235" i="11" s="1"/>
  <c r="BM258" i="16"/>
  <c r="BM259" i="16" s="1"/>
  <c r="BN255" i="14"/>
  <c r="BN256" i="14" s="1"/>
  <c r="BN272" i="21"/>
  <c r="BN273" i="21" s="1"/>
  <c r="BH237" i="24"/>
  <c r="BH238" i="24" s="1"/>
  <c r="BH240" i="24" l="1"/>
  <c r="BH239" i="24" s="1"/>
  <c r="BE173" i="15"/>
  <c r="BE174" i="15" s="1"/>
  <c r="BE156" i="26"/>
  <c r="BE165" i="15"/>
  <c r="BF261" i="17"/>
  <c r="BF262" i="17" s="1"/>
  <c r="BH225" i="11"/>
  <c r="BH226" i="11" s="1"/>
  <c r="BH200" i="23"/>
  <c r="BH201" i="23" s="1"/>
  <c r="BH262" i="21"/>
  <c r="BH244" i="14"/>
  <c r="BH245" i="14" s="1"/>
  <c r="BE158" i="27"/>
  <c r="BH215" i="18"/>
  <c r="BH216" i="18" s="1"/>
  <c r="BI239" i="24" l="1"/>
  <c r="BI240" i="24" s="1"/>
  <c r="BE176" i="15"/>
  <c r="BE175" i="15" s="1"/>
  <c r="BF264" i="17"/>
  <c r="BF263" i="17" s="1"/>
  <c r="BH228" i="11"/>
  <c r="BH227" i="11" s="1"/>
  <c r="BH218" i="18"/>
  <c r="BH217" i="18" s="1"/>
  <c r="BH247" i="14"/>
  <c r="BH246" i="14" s="1"/>
  <c r="BH203" i="23"/>
  <c r="BH202" i="23" s="1"/>
  <c r="BN239" i="24" l="1"/>
  <c r="BN240" i="24" s="1"/>
  <c r="BF175" i="15"/>
  <c r="BF176" i="15" s="1"/>
  <c r="BG263" i="17"/>
  <c r="BI227" i="11"/>
  <c r="BI217" i="18"/>
  <c r="BI246" i="14"/>
  <c r="BI202" i="23"/>
  <c r="BI247" i="14" l="1"/>
  <c r="BH293" i="14"/>
  <c r="BI218" i="18"/>
  <c r="BI253" i="18"/>
  <c r="BI203" i="23"/>
  <c r="BF241" i="23"/>
  <c r="BG264" i="17"/>
  <c r="BE309" i="17"/>
  <c r="BI228" i="11"/>
  <c r="BL263" i="17"/>
  <c r="BL264" i="17" s="1"/>
  <c r="BK175" i="15"/>
  <c r="BK176" i="15" s="1"/>
  <c r="BN227" i="11"/>
  <c r="BN228" i="11" s="1"/>
  <c r="BN217" i="18"/>
  <c r="BN218" i="18" s="1"/>
  <c r="BN246" i="14"/>
  <c r="BN247" i="14" s="1"/>
  <c r="BN202" i="23"/>
  <c r="BN203" i="23" s="1"/>
  <c r="AA125" i="29"/>
  <c r="AA122" i="26"/>
  <c r="EG196" i="29" l="1"/>
  <c r="EG197" i="29" s="1"/>
  <c r="EG199" i="29" s="1"/>
  <c r="DG196" i="29"/>
  <c r="DG197" i="29" s="1"/>
  <c r="EG188" i="29"/>
  <c r="EG189" i="29" s="1"/>
  <c r="DG188" i="29"/>
  <c r="DG189" i="29" s="1"/>
  <c r="EG180" i="29"/>
  <c r="EG181" i="29" s="1"/>
  <c r="EG183" i="29" s="1"/>
  <c r="DG180" i="29"/>
  <c r="DG181" i="29" s="1"/>
  <c r="EG172" i="29"/>
  <c r="EG173" i="29" s="1"/>
  <c r="DG172" i="29"/>
  <c r="DG173" i="29" s="1"/>
  <c r="FH167" i="29"/>
  <c r="FH168" i="29" s="1"/>
  <c r="EG167" i="29"/>
  <c r="EG168" i="29" s="1"/>
  <c r="DG167" i="29"/>
  <c r="DG168" i="29" s="1"/>
  <c r="FH159" i="29"/>
  <c r="FH160" i="29" s="1"/>
  <c r="EG159" i="29"/>
  <c r="EG160" i="29" s="1"/>
  <c r="EG162" i="29" s="1"/>
  <c r="DG159" i="29"/>
  <c r="DG160" i="29" s="1"/>
  <c r="Z144" i="29"/>
  <c r="V144" i="29"/>
  <c r="V150" i="29" s="1"/>
  <c r="R144" i="29"/>
  <c r="AA137" i="29"/>
  <c r="AG131" i="29"/>
  <c r="AU132" i="29" s="1"/>
  <c r="AG104" i="29"/>
  <c r="AG125" i="29" s="1"/>
  <c r="AE98" i="29"/>
  <c r="X98" i="29"/>
  <c r="Q98" i="29"/>
  <c r="AV97" i="29"/>
  <c r="AV96" i="29"/>
  <c r="AV95" i="29"/>
  <c r="AV94" i="29"/>
  <c r="R79" i="29"/>
  <c r="AC78" i="29" s="1"/>
  <c r="AN78" i="29" s="1"/>
  <c r="AX78" i="29" s="1"/>
  <c r="Z78" i="29"/>
  <c r="R74" i="29"/>
  <c r="AC73" i="29" s="1"/>
  <c r="AN73" i="29" s="1"/>
  <c r="AS73" i="29"/>
  <c r="Z73" i="29"/>
  <c r="R69" i="29"/>
  <c r="AC68" i="29" s="1"/>
  <c r="AN68" i="29" s="1"/>
  <c r="AS68" i="29"/>
  <c r="Z68" i="29"/>
  <c r="R64" i="29"/>
  <c r="AC63" i="29" s="1"/>
  <c r="AN63" i="29" s="1"/>
  <c r="AS63" i="29"/>
  <c r="Z63" i="29"/>
  <c r="R59" i="29"/>
  <c r="AC58" i="29" s="1"/>
  <c r="AN58" i="29" s="1"/>
  <c r="AS58" i="29"/>
  <c r="Z58" i="29"/>
  <c r="AX51" i="29"/>
  <c r="EG195" i="27"/>
  <c r="EG196" i="27" s="1"/>
  <c r="DG195" i="27"/>
  <c r="DG196" i="27" s="1"/>
  <c r="EG187" i="27"/>
  <c r="EG188" i="27" s="1"/>
  <c r="DG187" i="27"/>
  <c r="DG188" i="27" s="1"/>
  <c r="EG179" i="27"/>
  <c r="EG180" i="27" s="1"/>
  <c r="DG179" i="27"/>
  <c r="DG180" i="27" s="1"/>
  <c r="EG171" i="27"/>
  <c r="EG172" i="27" s="1"/>
  <c r="DG171" i="27"/>
  <c r="DG172" i="27" s="1"/>
  <c r="FH166" i="27"/>
  <c r="FH167" i="27" s="1"/>
  <c r="EG166" i="27"/>
  <c r="EG167" i="27" s="1"/>
  <c r="DG166" i="27"/>
  <c r="DG167" i="27" s="1"/>
  <c r="FH158" i="27"/>
  <c r="FH159" i="27" s="1"/>
  <c r="EG158" i="27"/>
  <c r="EG159" i="27" s="1"/>
  <c r="DG158" i="27"/>
  <c r="DG159" i="27" s="1"/>
  <c r="BE159" i="27"/>
  <c r="Z143" i="27"/>
  <c r="Z149" i="27" s="1"/>
  <c r="V143" i="27"/>
  <c r="V149" i="27" s="1"/>
  <c r="R143" i="27"/>
  <c r="R149" i="27" s="1"/>
  <c r="AA136" i="27"/>
  <c r="AG130" i="27"/>
  <c r="AG104" i="27"/>
  <c r="AU122" i="27" s="1"/>
  <c r="AE98" i="27"/>
  <c r="X98" i="27"/>
  <c r="Q98" i="27"/>
  <c r="AV97" i="27"/>
  <c r="AV96" i="27"/>
  <c r="AV95" i="27"/>
  <c r="AV94" i="27"/>
  <c r="R79" i="27"/>
  <c r="AC78" i="27" s="1"/>
  <c r="AN78" i="27" s="1"/>
  <c r="AX78" i="27" s="1"/>
  <c r="Z78" i="27"/>
  <c r="R74" i="27"/>
  <c r="AS73" i="27"/>
  <c r="AC73" i="27"/>
  <c r="AN73" i="27" s="1"/>
  <c r="Z73" i="27"/>
  <c r="R69" i="27"/>
  <c r="AC68" i="27" s="1"/>
  <c r="AN68" i="27" s="1"/>
  <c r="AS68" i="27"/>
  <c r="Z68" i="27"/>
  <c r="R64" i="27"/>
  <c r="AC63" i="27" s="1"/>
  <c r="AN63" i="27" s="1"/>
  <c r="AS63" i="27"/>
  <c r="Z63" i="27"/>
  <c r="AC58" i="27"/>
  <c r="AN58" i="27" s="1"/>
  <c r="AS58" i="27"/>
  <c r="Z58" i="27"/>
  <c r="AX51" i="27"/>
  <c r="EG193" i="26"/>
  <c r="DG193" i="26"/>
  <c r="EG169" i="26"/>
  <c r="EG170" i="26" s="1"/>
  <c r="DG169" i="26"/>
  <c r="DG170" i="26" s="1"/>
  <c r="FH164" i="26"/>
  <c r="FH165" i="26" s="1"/>
  <c r="EG164" i="26"/>
  <c r="EG165" i="26" s="1"/>
  <c r="DG164" i="26"/>
  <c r="DG165" i="26" s="1"/>
  <c r="CE164" i="26"/>
  <c r="CE165" i="26" s="1"/>
  <c r="FH156" i="26"/>
  <c r="FH157" i="26" s="1"/>
  <c r="FH159" i="26" s="1"/>
  <c r="EG156" i="26"/>
  <c r="EG157" i="26" s="1"/>
  <c r="EG159" i="26" s="1"/>
  <c r="DG156" i="26"/>
  <c r="DG157" i="26" s="1"/>
  <c r="DG159" i="26" s="1"/>
  <c r="CE156" i="26"/>
  <c r="CE157" i="26" s="1"/>
  <c r="BE157" i="26"/>
  <c r="BE159" i="26" s="1"/>
  <c r="Z141" i="26"/>
  <c r="Z147" i="26" s="1"/>
  <c r="V141" i="26"/>
  <c r="R141" i="26"/>
  <c r="R147" i="26" s="1"/>
  <c r="AA134" i="26"/>
  <c r="AG128" i="26"/>
  <c r="AU130" i="26" s="1"/>
  <c r="AG104" i="26"/>
  <c r="AG122" i="26" s="1"/>
  <c r="AE98" i="26"/>
  <c r="X98" i="26"/>
  <c r="Q98" i="26"/>
  <c r="AV97" i="26"/>
  <c r="AV96" i="26"/>
  <c r="AV95" i="26"/>
  <c r="AV94" i="26"/>
  <c r="R79" i="26"/>
  <c r="AC78" i="26" s="1"/>
  <c r="AN78" i="26" s="1"/>
  <c r="AX78" i="26" s="1"/>
  <c r="Z78" i="26"/>
  <c r="R74" i="26"/>
  <c r="AC73" i="26" s="1"/>
  <c r="AN73" i="26" s="1"/>
  <c r="AS73" i="26"/>
  <c r="Z73" i="26"/>
  <c r="R69" i="26"/>
  <c r="AC68" i="26" s="1"/>
  <c r="AN68" i="26" s="1"/>
  <c r="AS68" i="26"/>
  <c r="Z68" i="26"/>
  <c r="R64" i="26"/>
  <c r="AC63" i="26" s="1"/>
  <c r="AN63" i="26" s="1"/>
  <c r="AS63" i="26"/>
  <c r="Z63" i="26"/>
  <c r="AC58" i="26"/>
  <c r="AN58" i="26" s="1"/>
  <c r="AS58" i="26"/>
  <c r="Z58" i="26"/>
  <c r="AX51" i="26"/>
  <c r="AV98" i="26" l="1"/>
  <c r="H142" i="26" s="1"/>
  <c r="AX58" i="26"/>
  <c r="AX63" i="26"/>
  <c r="AX68" i="26"/>
  <c r="AX73" i="26"/>
  <c r="AX63" i="27"/>
  <c r="AX68" i="27"/>
  <c r="AX73" i="27"/>
  <c r="AV98" i="27"/>
  <c r="H144" i="27" s="1"/>
  <c r="AQ144" i="27" s="1"/>
  <c r="R146" i="26"/>
  <c r="R145" i="26"/>
  <c r="AX68" i="29"/>
  <c r="AX73" i="29"/>
  <c r="AV98" i="29"/>
  <c r="H145" i="29" s="1"/>
  <c r="AQ145" i="29" s="1"/>
  <c r="AX63" i="29"/>
  <c r="V149" i="29"/>
  <c r="EG161" i="29"/>
  <c r="EH161" i="29" s="1"/>
  <c r="EH162" i="29" s="1"/>
  <c r="Z145" i="26"/>
  <c r="Z146" i="26"/>
  <c r="V148" i="29"/>
  <c r="AU136" i="29"/>
  <c r="AG137" i="29"/>
  <c r="AX58" i="29"/>
  <c r="M145" i="29"/>
  <c r="AU145" i="29" s="1"/>
  <c r="DG170" i="29"/>
  <c r="DG169" i="29" s="1"/>
  <c r="FH170" i="29"/>
  <c r="FH169" i="29" s="1"/>
  <c r="EG175" i="29"/>
  <c r="EG174" i="29" s="1"/>
  <c r="EG191" i="29"/>
  <c r="EG190" i="29" s="1"/>
  <c r="AX52" i="29"/>
  <c r="AU105" i="29"/>
  <c r="AU109" i="29"/>
  <c r="AU111" i="29"/>
  <c r="AU113" i="29"/>
  <c r="AU115" i="29"/>
  <c r="AU117" i="29"/>
  <c r="AU119" i="29"/>
  <c r="AU121" i="29"/>
  <c r="AU123" i="29"/>
  <c r="R150" i="29"/>
  <c r="R149" i="29"/>
  <c r="R148" i="29"/>
  <c r="Z150" i="29"/>
  <c r="Z149" i="29"/>
  <c r="Z148" i="29"/>
  <c r="DG162" i="29"/>
  <c r="DG161" i="29" s="1"/>
  <c r="DG183" i="29"/>
  <c r="DG182" i="29" s="1"/>
  <c r="EG182" i="29"/>
  <c r="DG199" i="29"/>
  <c r="DG198" i="29" s="1"/>
  <c r="EG198" i="29"/>
  <c r="AU104" i="29"/>
  <c r="AU106" i="29"/>
  <c r="BE106" i="29" s="1"/>
  <c r="AU107" i="29"/>
  <c r="AU110" i="29"/>
  <c r="AU112" i="29"/>
  <c r="AU114" i="29"/>
  <c r="AU116" i="29"/>
  <c r="AU118" i="29"/>
  <c r="AU120" i="29"/>
  <c r="AU122" i="29"/>
  <c r="AU124" i="29"/>
  <c r="AU135" i="29"/>
  <c r="AU133" i="29"/>
  <c r="AU131" i="29"/>
  <c r="AU134" i="29"/>
  <c r="EM161" i="29"/>
  <c r="EM162" i="29" s="1"/>
  <c r="FH162" i="29"/>
  <c r="FH161" i="29" s="1"/>
  <c r="EG170" i="29"/>
  <c r="EG169" i="29" s="1"/>
  <c r="DG175" i="29"/>
  <c r="DG174" i="29" s="1"/>
  <c r="DG191" i="29"/>
  <c r="DG190" i="29" s="1"/>
  <c r="AX58" i="27"/>
  <c r="AY144" i="27"/>
  <c r="M144" i="27"/>
  <c r="AU144" i="27" s="1"/>
  <c r="AX52" i="27"/>
  <c r="AU104" i="27"/>
  <c r="AU106" i="27"/>
  <c r="BE106" i="27" s="1"/>
  <c r="AU107" i="27"/>
  <c r="AU109" i="27"/>
  <c r="AU111" i="27"/>
  <c r="AU113" i="27"/>
  <c r="AU115" i="27"/>
  <c r="AU117" i="27"/>
  <c r="AU119" i="27"/>
  <c r="AU121" i="27"/>
  <c r="AU123" i="27"/>
  <c r="AG124" i="27"/>
  <c r="AG136" i="27"/>
  <c r="AU135" i="27"/>
  <c r="AU133" i="27"/>
  <c r="AU131" i="27"/>
  <c r="AU134" i="27"/>
  <c r="EG161" i="27"/>
  <c r="EG160" i="27" s="1"/>
  <c r="EG169" i="27"/>
  <c r="EG168" i="27" s="1"/>
  <c r="DG174" i="27"/>
  <c r="DG173" i="27" s="1"/>
  <c r="DG182" i="27"/>
  <c r="DG181" i="27" s="1"/>
  <c r="DG190" i="27"/>
  <c r="DG189" i="27" s="1"/>
  <c r="DG198" i="27"/>
  <c r="DG197" i="27" s="1"/>
  <c r="AU105" i="27"/>
  <c r="AU108" i="27"/>
  <c r="AU110" i="27"/>
  <c r="AU112" i="27"/>
  <c r="AU114" i="27"/>
  <c r="AU116" i="27"/>
  <c r="AU118" i="27"/>
  <c r="AU120" i="27"/>
  <c r="AU130" i="27"/>
  <c r="AU132" i="27"/>
  <c r="BE161" i="27"/>
  <c r="BE160" i="27" s="1"/>
  <c r="DG161" i="27"/>
  <c r="DG160" i="27" s="1"/>
  <c r="FH161" i="27"/>
  <c r="FH160" i="27" s="1"/>
  <c r="DG169" i="27"/>
  <c r="DG168" i="27" s="1"/>
  <c r="FH169" i="27"/>
  <c r="FH168" i="27" s="1"/>
  <c r="EG174" i="27"/>
  <c r="EG173" i="27" s="1"/>
  <c r="EG182" i="27"/>
  <c r="EG181" i="27" s="1"/>
  <c r="EG190" i="27"/>
  <c r="EG189" i="27" s="1"/>
  <c r="EG198" i="27"/>
  <c r="EG197" i="27" s="1"/>
  <c r="R147" i="27"/>
  <c r="Z147" i="27"/>
  <c r="R148" i="27"/>
  <c r="Z148" i="27"/>
  <c r="V147" i="27"/>
  <c r="V148" i="27"/>
  <c r="CE167" i="26"/>
  <c r="CE166" i="26" s="1"/>
  <c r="EG167" i="26"/>
  <c r="EG166" i="26" s="1"/>
  <c r="DG172" i="26"/>
  <c r="DG171" i="26" s="1"/>
  <c r="AY142" i="26"/>
  <c r="AQ142" i="26"/>
  <c r="M142" i="26"/>
  <c r="AU142" i="26" s="1"/>
  <c r="AU105" i="26"/>
  <c r="AU108" i="26"/>
  <c r="AU110" i="26"/>
  <c r="AU112" i="26"/>
  <c r="AU114" i="26"/>
  <c r="AU116" i="26"/>
  <c r="AU118" i="26"/>
  <c r="AU120" i="26"/>
  <c r="AU128" i="26"/>
  <c r="V147" i="26"/>
  <c r="V146" i="26"/>
  <c r="V145" i="26"/>
  <c r="BE158" i="26"/>
  <c r="BF158" i="26" s="1"/>
  <c r="BF192" i="26" s="1"/>
  <c r="FH158" i="26"/>
  <c r="DG167" i="26"/>
  <c r="DG166" i="26" s="1"/>
  <c r="FH167" i="26"/>
  <c r="FH166" i="26" s="1"/>
  <c r="EG172" i="26"/>
  <c r="EG171" i="26" s="1"/>
  <c r="AX52" i="26"/>
  <c r="AU104" i="26"/>
  <c r="AU106" i="26"/>
  <c r="BE106" i="26" s="1"/>
  <c r="AU107" i="26"/>
  <c r="AU109" i="26"/>
  <c r="AU111" i="26"/>
  <c r="AU113" i="26"/>
  <c r="AU115" i="26"/>
  <c r="AU117" i="26"/>
  <c r="AU119" i="26"/>
  <c r="AU121" i="26"/>
  <c r="AG134" i="26"/>
  <c r="AU133" i="26"/>
  <c r="AU131" i="26"/>
  <c r="AU129" i="26"/>
  <c r="AU132" i="26"/>
  <c r="EG158" i="26"/>
  <c r="DG158" i="26"/>
  <c r="CE159" i="26"/>
  <c r="CE158" i="26" s="1"/>
  <c r="BH229" i="24"/>
  <c r="BH230" i="24" s="1"/>
  <c r="BH263" i="21"/>
  <c r="BH219" i="11"/>
  <c r="BH220" i="11" s="1"/>
  <c r="BF256" i="17"/>
  <c r="BF257" i="17" s="1"/>
  <c r="BF249" i="17"/>
  <c r="BF250" i="17" s="1"/>
  <c r="BH238" i="14"/>
  <c r="BH239" i="14" s="1"/>
  <c r="AV184" i="20"/>
  <c r="AV185" i="20" s="1"/>
  <c r="BH210" i="18"/>
  <c r="BH211" i="18" s="1"/>
  <c r="AY145" i="29" l="1"/>
  <c r="AX83" i="26"/>
  <c r="AC41" i="26" s="1"/>
  <c r="AN41" i="26" s="1"/>
  <c r="AS51" i="26" s="1"/>
  <c r="AS52" i="26" s="1"/>
  <c r="AX84" i="26"/>
  <c r="AS84" i="26" s="1"/>
  <c r="AS83" i="26"/>
  <c r="AX83" i="29"/>
  <c r="AC24" i="29" s="1"/>
  <c r="AX34" i="29" s="1"/>
  <c r="AX83" i="27"/>
  <c r="AS83" i="27" s="1"/>
  <c r="DH182" i="29"/>
  <c r="DH183" i="29" s="1"/>
  <c r="DH169" i="29"/>
  <c r="DH170" i="29" s="1"/>
  <c r="FI161" i="29"/>
  <c r="FI162" i="29" s="1"/>
  <c r="FI169" i="29"/>
  <c r="FI170" i="29" s="1"/>
  <c r="DH190" i="29"/>
  <c r="DH191" i="29" s="1"/>
  <c r="DH174" i="29"/>
  <c r="DH175" i="29" s="1"/>
  <c r="EH169" i="29"/>
  <c r="EH170" i="29" s="1"/>
  <c r="AU125" i="29"/>
  <c r="H146" i="29" s="1"/>
  <c r="DH198" i="29"/>
  <c r="DH199" i="29" s="1"/>
  <c r="EH182" i="29"/>
  <c r="EH183" i="29" s="1"/>
  <c r="DH161" i="29"/>
  <c r="DH162" i="29" s="1"/>
  <c r="EH190" i="29"/>
  <c r="EH191" i="29" s="1"/>
  <c r="EH174" i="29"/>
  <c r="EH175" i="29" s="1"/>
  <c r="AU137" i="29"/>
  <c r="H147" i="29" s="1"/>
  <c r="EH198" i="29"/>
  <c r="EH199" i="29" s="1"/>
  <c r="EH160" i="27"/>
  <c r="EH161" i="27" s="1"/>
  <c r="AU136" i="27"/>
  <c r="H146" i="27" s="1"/>
  <c r="AQ146" i="27" s="1"/>
  <c r="EH197" i="27"/>
  <c r="EH198" i="27" s="1"/>
  <c r="EH189" i="27"/>
  <c r="EH190" i="27" s="1"/>
  <c r="EH181" i="27"/>
  <c r="EH182" i="27" s="1"/>
  <c r="EH173" i="27"/>
  <c r="EH174" i="27" s="1"/>
  <c r="FI168" i="27"/>
  <c r="FI169" i="27" s="1"/>
  <c r="DH168" i="27"/>
  <c r="DH169" i="27" s="1"/>
  <c r="FI160" i="27"/>
  <c r="FI161" i="27" s="1"/>
  <c r="DH160" i="27"/>
  <c r="DH161" i="27" s="1"/>
  <c r="BF160" i="27"/>
  <c r="DH197" i="27"/>
  <c r="DH198" i="27" s="1"/>
  <c r="DH189" i="27"/>
  <c r="DH190" i="27" s="1"/>
  <c r="DH181" i="27"/>
  <c r="DH182" i="27" s="1"/>
  <c r="DH173" i="27"/>
  <c r="DH174" i="27" s="1"/>
  <c r="EH168" i="27"/>
  <c r="EH169" i="27" s="1"/>
  <c r="AU124" i="27"/>
  <c r="H145" i="27" s="1"/>
  <c r="AQ145" i="27" s="1"/>
  <c r="FI166" i="26"/>
  <c r="FI167" i="26" s="1"/>
  <c r="DH171" i="26"/>
  <c r="DH172" i="26" s="1"/>
  <c r="CF166" i="26"/>
  <c r="CF167" i="26" s="1"/>
  <c r="CF158" i="26"/>
  <c r="CF159" i="26" s="1"/>
  <c r="EH171" i="26"/>
  <c r="EH172" i="26" s="1"/>
  <c r="DH166" i="26"/>
  <c r="DH167" i="26" s="1"/>
  <c r="EH166" i="26"/>
  <c r="EH167" i="26" s="1"/>
  <c r="DH158" i="26"/>
  <c r="DH159" i="26" s="1"/>
  <c r="BF159" i="26"/>
  <c r="EH158" i="26"/>
  <c r="EH159" i="26" s="1"/>
  <c r="AU122" i="26"/>
  <c r="H143" i="26" s="1"/>
  <c r="FI158" i="26"/>
  <c r="FI159" i="26" s="1"/>
  <c r="AU134" i="26"/>
  <c r="H144" i="26" s="1"/>
  <c r="BH232" i="24"/>
  <c r="BH231" i="24" s="1"/>
  <c r="BH265" i="21"/>
  <c r="BH264" i="21" s="1"/>
  <c r="BH222" i="11"/>
  <c r="BH221" i="11" s="1"/>
  <c r="BF259" i="17"/>
  <c r="BF258" i="17" s="1"/>
  <c r="BF252" i="17"/>
  <c r="BF251" i="17" s="1"/>
  <c r="BH241" i="14"/>
  <c r="BH240" i="14" s="1"/>
  <c r="AV187" i="20"/>
  <c r="AV186" i="20" s="1"/>
  <c r="BH213" i="18"/>
  <c r="BH212" i="18" s="1"/>
  <c r="BH212" i="11"/>
  <c r="BH213" i="11" s="1"/>
  <c r="BH221" i="24"/>
  <c r="BH222" i="24" s="1"/>
  <c r="BH255" i="21"/>
  <c r="AV178" i="20"/>
  <c r="AV179" i="20" s="1"/>
  <c r="BF242" i="17"/>
  <c r="BF243" i="17" s="1"/>
  <c r="BH203" i="18"/>
  <c r="BH204" i="18" s="1"/>
  <c r="BG248" i="16"/>
  <c r="BG249" i="16" s="1"/>
  <c r="BH231" i="14"/>
  <c r="BH232" i="14" s="1"/>
  <c r="AC24" i="26" l="1"/>
  <c r="AC41" i="29"/>
  <c r="AN41" i="29" s="1"/>
  <c r="AS51" i="29" s="1"/>
  <c r="AS52" i="29" s="1"/>
  <c r="AC41" i="27"/>
  <c r="AN41" i="27" s="1"/>
  <c r="AS51" i="27" s="1"/>
  <c r="AS52" i="27" s="1"/>
  <c r="AX84" i="27"/>
  <c r="AS84" i="27" s="1"/>
  <c r="AC24" i="27"/>
  <c r="BF161" i="27"/>
  <c r="BF214" i="27"/>
  <c r="AX84" i="29"/>
  <c r="AS84" i="29" s="1"/>
  <c r="AN24" i="29"/>
  <c r="AS34" i="29" s="1"/>
  <c r="AV86" i="29"/>
  <c r="AX35" i="29"/>
  <c r="AS35" i="29" s="1"/>
  <c r="AS83" i="29"/>
  <c r="EM168" i="27"/>
  <c r="EM169" i="27" s="1"/>
  <c r="DM173" i="27"/>
  <c r="DM174" i="27" s="1"/>
  <c r="DM181" i="27"/>
  <c r="DM182" i="27" s="1"/>
  <c r="DM189" i="27"/>
  <c r="DM190" i="27" s="1"/>
  <c r="DM197" i="27"/>
  <c r="DM198" i="27" s="1"/>
  <c r="BK160" i="27"/>
  <c r="BK161" i="27" s="1"/>
  <c r="DM160" i="27"/>
  <c r="DM161" i="27" s="1"/>
  <c r="FN160" i="27"/>
  <c r="FN161" i="27" s="1"/>
  <c r="FN158" i="26"/>
  <c r="FN159" i="26" s="1"/>
  <c r="BK158" i="26"/>
  <c r="BK159" i="26" s="1"/>
  <c r="DM158" i="26"/>
  <c r="DM159" i="26" s="1"/>
  <c r="EM166" i="26"/>
  <c r="EM167" i="26" s="1"/>
  <c r="CK166" i="26"/>
  <c r="CK167" i="26" s="1"/>
  <c r="DM171" i="26"/>
  <c r="DM172" i="26" s="1"/>
  <c r="FN161" i="29"/>
  <c r="FN162" i="29" s="1"/>
  <c r="EM182" i="29"/>
  <c r="EM183" i="29" s="1"/>
  <c r="EM174" i="29"/>
  <c r="EM175" i="29" s="1"/>
  <c r="EM190" i="29"/>
  <c r="EM191" i="29" s="1"/>
  <c r="EM169" i="29"/>
  <c r="EM170" i="29" s="1"/>
  <c r="DM174" i="29"/>
  <c r="DM175" i="29" s="1"/>
  <c r="DM190" i="29"/>
  <c r="DM191" i="29" s="1"/>
  <c r="DM182" i="29"/>
  <c r="DM183" i="29" s="1"/>
  <c r="AY146" i="29"/>
  <c r="AQ146" i="29"/>
  <c r="M146" i="29"/>
  <c r="AU146" i="29" s="1"/>
  <c r="EM198" i="29"/>
  <c r="EM199" i="29" s="1"/>
  <c r="M147" i="29"/>
  <c r="AU147" i="29" s="1"/>
  <c r="AY147" i="29"/>
  <c r="AQ147" i="29"/>
  <c r="DM161" i="29"/>
  <c r="DM162" i="29" s="1"/>
  <c r="DM198" i="29"/>
  <c r="DM199" i="29" s="1"/>
  <c r="FN169" i="29"/>
  <c r="FN170" i="29" s="1"/>
  <c r="DM169" i="29"/>
  <c r="DM170" i="29" s="1"/>
  <c r="M145" i="27"/>
  <c r="AU145" i="27" s="1"/>
  <c r="AY145" i="27"/>
  <c r="DM168" i="27"/>
  <c r="DM169" i="27" s="1"/>
  <c r="FN168" i="27"/>
  <c r="FN169" i="27" s="1"/>
  <c r="EM173" i="27"/>
  <c r="EM174" i="27" s="1"/>
  <c r="EM181" i="27"/>
  <c r="EM182" i="27" s="1"/>
  <c r="EM189" i="27"/>
  <c r="EM190" i="27" s="1"/>
  <c r="EM197" i="27"/>
  <c r="EM198" i="27" s="1"/>
  <c r="AY146" i="27"/>
  <c r="M146" i="27"/>
  <c r="AU146" i="27" s="1"/>
  <c r="EM160" i="27"/>
  <c r="EM161" i="27" s="1"/>
  <c r="AY144" i="26"/>
  <c r="AQ144" i="26"/>
  <c r="M144" i="26"/>
  <c r="AU144" i="26" s="1"/>
  <c r="M143" i="26"/>
  <c r="AU143" i="26" s="1"/>
  <c r="AQ143" i="26"/>
  <c r="AY143" i="26"/>
  <c r="EM158" i="26"/>
  <c r="EM159" i="26" s="1"/>
  <c r="DM166" i="26"/>
  <c r="DM167" i="26" s="1"/>
  <c r="EM171" i="26"/>
  <c r="EM172" i="26" s="1"/>
  <c r="CK158" i="26"/>
  <c r="CK159" i="26" s="1"/>
  <c r="FN166" i="26"/>
  <c r="FN167" i="26" s="1"/>
  <c r="BI231" i="24"/>
  <c r="BI232" i="24" s="1"/>
  <c r="BI264" i="21"/>
  <c r="BI221" i="11"/>
  <c r="BI222" i="11" s="1"/>
  <c r="BG258" i="17"/>
  <c r="BG259" i="17" s="1"/>
  <c r="BG251" i="17"/>
  <c r="BG252" i="17" s="1"/>
  <c r="BI240" i="14"/>
  <c r="BI241" i="14" s="1"/>
  <c r="AW186" i="20"/>
  <c r="AW187" i="20" s="1"/>
  <c r="BI212" i="18"/>
  <c r="BI213" i="18" s="1"/>
  <c r="BH215" i="11"/>
  <c r="BH214" i="11" s="1"/>
  <c r="BH224" i="24"/>
  <c r="BH223" i="24" s="1"/>
  <c r="AV181" i="20"/>
  <c r="AV180" i="20" s="1"/>
  <c r="BF245" i="17"/>
  <c r="BF244" i="17" s="1"/>
  <c r="BH206" i="18"/>
  <c r="BH205" i="18" s="1"/>
  <c r="BG251" i="16"/>
  <c r="BG250" i="16" s="1"/>
  <c r="BH234" i="14"/>
  <c r="BH233" i="14" s="1"/>
  <c r="AV87" i="29" l="1"/>
  <c r="AV88" i="29" s="1"/>
  <c r="AO87" i="29"/>
  <c r="AX34" i="26"/>
  <c r="AN24" i="26"/>
  <c r="AS34" i="26" s="1"/>
  <c r="AO86" i="26" s="1"/>
  <c r="BI265" i="21"/>
  <c r="BF303" i="21"/>
  <c r="AO86" i="29"/>
  <c r="AO88" i="29" s="1"/>
  <c r="H144" i="29" s="1"/>
  <c r="AN24" i="27"/>
  <c r="AS34" i="27" s="1"/>
  <c r="AO86" i="27" s="1"/>
  <c r="AX34" i="27"/>
  <c r="BN231" i="24"/>
  <c r="BN232" i="24" s="1"/>
  <c r="BN264" i="21"/>
  <c r="BN265" i="21" s="1"/>
  <c r="BN221" i="11"/>
  <c r="BN222" i="11" s="1"/>
  <c r="BL258" i="17"/>
  <c r="BL259" i="17" s="1"/>
  <c r="BL251" i="17"/>
  <c r="BL252" i="17" s="1"/>
  <c r="BN240" i="14"/>
  <c r="BN241" i="14" s="1"/>
  <c r="BB186" i="20"/>
  <c r="BB187" i="20" s="1"/>
  <c r="BN212" i="18"/>
  <c r="BN213" i="18" s="1"/>
  <c r="BI214" i="11"/>
  <c r="BI215" i="11" s="1"/>
  <c r="BI223" i="24"/>
  <c r="BI224" i="24" s="1"/>
  <c r="AW180" i="20"/>
  <c r="AW181" i="20" s="1"/>
  <c r="BG244" i="17"/>
  <c r="BG245" i="17" s="1"/>
  <c r="BI205" i="18"/>
  <c r="BI206" i="18" s="1"/>
  <c r="BH250" i="16"/>
  <c r="BH251" i="16" s="1"/>
  <c r="BI233" i="14"/>
  <c r="BI234" i="14" s="1"/>
  <c r="H148" i="29" l="1"/>
  <c r="AQ144" i="29"/>
  <c r="AQ148" i="29" s="1"/>
  <c r="AQ149" i="29" s="1"/>
  <c r="AQ150" i="29" s="1"/>
  <c r="M144" i="29"/>
  <c r="AU144" i="29" s="1"/>
  <c r="AU148" i="29" s="1"/>
  <c r="AV86" i="26"/>
  <c r="AX35" i="26"/>
  <c r="AY144" i="29"/>
  <c r="AY148" i="29" s="1"/>
  <c r="AY149" i="29" s="1"/>
  <c r="AY150" i="29" s="1"/>
  <c r="AV86" i="27"/>
  <c r="AX35" i="27"/>
  <c r="H149" i="29"/>
  <c r="H150" i="29" s="1"/>
  <c r="M148" i="29"/>
  <c r="BN214" i="11"/>
  <c r="BN215" i="11" s="1"/>
  <c r="BN223" i="24"/>
  <c r="BN224" i="24" s="1"/>
  <c r="BB180" i="20"/>
  <c r="BB181" i="20" s="1"/>
  <c r="BL244" i="17"/>
  <c r="BL245" i="17" s="1"/>
  <c r="BN205" i="18"/>
  <c r="BN206" i="18" s="1"/>
  <c r="BM250" i="16"/>
  <c r="BM251" i="16" s="1"/>
  <c r="BN233" i="14"/>
  <c r="BN234" i="14" s="1"/>
  <c r="AV87" i="26" l="1"/>
  <c r="AV88" i="26" s="1"/>
  <c r="AS35" i="26"/>
  <c r="AO87" i="26" s="1"/>
  <c r="AO88" i="26" s="1"/>
  <c r="H141" i="26" s="1"/>
  <c r="AS35" i="27"/>
  <c r="AO87" i="27" s="1"/>
  <c r="AO88" i="27" s="1"/>
  <c r="AV87" i="27"/>
  <c r="AV88" i="27" s="1"/>
  <c r="AU149" i="29"/>
  <c r="AU150" i="29" s="1"/>
  <c r="M149" i="29"/>
  <c r="M150" i="29" s="1"/>
  <c r="BH256" i="21"/>
  <c r="H145" i="26" l="1"/>
  <c r="H146" i="26" s="1"/>
  <c r="H147" i="26" s="1"/>
  <c r="AQ141" i="26"/>
  <c r="AQ145" i="26" s="1"/>
  <c r="AQ146" i="26" s="1"/>
  <c r="AQ147" i="26" s="1"/>
  <c r="AY141" i="26"/>
  <c r="AY145" i="26" s="1"/>
  <c r="AY146" i="26" s="1"/>
  <c r="AY147" i="26" s="1"/>
  <c r="M141" i="26"/>
  <c r="H143" i="27"/>
  <c r="M143" i="27" s="1"/>
  <c r="AU143" i="27" s="1"/>
  <c r="BH258" i="21"/>
  <c r="BH257" i="21" s="1"/>
  <c r="AV172" i="20"/>
  <c r="AV173" i="20" s="1"/>
  <c r="BH205" i="11"/>
  <c r="BH206" i="11" s="1"/>
  <c r="BH196" i="18"/>
  <c r="BH197" i="18" s="1"/>
  <c r="BH248" i="21"/>
  <c r="BH249" i="21" s="1"/>
  <c r="BG240" i="16"/>
  <c r="BG241" i="16" s="1"/>
  <c r="BH224" i="14"/>
  <c r="BH225" i="14" s="1"/>
  <c r="BH213" i="24"/>
  <c r="BH214" i="24" s="1"/>
  <c r="BF235" i="17"/>
  <c r="BF236" i="17" s="1"/>
  <c r="H147" i="27" l="1"/>
  <c r="H148" i="27" s="1"/>
  <c r="H149" i="27" s="1"/>
  <c r="M145" i="26"/>
  <c r="M146" i="26" s="1"/>
  <c r="M147" i="26" s="1"/>
  <c r="AU141" i="26"/>
  <c r="AU145" i="26" s="1"/>
  <c r="AU146" i="26" s="1"/>
  <c r="AU147" i="26" s="1"/>
  <c r="AY143" i="27"/>
  <c r="AY147" i="27" s="1"/>
  <c r="AY148" i="27" s="1"/>
  <c r="AY149" i="27" s="1"/>
  <c r="AQ143" i="27"/>
  <c r="AQ147" i="27" s="1"/>
  <c r="AQ148" i="27" s="1"/>
  <c r="AQ149" i="27" s="1"/>
  <c r="AU147" i="27"/>
  <c r="M147" i="27"/>
  <c r="M148" i="27" s="1"/>
  <c r="M149" i="27" s="1"/>
  <c r="BI257" i="21"/>
  <c r="BI258" i="21" s="1"/>
  <c r="AV175" i="20"/>
  <c r="AV174" i="20" s="1"/>
  <c r="BH208" i="11"/>
  <c r="BH207" i="11" s="1"/>
  <c r="BH199" i="18"/>
  <c r="BH198" i="18" s="1"/>
  <c r="BH251" i="21"/>
  <c r="BH250" i="21" s="1"/>
  <c r="BG243" i="16"/>
  <c r="BG242" i="16" s="1"/>
  <c r="BH227" i="14"/>
  <c r="BH226" i="14" s="1"/>
  <c r="BH216" i="24"/>
  <c r="BH215" i="24" s="1"/>
  <c r="BF238" i="17"/>
  <c r="BF237" i="17" s="1"/>
  <c r="AV166" i="20"/>
  <c r="BH217" i="14"/>
  <c r="BH218" i="14" s="1"/>
  <c r="BF228" i="17"/>
  <c r="BF229" i="17" s="1"/>
  <c r="BG232" i="16"/>
  <c r="BG233" i="16" s="1"/>
  <c r="BH241" i="21"/>
  <c r="BH242" i="21" s="1"/>
  <c r="BH234" i="21"/>
  <c r="BH189" i="18"/>
  <c r="BH190" i="18" s="1"/>
  <c r="BH205" i="24"/>
  <c r="BH206" i="24" s="1"/>
  <c r="BH198" i="11"/>
  <c r="BH199" i="11" s="1"/>
  <c r="AU148" i="27" l="1"/>
  <c r="AU149" i="27" s="1"/>
  <c r="BN257" i="21"/>
  <c r="BN258" i="21" s="1"/>
  <c r="AW174" i="20"/>
  <c r="AW175" i="20" s="1"/>
  <c r="BI207" i="11"/>
  <c r="BI208" i="11" s="1"/>
  <c r="BI198" i="18"/>
  <c r="BI199" i="18" s="1"/>
  <c r="BI250" i="21"/>
  <c r="BI251" i="21" s="1"/>
  <c r="BH242" i="16"/>
  <c r="BH243" i="16" s="1"/>
  <c r="BI226" i="14"/>
  <c r="BI227" i="14" s="1"/>
  <c r="BI215" i="24"/>
  <c r="BI216" i="24" s="1"/>
  <c r="BG237" i="17"/>
  <c r="BG238" i="17" s="1"/>
  <c r="BH220" i="14"/>
  <c r="BH219" i="14" s="1"/>
  <c r="BF231" i="17"/>
  <c r="BF230" i="17" s="1"/>
  <c r="BG235" i="16"/>
  <c r="BG234" i="16" s="1"/>
  <c r="BH244" i="21"/>
  <c r="BH243" i="21" s="1"/>
  <c r="BH192" i="18"/>
  <c r="BH191" i="18" s="1"/>
  <c r="BH208" i="24"/>
  <c r="BH207" i="24" s="1"/>
  <c r="BH201" i="11"/>
  <c r="BH200" i="11" s="1"/>
  <c r="BH182" i="18"/>
  <c r="BB174" i="20" l="1"/>
  <c r="BB175" i="20" s="1"/>
  <c r="BN207" i="11"/>
  <c r="BN208" i="11" s="1"/>
  <c r="BN198" i="18"/>
  <c r="BN199" i="18" s="1"/>
  <c r="BN250" i="21"/>
  <c r="BN251" i="21" s="1"/>
  <c r="BM242" i="16"/>
  <c r="BM243" i="16" s="1"/>
  <c r="BN226" i="14"/>
  <c r="BN227" i="14" s="1"/>
  <c r="BN215" i="24"/>
  <c r="BN216" i="24" s="1"/>
  <c r="BL237" i="17"/>
  <c r="BL238" i="17" s="1"/>
  <c r="BI219" i="14"/>
  <c r="BI220" i="14" s="1"/>
  <c r="BG230" i="17"/>
  <c r="BG231" i="17" s="1"/>
  <c r="BH234" i="16"/>
  <c r="BH235" i="16" s="1"/>
  <c r="BI243" i="21"/>
  <c r="BI244" i="21" s="1"/>
  <c r="BI191" i="18"/>
  <c r="BI192" i="18" s="1"/>
  <c r="BI207" i="24"/>
  <c r="BI208" i="24" s="1"/>
  <c r="BI200" i="11"/>
  <c r="BI201" i="11" s="1"/>
  <c r="BH183" i="11"/>
  <c r="BH175" i="11"/>
  <c r="BH191" i="11"/>
  <c r="BN243" i="21" l="1"/>
  <c r="BN244" i="21" s="1"/>
  <c r="BN219" i="14"/>
  <c r="BN220" i="14" s="1"/>
  <c r="BL230" i="17"/>
  <c r="BL231" i="17" s="1"/>
  <c r="BM234" i="16"/>
  <c r="BM235" i="16" s="1"/>
  <c r="BN191" i="18"/>
  <c r="BN192" i="18" s="1"/>
  <c r="BN207" i="24"/>
  <c r="BN208" i="24" s="1"/>
  <c r="BN200" i="11"/>
  <c r="BN201" i="11" s="1"/>
  <c r="BH197" i="24"/>
  <c r="CF197" i="24" l="1"/>
  <c r="CF198" i="24" s="1"/>
  <c r="CF200" i="24" l="1"/>
  <c r="CF199" i="24" s="1"/>
  <c r="BH198" i="24"/>
  <c r="BF221" i="17"/>
  <c r="BF222" i="17" s="1"/>
  <c r="BH183" i="18"/>
  <c r="BH235" i="21"/>
  <c r="CG199" i="24" l="1"/>
  <c r="CG200" i="24" s="1"/>
  <c r="BH200" i="24"/>
  <c r="BH199" i="24" s="1"/>
  <c r="BF224" i="17"/>
  <c r="BF223" i="17" s="1"/>
  <c r="BH185" i="18"/>
  <c r="BH184" i="18" s="1"/>
  <c r="BH237" i="21"/>
  <c r="BH236" i="21" s="1"/>
  <c r="CL199" i="24" l="1"/>
  <c r="CL200" i="24" s="1"/>
  <c r="BI199" i="24"/>
  <c r="BI200" i="24" s="1"/>
  <c r="BG223" i="17"/>
  <c r="BG224" i="17" s="1"/>
  <c r="BI184" i="18"/>
  <c r="BI185" i="18" s="1"/>
  <c r="BI236" i="21"/>
  <c r="BI237" i="21" s="1"/>
  <c r="BH210" i="14"/>
  <c r="BH211" i="14" s="1"/>
  <c r="BG224" i="16"/>
  <c r="BG225" i="16" s="1"/>
  <c r="BG193" i="16"/>
  <c r="BG216" i="16"/>
  <c r="BG208" i="16"/>
  <c r="AV167" i="20"/>
  <c r="BN184" i="18" l="1"/>
  <c r="BN185" i="18" s="1"/>
  <c r="BN199" i="24"/>
  <c r="BN200" i="24" s="1"/>
  <c r="BL223" i="17"/>
  <c r="BL224" i="17" s="1"/>
  <c r="BN236" i="21"/>
  <c r="BN237" i="21" s="1"/>
  <c r="BH213" i="14"/>
  <c r="BH212" i="14" s="1"/>
  <c r="BG227" i="16"/>
  <c r="BG226" i="16" s="1"/>
  <c r="AV169" i="20"/>
  <c r="AV168" i="20" s="1"/>
  <c r="BI212" i="14" l="1"/>
  <c r="BI213" i="14" s="1"/>
  <c r="BH226" i="16"/>
  <c r="BH227" i="16" s="1"/>
  <c r="AW168" i="20"/>
  <c r="AW169" i="20" s="1"/>
  <c r="O7" i="25"/>
  <c r="BN212" i="14" l="1"/>
  <c r="BN213" i="14" s="1"/>
  <c r="BM226" i="16"/>
  <c r="BM227" i="16" s="1"/>
  <c r="BB168" i="20"/>
  <c r="BB169" i="20" s="1"/>
  <c r="BH192" i="11" l="1"/>
  <c r="BH194" i="11" l="1"/>
  <c r="BH193" i="11" s="1"/>
  <c r="BI193" i="11" l="1"/>
  <c r="BI194" i="11" s="1"/>
  <c r="J7" i="25"/>
  <c r="K7" i="25" s="1"/>
  <c r="J5" i="25"/>
  <c r="K5" i="25" s="1"/>
  <c r="J6" i="25"/>
  <c r="K9" i="25" l="1"/>
  <c r="BN193" i="11"/>
  <c r="BN194" i="11" s="1"/>
  <c r="J9" i="25"/>
  <c r="C6" i="25"/>
  <c r="J4" i="25" l="1"/>
  <c r="K4" i="25" s="1"/>
  <c r="C4" i="25"/>
  <c r="J15" i="25" l="1"/>
  <c r="E4" i="25"/>
  <c r="D4" i="25" s="1"/>
  <c r="K6" i="25"/>
  <c r="E6" i="25"/>
  <c r="O15" i="25" l="1"/>
  <c r="M17" i="25"/>
  <c r="D6" i="25"/>
  <c r="BH168" i="24" l="1"/>
  <c r="BH169" i="24" s="1"/>
  <c r="BH159" i="24"/>
  <c r="BH160" i="24" s="1"/>
  <c r="BF174" i="17"/>
  <c r="BF175" i="17" s="1"/>
  <c r="BG194" i="16"/>
  <c r="BH184" i="11"/>
  <c r="BH176" i="11"/>
  <c r="BH153" i="18"/>
  <c r="BH154" i="18" s="1"/>
  <c r="BH175" i="21"/>
  <c r="BH176" i="21" s="1"/>
  <c r="BH178" i="21" s="1"/>
  <c r="BH177" i="21" s="1"/>
  <c r="BH171" i="14"/>
  <c r="BH172" i="14" s="1"/>
  <c r="BI177" i="21" l="1"/>
  <c r="BI178" i="21" s="1"/>
  <c r="BH171" i="24"/>
  <c r="BH170" i="24" s="1"/>
  <c r="BH162" i="24"/>
  <c r="BH161" i="24" s="1"/>
  <c r="BF177" i="17"/>
  <c r="BF176" i="17" s="1"/>
  <c r="BG196" i="16"/>
  <c r="BG195" i="16" s="1"/>
  <c r="BH186" i="11"/>
  <c r="BH185" i="11" s="1"/>
  <c r="BH178" i="11"/>
  <c r="BH177" i="11" s="1"/>
  <c r="BH156" i="18"/>
  <c r="BH155" i="18" s="1"/>
  <c r="BH174" i="14"/>
  <c r="BH173" i="14" s="1"/>
  <c r="BH148" i="24"/>
  <c r="BN177" i="21" l="1"/>
  <c r="BN178" i="21" s="1"/>
  <c r="BI170" i="24"/>
  <c r="BI171" i="24" s="1"/>
  <c r="BI161" i="24"/>
  <c r="BI162" i="24" s="1"/>
  <c r="BG176" i="17"/>
  <c r="BG177" i="17" s="1"/>
  <c r="BH195" i="16"/>
  <c r="BH196" i="16" s="1"/>
  <c r="BI185" i="11"/>
  <c r="BI186" i="11" s="1"/>
  <c r="BI177" i="11"/>
  <c r="BI178" i="11" s="1"/>
  <c r="BI155" i="18"/>
  <c r="BI156" i="18" s="1"/>
  <c r="BI173" i="14"/>
  <c r="BI174" i="14" s="1"/>
  <c r="BF167" i="17"/>
  <c r="BH144" i="18"/>
  <c r="BH163" i="14"/>
  <c r="BH167" i="21"/>
  <c r="BH167" i="11"/>
  <c r="BG179" i="16"/>
  <c r="BG180" i="16" s="1"/>
  <c r="BM195" i="16" l="1"/>
  <c r="BM196" i="16" s="1"/>
  <c r="BN185" i="11"/>
  <c r="BN186" i="11" s="1"/>
  <c r="BN170" i="24"/>
  <c r="BN171" i="24" s="1"/>
  <c r="BN161" i="24"/>
  <c r="BN162" i="24" s="1"/>
  <c r="BL176" i="17"/>
  <c r="BL177" i="17" s="1"/>
  <c r="BN177" i="11"/>
  <c r="BN178" i="11" s="1"/>
  <c r="BN155" i="18"/>
  <c r="BN156" i="18" s="1"/>
  <c r="BN173" i="14"/>
  <c r="BN174" i="14" s="1"/>
  <c r="BG172" i="16" l="1"/>
  <c r="BG164" i="16"/>
  <c r="BG165" i="16" s="1"/>
  <c r="CJ159" i="11"/>
  <c r="BH159" i="11"/>
  <c r="BH160" i="11" s="1"/>
  <c r="BG167" i="16" l="1"/>
  <c r="BG166" i="16" s="1"/>
  <c r="BF159" i="17"/>
  <c r="BH159" i="21"/>
  <c r="BH160" i="21" s="1"/>
  <c r="BH166" i="16" l="1"/>
  <c r="BM166" i="16" s="1"/>
  <c r="BH190" i="24"/>
  <c r="BH191" i="24" s="1"/>
  <c r="BH183" i="24"/>
  <c r="BH184" i="24" s="1"/>
  <c r="BH175" i="24"/>
  <c r="BH176" i="24" s="1"/>
  <c r="Z144" i="24"/>
  <c r="Z150" i="24" s="1"/>
  <c r="V144" i="24"/>
  <c r="V150" i="24" s="1"/>
  <c r="R144" i="24"/>
  <c r="R150" i="24" s="1"/>
  <c r="AA137" i="24"/>
  <c r="AG131" i="24"/>
  <c r="AG137" i="24" s="1"/>
  <c r="AA125" i="24"/>
  <c r="AG104" i="24"/>
  <c r="AG125" i="24" s="1"/>
  <c r="AE98" i="24"/>
  <c r="X98" i="24"/>
  <c r="Q98" i="24"/>
  <c r="AV97" i="24"/>
  <c r="AV96" i="24"/>
  <c r="AV95" i="24"/>
  <c r="AV94" i="24"/>
  <c r="R79" i="24"/>
  <c r="AC78" i="24" s="1"/>
  <c r="AN78" i="24" s="1"/>
  <c r="AX78" i="24" s="1"/>
  <c r="Z78" i="24"/>
  <c r="R74" i="24"/>
  <c r="AC73" i="24" s="1"/>
  <c r="AN73" i="24" s="1"/>
  <c r="AS73" i="24"/>
  <c r="Z73" i="24"/>
  <c r="R69" i="24"/>
  <c r="AC68" i="24" s="1"/>
  <c r="AN68" i="24" s="1"/>
  <c r="AS68" i="24"/>
  <c r="Z68" i="24"/>
  <c r="R64" i="24"/>
  <c r="AC63" i="24" s="1"/>
  <c r="AN63" i="24" s="1"/>
  <c r="AS63" i="24"/>
  <c r="Z63" i="24"/>
  <c r="R59" i="24"/>
  <c r="AC58" i="24" s="1"/>
  <c r="AN58" i="24" s="1"/>
  <c r="AS58" i="24"/>
  <c r="Z58" i="24"/>
  <c r="AX51" i="24"/>
  <c r="AX73" i="24" l="1"/>
  <c r="AX58" i="24"/>
  <c r="AX63" i="24"/>
  <c r="AX68" i="24"/>
  <c r="AV98" i="24"/>
  <c r="H145" i="24" s="1"/>
  <c r="AQ145" i="24" s="1"/>
  <c r="AU106" i="24"/>
  <c r="AU111" i="24"/>
  <c r="AU115" i="24"/>
  <c r="AU119" i="24"/>
  <c r="AU123" i="24"/>
  <c r="AU133" i="24"/>
  <c r="AU104" i="24"/>
  <c r="AU109" i="24"/>
  <c r="AU113" i="24"/>
  <c r="AU117" i="24"/>
  <c r="AU121" i="24"/>
  <c r="AU131" i="24"/>
  <c r="AU135" i="24"/>
  <c r="BH186" i="24"/>
  <c r="BH185" i="24" s="1"/>
  <c r="BH178" i="24"/>
  <c r="BH177" i="24" s="1"/>
  <c r="BH193" i="24"/>
  <c r="BH192" i="24" s="1"/>
  <c r="AX52" i="24"/>
  <c r="R148" i="24"/>
  <c r="Z148" i="24"/>
  <c r="R149" i="24"/>
  <c r="Z149" i="24"/>
  <c r="AU105" i="24"/>
  <c r="AU107" i="24"/>
  <c r="BE107" i="24" s="1"/>
  <c r="AU108" i="24"/>
  <c r="AU110" i="24"/>
  <c r="AU112" i="24"/>
  <c r="AU114" i="24"/>
  <c r="AU116" i="24"/>
  <c r="AU118" i="24"/>
  <c r="AU120" i="24"/>
  <c r="AU122" i="24"/>
  <c r="AU124" i="24"/>
  <c r="AU132" i="24"/>
  <c r="AU134" i="24"/>
  <c r="AU136" i="24"/>
  <c r="V148" i="24"/>
  <c r="V149" i="24"/>
  <c r="M145" i="24" l="1"/>
  <c r="AU145" i="24" s="1"/>
  <c r="AY145" i="24"/>
  <c r="AX83" i="24"/>
  <c r="AX84" i="24" s="1"/>
  <c r="AS84" i="24" s="1"/>
  <c r="AU125" i="24"/>
  <c r="H146" i="24" s="1"/>
  <c r="AU137" i="24"/>
  <c r="H147" i="24" s="1"/>
  <c r="BI185" i="24"/>
  <c r="BI186" i="24" s="1"/>
  <c r="BI192" i="24"/>
  <c r="BI193" i="24" s="1"/>
  <c r="BI177" i="24"/>
  <c r="BI178" i="24" s="1"/>
  <c r="BH191" i="23"/>
  <c r="BH192" i="23" s="1"/>
  <c r="BH184" i="23"/>
  <c r="BH185" i="23" s="1"/>
  <c r="BH176" i="23"/>
  <c r="BH177" i="23" s="1"/>
  <c r="BH168" i="23"/>
  <c r="BH169" i="23" s="1"/>
  <c r="BH160" i="23"/>
  <c r="Z145" i="23"/>
  <c r="Z151" i="23" s="1"/>
  <c r="V145" i="23"/>
  <c r="V151" i="23" s="1"/>
  <c r="R145" i="23"/>
  <c r="R151" i="23" s="1"/>
  <c r="AA138" i="23"/>
  <c r="AG132" i="23"/>
  <c r="AG138" i="23" s="1"/>
  <c r="AA126" i="23"/>
  <c r="AG104" i="23"/>
  <c r="AE98" i="23"/>
  <c r="X98" i="23"/>
  <c r="Q98" i="23"/>
  <c r="AV97" i="23"/>
  <c r="AV96" i="23"/>
  <c r="AV95" i="23"/>
  <c r="AV94" i="23"/>
  <c r="R79" i="23"/>
  <c r="AC78" i="23" s="1"/>
  <c r="AN78" i="23" s="1"/>
  <c r="AX78" i="23" s="1"/>
  <c r="Z78" i="23"/>
  <c r="R74" i="23"/>
  <c r="AC73" i="23" s="1"/>
  <c r="AN73" i="23" s="1"/>
  <c r="AS73" i="23"/>
  <c r="Z73" i="23"/>
  <c r="R69" i="23"/>
  <c r="AC68" i="23" s="1"/>
  <c r="AN68" i="23" s="1"/>
  <c r="AS68" i="23"/>
  <c r="Z68" i="23"/>
  <c r="R64" i="23"/>
  <c r="AC63" i="23" s="1"/>
  <c r="AN63" i="23" s="1"/>
  <c r="AS63" i="23"/>
  <c r="Z63" i="23"/>
  <c r="AC58" i="23"/>
  <c r="AN58" i="23" s="1"/>
  <c r="AS58" i="23"/>
  <c r="Z58" i="23"/>
  <c r="AX51" i="23"/>
  <c r="AX52" i="23" s="1"/>
  <c r="AG126" i="23" l="1"/>
  <c r="AU118" i="23"/>
  <c r="AU119" i="23"/>
  <c r="AS83" i="24"/>
  <c r="AU109" i="23"/>
  <c r="AC41" i="24"/>
  <c r="AN41" i="24" s="1"/>
  <c r="AS51" i="24" s="1"/>
  <c r="AS52" i="24" s="1"/>
  <c r="AX58" i="23"/>
  <c r="AX63" i="23"/>
  <c r="AX68" i="23"/>
  <c r="AX73" i="23"/>
  <c r="AU117" i="23"/>
  <c r="BH161" i="23"/>
  <c r="AC24" i="24"/>
  <c r="AX34" i="24" s="1"/>
  <c r="AV86" i="24" s="1"/>
  <c r="AU106" i="23"/>
  <c r="AU115" i="23"/>
  <c r="AU124" i="23"/>
  <c r="AU134" i="23"/>
  <c r="BN185" i="24"/>
  <c r="BN186" i="24" s="1"/>
  <c r="AU111" i="23"/>
  <c r="AU120" i="23"/>
  <c r="AY147" i="24"/>
  <c r="AQ147" i="24"/>
  <c r="AV98" i="23"/>
  <c r="H146" i="23" s="1"/>
  <c r="AQ146" i="23" s="1"/>
  <c r="AU104" i="23"/>
  <c r="AU113" i="23"/>
  <c r="AU122" i="23"/>
  <c r="AU132" i="23"/>
  <c r="M146" i="24"/>
  <c r="AU146" i="24" s="1"/>
  <c r="AQ146" i="24"/>
  <c r="AY146" i="24"/>
  <c r="M147" i="24"/>
  <c r="AU147" i="24" s="1"/>
  <c r="BN177" i="24"/>
  <c r="BN178" i="24" s="1"/>
  <c r="BN192" i="24"/>
  <c r="BN193" i="24" s="1"/>
  <c r="AX35" i="24"/>
  <c r="BH171" i="23"/>
  <c r="BH170" i="23" s="1"/>
  <c r="BH187" i="23"/>
  <c r="BH186" i="23" s="1"/>
  <c r="BH179" i="23"/>
  <c r="BH178" i="23" s="1"/>
  <c r="BH194" i="23"/>
  <c r="BH193" i="23" s="1"/>
  <c r="AU136" i="23"/>
  <c r="R149" i="23"/>
  <c r="Z149" i="23"/>
  <c r="R150" i="23"/>
  <c r="Z150" i="23"/>
  <c r="AU105" i="23"/>
  <c r="AU107" i="23"/>
  <c r="BE107" i="23" s="1"/>
  <c r="AU108" i="23"/>
  <c r="AU110" i="23"/>
  <c r="AU112" i="23"/>
  <c r="AU114" i="23"/>
  <c r="AU116" i="23"/>
  <c r="AU121" i="23"/>
  <c r="AU123" i="23"/>
  <c r="AU125" i="23"/>
  <c r="AU133" i="23"/>
  <c r="AU135" i="23"/>
  <c r="AU137" i="23"/>
  <c r="V149" i="23"/>
  <c r="V150" i="23"/>
  <c r="AX83" i="23" l="1"/>
  <c r="BH163" i="23"/>
  <c r="BH162" i="23" s="1"/>
  <c r="AN24" i="24"/>
  <c r="AS34" i="24" s="1"/>
  <c r="AO86" i="24" s="1"/>
  <c r="AY146" i="23"/>
  <c r="M146" i="23"/>
  <c r="AU146" i="23" s="1"/>
  <c r="AU138" i="23"/>
  <c r="H148" i="23" s="1"/>
  <c r="AQ148" i="23" s="1"/>
  <c r="AV87" i="24"/>
  <c r="AV88" i="24" s="1"/>
  <c r="AS35" i="24"/>
  <c r="AO87" i="24" s="1"/>
  <c r="AU126" i="23"/>
  <c r="H147" i="23" s="1"/>
  <c r="AY147" i="23" s="1"/>
  <c r="BI193" i="23"/>
  <c r="BI194" i="23" s="1"/>
  <c r="BI178" i="23"/>
  <c r="BI179" i="23" s="1"/>
  <c r="BI186" i="23"/>
  <c r="BI187" i="23" s="1"/>
  <c r="BI170" i="23"/>
  <c r="BI171" i="23" s="1"/>
  <c r="AY148" i="23" l="1"/>
  <c r="M148" i="23"/>
  <c r="AU148" i="23" s="1"/>
  <c r="BI162" i="23"/>
  <c r="BI163" i="23" s="1"/>
  <c r="AX84" i="23"/>
  <c r="AS84" i="23" s="1"/>
  <c r="AS83" i="23"/>
  <c r="AC41" i="23"/>
  <c r="AN41" i="23" s="1"/>
  <c r="AS51" i="23" s="1"/>
  <c r="AS52" i="23" s="1"/>
  <c r="AC24" i="23"/>
  <c r="AO88" i="24"/>
  <c r="H144" i="24" s="1"/>
  <c r="H148" i="24" s="1"/>
  <c r="M147" i="23"/>
  <c r="AU147" i="23" s="1"/>
  <c r="AQ147" i="23"/>
  <c r="BN170" i="23"/>
  <c r="BN171" i="23" s="1"/>
  <c r="BN186" i="23"/>
  <c r="BN187" i="23" s="1"/>
  <c r="BN178" i="23"/>
  <c r="BN179" i="23" s="1"/>
  <c r="BN193" i="23"/>
  <c r="BN194" i="23" s="1"/>
  <c r="M144" i="24" l="1"/>
  <c r="AU144" i="24" s="1"/>
  <c r="BN162" i="23"/>
  <c r="BN163" i="23" s="1"/>
  <c r="AY144" i="24"/>
  <c r="AY148" i="24" s="1"/>
  <c r="AY149" i="24" s="1"/>
  <c r="AY150" i="24" s="1"/>
  <c r="AX34" i="23"/>
  <c r="AN24" i="23"/>
  <c r="AS34" i="23" s="1"/>
  <c r="AO86" i="23" s="1"/>
  <c r="AQ144" i="24"/>
  <c r="AQ148" i="24" s="1"/>
  <c r="AQ149" i="24" s="1"/>
  <c r="AQ150" i="24" s="1"/>
  <c r="AU148" i="24"/>
  <c r="AU149" i="24" s="1"/>
  <c r="AU150" i="24" s="1"/>
  <c r="H149" i="24"/>
  <c r="H150" i="24" s="1"/>
  <c r="Z143" i="22"/>
  <c r="Z149" i="22" s="1"/>
  <c r="V143" i="22"/>
  <c r="V149" i="22" s="1"/>
  <c r="R143" i="22"/>
  <c r="R149" i="22" s="1"/>
  <c r="AA136" i="22"/>
  <c r="AG130" i="22"/>
  <c r="AG136" i="22" s="1"/>
  <c r="AG104" i="22"/>
  <c r="AG124" i="22" s="1"/>
  <c r="AE98" i="22"/>
  <c r="X98" i="22"/>
  <c r="Q98" i="22"/>
  <c r="AV97" i="22"/>
  <c r="AV96" i="22"/>
  <c r="AV95" i="22"/>
  <c r="AV94" i="22"/>
  <c r="R79" i="22"/>
  <c r="AC78" i="22" s="1"/>
  <c r="AN78" i="22" s="1"/>
  <c r="AX78" i="22" s="1"/>
  <c r="Z78" i="22"/>
  <c r="R74" i="22"/>
  <c r="AC73" i="22" s="1"/>
  <c r="Z73" i="22"/>
  <c r="R69" i="22"/>
  <c r="AC68" i="22" s="1"/>
  <c r="AN68" i="22" s="1"/>
  <c r="AS68" i="22"/>
  <c r="Z68" i="22"/>
  <c r="R64" i="22"/>
  <c r="AC63" i="22" s="1"/>
  <c r="AN63" i="22" s="1"/>
  <c r="AS63" i="22"/>
  <c r="Z63" i="22"/>
  <c r="AC58" i="22"/>
  <c r="AN58" i="22" s="1"/>
  <c r="AS58" i="22"/>
  <c r="Z58" i="22"/>
  <c r="AX51" i="22"/>
  <c r="AX63" i="22" l="1"/>
  <c r="AX68" i="22"/>
  <c r="M148" i="24"/>
  <c r="M149" i="24" s="1"/>
  <c r="AX58" i="22"/>
  <c r="AX83" i="22" s="1"/>
  <c r="AX84" i="22" s="1"/>
  <c r="AS84" i="22" s="1"/>
  <c r="AV86" i="23"/>
  <c r="AX35" i="23"/>
  <c r="AV98" i="22"/>
  <c r="H144" i="22" s="1"/>
  <c r="AQ144" i="22" s="1"/>
  <c r="AU132" i="22"/>
  <c r="AU130" i="22"/>
  <c r="AU134" i="22"/>
  <c r="AX52" i="22"/>
  <c r="AU105" i="22"/>
  <c r="AU108" i="22"/>
  <c r="AU110" i="22"/>
  <c r="AU112" i="22"/>
  <c r="AU114" i="22"/>
  <c r="AU116" i="22"/>
  <c r="AU118" i="22"/>
  <c r="AU120" i="22"/>
  <c r="AU122" i="22"/>
  <c r="R147" i="22"/>
  <c r="Z147" i="22"/>
  <c r="R148" i="22"/>
  <c r="Z148" i="22"/>
  <c r="AU104" i="22"/>
  <c r="AU106" i="22"/>
  <c r="BE106" i="22" s="1"/>
  <c r="AU107" i="22"/>
  <c r="AU109" i="22"/>
  <c r="AU111" i="22"/>
  <c r="AU113" i="22"/>
  <c r="AU115" i="22"/>
  <c r="AU117" i="22"/>
  <c r="AU119" i="22"/>
  <c r="AU121" i="22"/>
  <c r="AU123" i="22"/>
  <c r="AU131" i="22"/>
  <c r="AU133" i="22"/>
  <c r="AU135" i="22"/>
  <c r="V147" i="22"/>
  <c r="V148" i="22"/>
  <c r="M150" i="24" l="1"/>
  <c r="AV87" i="23"/>
  <c r="AV88" i="23" s="1"/>
  <c r="AS35" i="23"/>
  <c r="AO87" i="23" s="1"/>
  <c r="AO88" i="23" s="1"/>
  <c r="H145" i="23" s="1"/>
  <c r="M145" i="23" s="1"/>
  <c r="AC24" i="22"/>
  <c r="AX34" i="22" s="1"/>
  <c r="AC41" i="22"/>
  <c r="AN41" i="22" s="1"/>
  <c r="AS51" i="22" s="1"/>
  <c r="AS52" i="22" s="1"/>
  <c r="AS83" i="22"/>
  <c r="AY144" i="22"/>
  <c r="M144" i="22"/>
  <c r="AU144" i="22" s="1"/>
  <c r="AU136" i="22"/>
  <c r="H146" i="22" s="1"/>
  <c r="AQ146" i="22" s="1"/>
  <c r="AU124" i="22"/>
  <c r="H145" i="22" s="1"/>
  <c r="AQ145" i="22" s="1"/>
  <c r="AN24" i="22" l="1"/>
  <c r="AS34" i="22" s="1"/>
  <c r="AO86" i="22" s="1"/>
  <c r="AY145" i="23"/>
  <c r="AY149" i="23" s="1"/>
  <c r="H149" i="23"/>
  <c r="H150" i="23" s="1"/>
  <c r="H151" i="23" s="1"/>
  <c r="AQ145" i="23"/>
  <c r="AQ149" i="23" s="1"/>
  <c r="M146" i="22"/>
  <c r="AU146" i="22" s="1"/>
  <c r="AY146" i="22"/>
  <c r="M145" i="22"/>
  <c r="AU145" i="22" s="1"/>
  <c r="AY145" i="22"/>
  <c r="AV86" i="22"/>
  <c r="AX35" i="22"/>
  <c r="AQ150" i="23" l="1"/>
  <c r="AQ151" i="23" s="1"/>
  <c r="AY150" i="23"/>
  <c r="AY151" i="23" s="1"/>
  <c r="AU145" i="23"/>
  <c r="M149" i="23"/>
  <c r="M150" i="23" s="1"/>
  <c r="M151" i="23" s="1"/>
  <c r="AV87" i="22"/>
  <c r="AV88" i="22" s="1"/>
  <c r="AS35" i="22"/>
  <c r="AO87" i="22" s="1"/>
  <c r="AO88" i="22" s="1"/>
  <c r="AE99" i="11"/>
  <c r="AS59" i="11"/>
  <c r="AX59" i="11" s="1"/>
  <c r="H143" i="22" l="1"/>
  <c r="AQ143" i="22" s="1"/>
  <c r="AQ147" i="22" s="1"/>
  <c r="AU149" i="23"/>
  <c r="AU150" i="23" s="1"/>
  <c r="M143" i="22" l="1"/>
  <c r="AU143" i="22" s="1"/>
  <c r="AU147" i="22" s="1"/>
  <c r="AY143" i="22"/>
  <c r="AY147" i="22" s="1"/>
  <c r="AY148" i="22" s="1"/>
  <c r="AY149" i="22" s="1"/>
  <c r="H147" i="22"/>
  <c r="H148" i="22" s="1"/>
  <c r="H149" i="22" s="1"/>
  <c r="AU151" i="23"/>
  <c r="M147" i="22"/>
  <c r="AQ148" i="22"/>
  <c r="AQ149" i="22" s="1"/>
  <c r="CJ227" i="21"/>
  <c r="CJ228" i="21" s="1"/>
  <c r="BH227" i="21"/>
  <c r="BH228" i="21" s="1"/>
  <c r="CJ219" i="21"/>
  <c r="CJ220" i="21" s="1"/>
  <c r="BH219" i="21"/>
  <c r="BH220" i="21" s="1"/>
  <c r="CJ211" i="21"/>
  <c r="CJ212" i="21" s="1"/>
  <c r="BH211" i="21"/>
  <c r="BH212" i="21" s="1"/>
  <c r="BH206" i="21"/>
  <c r="BH207" i="21" s="1"/>
  <c r="BH209" i="21" s="1"/>
  <c r="BH198" i="21"/>
  <c r="BH199" i="21" s="1"/>
  <c r="BH201" i="21" s="1"/>
  <c r="CJ191" i="21"/>
  <c r="CJ192" i="21" s="1"/>
  <c r="BH191" i="21"/>
  <c r="BH192" i="21" s="1"/>
  <c r="CJ183" i="21"/>
  <c r="CJ184" i="21" s="1"/>
  <c r="BH183" i="21"/>
  <c r="BH184" i="21" s="1"/>
  <c r="CJ175" i="21"/>
  <c r="CJ176" i="21" s="1"/>
  <c r="CJ167" i="21"/>
  <c r="CJ168" i="21" s="1"/>
  <c r="BH168" i="21"/>
  <c r="CJ159" i="21"/>
  <c r="CJ160" i="21" s="1"/>
  <c r="Z145" i="21"/>
  <c r="Z151" i="21" s="1"/>
  <c r="V145" i="21"/>
  <c r="V151" i="21" s="1"/>
  <c r="R145" i="21"/>
  <c r="R151" i="21" s="1"/>
  <c r="AA138" i="21"/>
  <c r="AG132" i="21"/>
  <c r="AG138" i="21" s="1"/>
  <c r="AA126" i="21"/>
  <c r="AG105" i="21"/>
  <c r="AG126" i="21" s="1"/>
  <c r="AE99" i="21"/>
  <c r="X99" i="21"/>
  <c r="Q99" i="21"/>
  <c r="AV98" i="21"/>
  <c r="AV97" i="21"/>
  <c r="AV96" i="21"/>
  <c r="AV95" i="21"/>
  <c r="R80" i="21"/>
  <c r="AC79" i="21" s="1"/>
  <c r="AN79" i="21" s="1"/>
  <c r="AX79" i="21" s="1"/>
  <c r="Z79" i="21"/>
  <c r="R75" i="21"/>
  <c r="AC74" i="21" s="1"/>
  <c r="AN74" i="21" s="1"/>
  <c r="AS74" i="21"/>
  <c r="Z74" i="21"/>
  <c r="R70" i="21"/>
  <c r="AC69" i="21" s="1"/>
  <c r="AN69" i="21" s="1"/>
  <c r="AS69" i="21"/>
  <c r="Z69" i="21"/>
  <c r="R65" i="21"/>
  <c r="AC64" i="21" s="1"/>
  <c r="AN64" i="21" s="1"/>
  <c r="AS64" i="21"/>
  <c r="Z64" i="21"/>
  <c r="R60" i="21"/>
  <c r="AC59" i="21" s="1"/>
  <c r="AN59" i="21" s="1"/>
  <c r="AS59" i="21"/>
  <c r="Z59" i="21"/>
  <c r="AX52" i="21"/>
  <c r="AX64" i="21" l="1"/>
  <c r="AX74" i="21"/>
  <c r="AX59" i="21"/>
  <c r="AX69" i="21"/>
  <c r="AU148" i="22"/>
  <c r="AU149" i="22" s="1"/>
  <c r="M148" i="22"/>
  <c r="M149" i="22" s="1"/>
  <c r="AV99" i="21"/>
  <c r="H146" i="21" s="1"/>
  <c r="AQ146" i="21" s="1"/>
  <c r="AU107" i="21"/>
  <c r="AU112" i="21"/>
  <c r="AU116" i="21"/>
  <c r="AU120" i="21"/>
  <c r="AU105" i="21"/>
  <c r="AU110" i="21"/>
  <c r="AU114" i="21"/>
  <c r="AU118" i="21"/>
  <c r="AU122" i="21"/>
  <c r="AX53" i="21"/>
  <c r="AU124" i="21"/>
  <c r="AU132" i="21"/>
  <c r="AU134" i="21"/>
  <c r="AU136" i="21"/>
  <c r="BH162" i="21"/>
  <c r="BH161" i="21" s="1"/>
  <c r="BH170" i="21"/>
  <c r="BH169" i="21" s="1"/>
  <c r="BH186" i="21"/>
  <c r="BH185" i="21" s="1"/>
  <c r="BH194" i="21"/>
  <c r="BH193" i="21" s="1"/>
  <c r="BH214" i="21"/>
  <c r="BH213" i="21" s="1"/>
  <c r="BH222" i="21"/>
  <c r="BH221" i="21" s="1"/>
  <c r="BH230" i="21"/>
  <c r="BH229" i="21" s="1"/>
  <c r="AU106" i="21"/>
  <c r="AU108" i="21"/>
  <c r="BE108" i="21" s="1"/>
  <c r="AU109" i="21"/>
  <c r="AU111" i="21"/>
  <c r="AU113" i="21"/>
  <c r="AU115" i="21"/>
  <c r="AU117" i="21"/>
  <c r="AU119" i="21"/>
  <c r="AU121" i="21"/>
  <c r="AU123" i="21"/>
  <c r="AU125" i="21"/>
  <c r="AU133" i="21"/>
  <c r="AU135" i="21"/>
  <c r="AU137" i="21"/>
  <c r="CJ162" i="21"/>
  <c r="CJ161" i="21" s="1"/>
  <c r="CJ170" i="21"/>
  <c r="CJ169" i="21" s="1"/>
  <c r="CJ178" i="21"/>
  <c r="CJ177" i="21" s="1"/>
  <c r="CJ186" i="21"/>
  <c r="CJ185" i="21" s="1"/>
  <c r="CJ194" i="21"/>
  <c r="CJ193" i="21" s="1"/>
  <c r="CJ214" i="21"/>
  <c r="CJ213" i="21" s="1"/>
  <c r="CJ222" i="21"/>
  <c r="CJ221" i="21" s="1"/>
  <c r="CJ230" i="21"/>
  <c r="CJ229" i="21" s="1"/>
  <c r="R149" i="21"/>
  <c r="Z149" i="21"/>
  <c r="R150" i="21"/>
  <c r="Z150" i="21"/>
  <c r="BH200" i="21"/>
  <c r="BH208" i="21"/>
  <c r="V149" i="21"/>
  <c r="V150" i="21"/>
  <c r="BH202" i="14"/>
  <c r="BH203" i="14" s="1"/>
  <c r="EG202" i="15"/>
  <c r="EG203" i="15" s="1"/>
  <c r="DG202" i="15"/>
  <c r="DG203" i="15" s="1"/>
  <c r="BH175" i="18"/>
  <c r="BH176" i="18" s="1"/>
  <c r="BH168" i="18"/>
  <c r="BG217" i="16"/>
  <c r="BF214" i="17"/>
  <c r="BF215" i="17" s="1"/>
  <c r="AX84" i="21" l="1"/>
  <c r="AS84" i="21" s="1"/>
  <c r="AY146" i="21"/>
  <c r="M146" i="21"/>
  <c r="AU146" i="21" s="1"/>
  <c r="AU126" i="21"/>
  <c r="H147" i="21" s="1"/>
  <c r="BI229" i="21"/>
  <c r="BI230" i="21" s="1"/>
  <c r="BI213" i="21"/>
  <c r="BI214" i="21" s="1"/>
  <c r="BI185" i="21"/>
  <c r="BI186" i="21" s="1"/>
  <c r="BI169" i="21"/>
  <c r="BI170" i="21" s="1"/>
  <c r="BI221" i="21"/>
  <c r="BI222" i="21" s="1"/>
  <c r="BI193" i="21"/>
  <c r="BI194" i="21" s="1"/>
  <c r="BI161" i="21"/>
  <c r="BI162" i="21" s="1"/>
  <c r="BI200" i="21"/>
  <c r="BI201" i="21" s="1"/>
  <c r="BI208" i="21"/>
  <c r="BI209" i="21" s="1"/>
  <c r="CK229" i="21"/>
  <c r="CK230" i="21" s="1"/>
  <c r="CK221" i="21"/>
  <c r="CK222" i="21" s="1"/>
  <c r="CK213" i="21"/>
  <c r="CK214" i="21" s="1"/>
  <c r="CK193" i="21"/>
  <c r="CK194" i="21" s="1"/>
  <c r="CK185" i="21"/>
  <c r="CK186" i="21" s="1"/>
  <c r="CK177" i="21"/>
  <c r="CK178" i="21" s="1"/>
  <c r="CK169" i="21"/>
  <c r="CK170" i="21" s="1"/>
  <c r="CK161" i="21"/>
  <c r="CK162" i="21" s="1"/>
  <c r="AU138" i="21"/>
  <c r="H148" i="21" s="1"/>
  <c r="AQ148" i="21" s="1"/>
  <c r="BH205" i="14"/>
  <c r="BH204" i="14" s="1"/>
  <c r="DG205" i="15"/>
  <c r="DG204" i="15" s="1"/>
  <c r="EG205" i="15"/>
  <c r="EG204" i="15" s="1"/>
  <c r="BH178" i="18"/>
  <c r="BH177" i="18" s="1"/>
  <c r="BG219" i="16"/>
  <c r="BG218" i="16" s="1"/>
  <c r="BH218" i="16" s="1"/>
  <c r="BF217" i="17"/>
  <c r="BF216" i="17" s="1"/>
  <c r="BG216" i="17" s="1"/>
  <c r="DG194" i="15"/>
  <c r="DG195" i="15" s="1"/>
  <c r="EG194" i="15"/>
  <c r="EG195" i="15" s="1"/>
  <c r="BH194" i="14"/>
  <c r="BH195" i="14" s="1"/>
  <c r="BF206" i="17"/>
  <c r="BF207" i="17" s="1"/>
  <c r="BG209" i="16"/>
  <c r="BH169" i="18"/>
  <c r="BH187" i="14"/>
  <c r="BH188" i="14" s="1"/>
  <c r="BF198" i="17"/>
  <c r="BF199" i="17" s="1"/>
  <c r="EG186" i="15"/>
  <c r="EG187" i="15" s="1"/>
  <c r="BG201" i="16"/>
  <c r="BG202" i="16" s="1"/>
  <c r="BH160" i="18"/>
  <c r="BH161" i="18" s="1"/>
  <c r="DG186" i="15"/>
  <c r="DG187" i="15" s="1"/>
  <c r="BN208" i="21" l="1"/>
  <c r="BN209" i="21" s="1"/>
  <c r="BN193" i="21"/>
  <c r="BN194" i="21" s="1"/>
  <c r="AC42" i="21"/>
  <c r="AN42" i="21" s="1"/>
  <c r="AS52" i="21" s="1"/>
  <c r="AS53" i="21" s="1"/>
  <c r="AX85" i="21"/>
  <c r="AS85" i="21" s="1"/>
  <c r="AC25" i="21"/>
  <c r="BN161" i="21"/>
  <c r="BN162" i="21" s="1"/>
  <c r="BN200" i="21"/>
  <c r="BN201" i="21" s="1"/>
  <c r="BN221" i="21"/>
  <c r="BN222" i="21" s="1"/>
  <c r="M147" i="21"/>
  <c r="AU147" i="21" s="1"/>
  <c r="AQ147" i="21"/>
  <c r="AY147" i="21"/>
  <c r="AY148" i="21"/>
  <c r="M148" i="21"/>
  <c r="AU148" i="21" s="1"/>
  <c r="CP161" i="21"/>
  <c r="CP162" i="21" s="1"/>
  <c r="CP169" i="21"/>
  <c r="CP170" i="21" s="1"/>
  <c r="CP177" i="21"/>
  <c r="CP178" i="21" s="1"/>
  <c r="CP185" i="21"/>
  <c r="CP186" i="21" s="1"/>
  <c r="CP193" i="21"/>
  <c r="CP194" i="21" s="1"/>
  <c r="CP213" i="21"/>
  <c r="CP214" i="21" s="1"/>
  <c r="CP221" i="21"/>
  <c r="CP222" i="21" s="1"/>
  <c r="CP229" i="21"/>
  <c r="CP230" i="21" s="1"/>
  <c r="BN169" i="21"/>
  <c r="BN170" i="21" s="1"/>
  <c r="BN185" i="21"/>
  <c r="BN186" i="21" s="1"/>
  <c r="BN213" i="21"/>
  <c r="BN214" i="21" s="1"/>
  <c r="BN229" i="21"/>
  <c r="BN230" i="21" s="1"/>
  <c r="BI204" i="14"/>
  <c r="BI205" i="14" s="1"/>
  <c r="DH204" i="15"/>
  <c r="DH205" i="15" s="1"/>
  <c r="EH204" i="15"/>
  <c r="EH205" i="15" s="1"/>
  <c r="BI177" i="18"/>
  <c r="BI178" i="18" s="1"/>
  <c r="BH219" i="16"/>
  <c r="BG217" i="17"/>
  <c r="DG197" i="15"/>
  <c r="DG196" i="15" s="1"/>
  <c r="EG197" i="15"/>
  <c r="EG196" i="15" s="1"/>
  <c r="BH197" i="14"/>
  <c r="BH196" i="14" s="1"/>
  <c r="BF209" i="17"/>
  <c r="BF208" i="17" s="1"/>
  <c r="BG211" i="16"/>
  <c r="BG210" i="16" s="1"/>
  <c r="BH171" i="18"/>
  <c r="BH170" i="18" s="1"/>
  <c r="BH190" i="14"/>
  <c r="BH189" i="14" s="1"/>
  <c r="BF201" i="17"/>
  <c r="BF200" i="17" s="1"/>
  <c r="BG204" i="16"/>
  <c r="BG203" i="16" s="1"/>
  <c r="BH163" i="18"/>
  <c r="BH162" i="18" s="1"/>
  <c r="EG189" i="15"/>
  <c r="EG188" i="15" s="1"/>
  <c r="DG189" i="15"/>
  <c r="DG188" i="15" s="1"/>
  <c r="DG178" i="15"/>
  <c r="DG179" i="15" s="1"/>
  <c r="EG178" i="15"/>
  <c r="EG179" i="15" s="1"/>
  <c r="BH179" i="14"/>
  <c r="BH180" i="14" s="1"/>
  <c r="BF191" i="17"/>
  <c r="BF192" i="17" s="1"/>
  <c r="AX35" i="21" l="1"/>
  <c r="AN25" i="21"/>
  <c r="AS35" i="21" s="1"/>
  <c r="AO87" i="21" s="1"/>
  <c r="BN204" i="14"/>
  <c r="BN205" i="14" s="1"/>
  <c r="DM204" i="15"/>
  <c r="DM205" i="15" s="1"/>
  <c r="EM204" i="15"/>
  <c r="EM205" i="15" s="1"/>
  <c r="BN177" i="18"/>
  <c r="BN178" i="18" s="1"/>
  <c r="BM218" i="16"/>
  <c r="BM219" i="16" s="1"/>
  <c r="BL216" i="17"/>
  <c r="BL217" i="17" s="1"/>
  <c r="DH196" i="15"/>
  <c r="DH197" i="15" s="1"/>
  <c r="EH196" i="15"/>
  <c r="EH197" i="15" s="1"/>
  <c r="BI196" i="14"/>
  <c r="BI197" i="14" s="1"/>
  <c r="BG208" i="17"/>
  <c r="BG209" i="17" s="1"/>
  <c r="BH210" i="16"/>
  <c r="BH211" i="16" s="1"/>
  <c r="BI170" i="18"/>
  <c r="BI171" i="18" s="1"/>
  <c r="BI189" i="14"/>
  <c r="BI190" i="14" s="1"/>
  <c r="BG200" i="17"/>
  <c r="BG201" i="17" s="1"/>
  <c r="BH203" i="16"/>
  <c r="BH204" i="16" s="1"/>
  <c r="BI162" i="18"/>
  <c r="BI163" i="18" s="1"/>
  <c r="EH188" i="15"/>
  <c r="EH189" i="15" s="1"/>
  <c r="DH188" i="15"/>
  <c r="DH189" i="15" s="1"/>
  <c r="DG181" i="15"/>
  <c r="DG180" i="15" s="1"/>
  <c r="EG181" i="15"/>
  <c r="EG180" i="15" s="1"/>
  <c r="BH182" i="14"/>
  <c r="BH181" i="14" s="1"/>
  <c r="BF194" i="17"/>
  <c r="BF193" i="17" s="1"/>
  <c r="AX36" i="21" l="1"/>
  <c r="AV87" i="21"/>
  <c r="DM196" i="15"/>
  <c r="DM197" i="15" s="1"/>
  <c r="EM196" i="15"/>
  <c r="EM197" i="15" s="1"/>
  <c r="BN196" i="14"/>
  <c r="BN197" i="14" s="1"/>
  <c r="BL208" i="17"/>
  <c r="BL209" i="17" s="1"/>
  <c r="BM210" i="16"/>
  <c r="BM211" i="16" s="1"/>
  <c r="BN170" i="18"/>
  <c r="BN171" i="18" s="1"/>
  <c r="BN162" i="18"/>
  <c r="BN163" i="18" s="1"/>
  <c r="BM203" i="16"/>
  <c r="BM204" i="16" s="1"/>
  <c r="BL200" i="17"/>
  <c r="BL201" i="17" s="1"/>
  <c r="BN189" i="14"/>
  <c r="BN190" i="14" s="1"/>
  <c r="DM188" i="15"/>
  <c r="DM189" i="15" s="1"/>
  <c r="EM188" i="15"/>
  <c r="EM189" i="15" s="1"/>
  <c r="DH180" i="15"/>
  <c r="DH181" i="15" s="1"/>
  <c r="EH180" i="15"/>
  <c r="EH181" i="15" s="1"/>
  <c r="BI181" i="14"/>
  <c r="BI182" i="14" s="1"/>
  <c r="BG193" i="17"/>
  <c r="BG194" i="17" s="1"/>
  <c r="DG173" i="15"/>
  <c r="DG165" i="15"/>
  <c r="AS36" i="21" l="1"/>
  <c r="AO88" i="21" s="1"/>
  <c r="AO89" i="21" s="1"/>
  <c r="H145" i="21" s="1"/>
  <c r="AV88" i="21"/>
  <c r="AV89" i="21"/>
  <c r="BL193" i="17"/>
  <c r="BL194" i="17" s="1"/>
  <c r="EM180" i="15"/>
  <c r="EM181" i="15" s="1"/>
  <c r="DM180" i="15"/>
  <c r="DM181" i="15" s="1"/>
  <c r="BN181" i="14"/>
  <c r="BN182" i="14" s="1"/>
  <c r="BH145" i="18"/>
  <c r="EG165" i="15"/>
  <c r="EG173" i="15"/>
  <c r="BF182" i="17"/>
  <c r="AY145" i="21" l="1"/>
  <c r="AY149" i="21" s="1"/>
  <c r="AY150" i="21" s="1"/>
  <c r="AY151" i="21" s="1"/>
  <c r="M145" i="21"/>
  <c r="AQ145" i="21"/>
  <c r="AQ149" i="21" s="1"/>
  <c r="AQ150" i="21" s="1"/>
  <c r="AQ151" i="21" s="1"/>
  <c r="H149" i="21"/>
  <c r="H150" i="21" s="1"/>
  <c r="H151" i="21" s="1"/>
  <c r="BH147" i="18"/>
  <c r="BH146" i="18" s="1"/>
  <c r="AU145" i="21" l="1"/>
  <c r="AU149" i="21" s="1"/>
  <c r="AU150" i="21" s="1"/>
  <c r="AU151" i="21" s="1"/>
  <c r="M149" i="21"/>
  <c r="BI146" i="18"/>
  <c r="BI147" i="18" s="1"/>
  <c r="CJ160" i="11"/>
  <c r="M150" i="21" l="1"/>
  <c r="M151" i="21" s="1"/>
  <c r="BN146" i="18"/>
  <c r="BN147" i="18" s="1"/>
  <c r="CJ162" i="11"/>
  <c r="CJ161" i="11" s="1"/>
  <c r="BF160" i="17"/>
  <c r="CK161" i="11" l="1"/>
  <c r="CK162" i="11" s="1"/>
  <c r="Z144" i="20"/>
  <c r="Z149" i="20" s="1"/>
  <c r="V144" i="20"/>
  <c r="V149" i="20" s="1"/>
  <c r="R144" i="20"/>
  <c r="R149" i="20" s="1"/>
  <c r="AA137" i="20"/>
  <c r="AG131" i="20"/>
  <c r="AG137" i="20" s="1"/>
  <c r="AA125" i="20"/>
  <c r="AG104" i="20"/>
  <c r="AU123" i="20" s="1"/>
  <c r="AE98" i="20"/>
  <c r="X98" i="20"/>
  <c r="Q98" i="20"/>
  <c r="AV97" i="20"/>
  <c r="AV96" i="20"/>
  <c r="AV95" i="20"/>
  <c r="AV94" i="20"/>
  <c r="R79" i="20"/>
  <c r="AC78" i="20" s="1"/>
  <c r="AN78" i="20" s="1"/>
  <c r="AX78" i="20" s="1"/>
  <c r="Z78" i="20"/>
  <c r="R74" i="20"/>
  <c r="AC73" i="20" s="1"/>
  <c r="AN73" i="20" s="1"/>
  <c r="AS73" i="20"/>
  <c r="Z73" i="20"/>
  <c r="R69" i="20"/>
  <c r="AS68" i="20"/>
  <c r="AC68" i="20"/>
  <c r="AN68" i="20" s="1"/>
  <c r="AX68" i="20" s="1"/>
  <c r="Z68" i="20"/>
  <c r="R64" i="20"/>
  <c r="AS63" i="20"/>
  <c r="AC63" i="20"/>
  <c r="AN63" i="20" s="1"/>
  <c r="AX63" i="20" s="1"/>
  <c r="Z63" i="20"/>
  <c r="R59" i="20"/>
  <c r="AC58" i="20" s="1"/>
  <c r="AN58" i="20" s="1"/>
  <c r="AX58" i="20" s="1"/>
  <c r="Z58" i="20"/>
  <c r="AC41" i="20"/>
  <c r="AN41" i="20" s="1"/>
  <c r="AX73" i="20" l="1"/>
  <c r="AV98" i="20"/>
  <c r="H145" i="20" s="1"/>
  <c r="M145" i="20" s="1"/>
  <c r="AU131" i="20"/>
  <c r="AU135" i="20"/>
  <c r="Z148" i="20"/>
  <c r="Z150" i="20"/>
  <c r="AU133" i="20"/>
  <c r="R148" i="20"/>
  <c r="R150" i="20"/>
  <c r="CP161" i="11"/>
  <c r="CP162" i="11" s="1"/>
  <c r="AX83" i="20"/>
  <c r="AS83" i="20" s="1"/>
  <c r="AS51" i="20"/>
  <c r="AS52" i="20" s="1"/>
  <c r="AX41" i="20"/>
  <c r="AX51" i="20" s="1"/>
  <c r="AU104" i="20"/>
  <c r="AU106" i="20"/>
  <c r="AU108" i="20"/>
  <c r="AU110" i="20"/>
  <c r="AU112" i="20"/>
  <c r="AU114" i="20"/>
  <c r="AU116" i="20"/>
  <c r="AU118" i="20"/>
  <c r="AU120" i="20"/>
  <c r="AU122" i="20"/>
  <c r="AU124" i="20"/>
  <c r="AG125" i="20"/>
  <c r="AU132" i="20"/>
  <c r="AU134" i="20"/>
  <c r="AU136" i="20"/>
  <c r="V148" i="20"/>
  <c r="V150" i="20"/>
  <c r="AU105" i="20"/>
  <c r="AU107" i="20"/>
  <c r="AU109" i="20"/>
  <c r="AU111" i="20"/>
  <c r="AU113" i="20"/>
  <c r="AU115" i="20"/>
  <c r="AU117" i="20"/>
  <c r="AU119" i="20"/>
  <c r="AU121" i="20"/>
  <c r="AU137" i="20" l="1"/>
  <c r="H147" i="20" s="1"/>
  <c r="M147" i="20" s="1"/>
  <c r="AX84" i="20"/>
  <c r="AS84" i="20" s="1"/>
  <c r="AU125" i="20"/>
  <c r="H146" i="20" s="1"/>
  <c r="M146" i="20" s="1"/>
  <c r="AX52" i="20"/>
  <c r="AC24" i="20"/>
  <c r="BH188" i="16"/>
  <c r="BH189" i="16" s="1"/>
  <c r="BH191" i="16" s="1"/>
  <c r="AX34" i="20" l="1"/>
  <c r="AN24" i="20"/>
  <c r="AS34" i="20" s="1"/>
  <c r="AO86" i="20" s="1"/>
  <c r="BH190" i="16"/>
  <c r="AV86" i="20" l="1"/>
  <c r="AX35" i="20"/>
  <c r="BI190" i="16"/>
  <c r="BI191" i="16" s="1"/>
  <c r="FH173" i="15"/>
  <c r="FH174" i="15" s="1"/>
  <c r="FH165" i="15"/>
  <c r="FH166" i="15"/>
  <c r="BN190" i="16" l="1"/>
  <c r="BN191" i="16" s="1"/>
  <c r="AS35" i="20"/>
  <c r="AO87" i="20" s="1"/>
  <c r="AO88" i="20" s="1"/>
  <c r="H144" i="20" s="1"/>
  <c r="AV87" i="20"/>
  <c r="AV88" i="20" s="1"/>
  <c r="FH168" i="15"/>
  <c r="FH167" i="15" s="1"/>
  <c r="FH176" i="15"/>
  <c r="FH175" i="15" s="1"/>
  <c r="EG174" i="15"/>
  <c r="EG166" i="15"/>
  <c r="BF183" i="17"/>
  <c r="BF185" i="17" s="1"/>
  <c r="H148" i="20" l="1"/>
  <c r="M144" i="20"/>
  <c r="M148" i="20" s="1"/>
  <c r="FI167" i="15"/>
  <c r="FI168" i="15" s="1"/>
  <c r="FI175" i="15"/>
  <c r="FI176" i="15" s="1"/>
  <c r="EG176" i="15"/>
  <c r="EG175" i="15" s="1"/>
  <c r="EG168" i="15"/>
  <c r="EG167" i="15" s="1"/>
  <c r="BF184" i="17"/>
  <c r="BG182" i="16"/>
  <c r="BG181" i="16" s="1"/>
  <c r="BH181" i="16" s="1"/>
  <c r="BG173" i="16"/>
  <c r="M149" i="20" l="1"/>
  <c r="M150" i="20" s="1"/>
  <c r="AV159" i="20" s="1"/>
  <c r="H149" i="20"/>
  <c r="H150" i="20" s="1"/>
  <c r="FN175" i="15"/>
  <c r="FN176" i="15" s="1"/>
  <c r="FN167" i="15"/>
  <c r="FN168" i="15" s="1"/>
  <c r="EH175" i="15"/>
  <c r="EH176" i="15" s="1"/>
  <c r="EH167" i="15"/>
  <c r="EH168" i="15" s="1"/>
  <c r="BG184" i="17"/>
  <c r="BG185" i="17" s="1"/>
  <c r="BH182" i="16"/>
  <c r="BG175" i="16"/>
  <c r="BG174" i="16" s="1"/>
  <c r="BH174" i="16" s="1"/>
  <c r="BF168" i="17"/>
  <c r="DG174" i="15"/>
  <c r="DG166" i="15"/>
  <c r="BL184" i="17" l="1"/>
  <c r="BL185" i="17" s="1"/>
  <c r="AV160" i="20"/>
  <c r="AV162" i="20" s="1"/>
  <c r="AV161" i="20" s="1"/>
  <c r="AW161" i="20" s="1"/>
  <c r="EM175" i="15"/>
  <c r="EM176" i="15" s="1"/>
  <c r="EM167" i="15"/>
  <c r="EM168" i="15" s="1"/>
  <c r="BM181" i="16"/>
  <c r="BM182" i="16" s="1"/>
  <c r="BH175" i="16"/>
  <c r="BF170" i="17"/>
  <c r="BF169" i="17" s="1"/>
  <c r="BG169" i="17" s="1"/>
  <c r="DG168" i="15"/>
  <c r="DG167" i="15" s="1"/>
  <c r="DG176" i="15"/>
  <c r="DG175" i="15" s="1"/>
  <c r="AW162" i="20" l="1"/>
  <c r="BM174" i="16"/>
  <c r="BM175" i="16" s="1"/>
  <c r="BG170" i="17"/>
  <c r="DH167" i="15"/>
  <c r="DH168" i="15" s="1"/>
  <c r="DH175" i="15"/>
  <c r="DH176" i="15" s="1"/>
  <c r="BB161" i="20" l="1"/>
  <c r="BB162" i="20" s="1"/>
  <c r="BL169" i="17"/>
  <c r="BL170" i="17" s="1"/>
  <c r="DM175" i="15"/>
  <c r="DM176" i="15" s="1"/>
  <c r="DM167" i="15"/>
  <c r="DM168" i="15" s="1"/>
  <c r="BH164" i="14"/>
  <c r="BH166" i="14" l="1"/>
  <c r="BH165" i="14" s="1"/>
  <c r="BI165" i="14" l="1"/>
  <c r="BI166" i="14" s="1"/>
  <c r="BN165" i="14" l="1"/>
  <c r="BN166" i="14" s="1"/>
  <c r="Z144" i="19" l="1"/>
  <c r="Z150" i="19" s="1"/>
  <c r="V144" i="19"/>
  <c r="V149" i="19" s="1"/>
  <c r="R144" i="19"/>
  <c r="R150" i="19" s="1"/>
  <c r="AA137" i="19"/>
  <c r="AG131" i="19"/>
  <c r="AU135" i="19" s="1"/>
  <c r="AG104" i="19"/>
  <c r="AU122" i="19" s="1"/>
  <c r="AE98" i="19"/>
  <c r="X98" i="19"/>
  <c r="Q98" i="19"/>
  <c r="AV97" i="19"/>
  <c r="AV96" i="19"/>
  <c r="AV95" i="19"/>
  <c r="AV94" i="19"/>
  <c r="R79" i="19"/>
  <c r="AC78" i="19" s="1"/>
  <c r="Z78" i="19"/>
  <c r="R74" i="19"/>
  <c r="AC73" i="19" s="1"/>
  <c r="AN73" i="19" s="1"/>
  <c r="AX73" i="19" s="1"/>
  <c r="AS73" i="19"/>
  <c r="Z73" i="19"/>
  <c r="R69" i="19"/>
  <c r="AC68" i="19" s="1"/>
  <c r="AN68" i="19" s="1"/>
  <c r="AS68" i="19"/>
  <c r="Z68" i="19"/>
  <c r="R64" i="19"/>
  <c r="AC63" i="19" s="1"/>
  <c r="AN63" i="19" s="1"/>
  <c r="AS63" i="19"/>
  <c r="Z63" i="19"/>
  <c r="AC58" i="19"/>
  <c r="AN58" i="19" s="1"/>
  <c r="AX58" i="19" s="1"/>
  <c r="Z58" i="19"/>
  <c r="AC41" i="19"/>
  <c r="AN41" i="19" s="1"/>
  <c r="AX63" i="19" l="1"/>
  <c r="AX68" i="19"/>
  <c r="AU104" i="19"/>
  <c r="AU108" i="19"/>
  <c r="AU112" i="19"/>
  <c r="AU113" i="19"/>
  <c r="AU115" i="19"/>
  <c r="AU119" i="19"/>
  <c r="AU123" i="19"/>
  <c r="AG125" i="19"/>
  <c r="V148" i="19"/>
  <c r="AU106" i="19"/>
  <c r="AU110" i="19"/>
  <c r="AU114" i="19"/>
  <c r="AU117" i="19"/>
  <c r="AU121" i="19"/>
  <c r="AU124" i="19"/>
  <c r="V150" i="19"/>
  <c r="AX83" i="19"/>
  <c r="AV98" i="19"/>
  <c r="AS51" i="19"/>
  <c r="AS52" i="19" s="1"/>
  <c r="AX41" i="19"/>
  <c r="AX51" i="19" s="1"/>
  <c r="AU132" i="19"/>
  <c r="AU134" i="19"/>
  <c r="AU136" i="19"/>
  <c r="AG137" i="19"/>
  <c r="R149" i="19"/>
  <c r="Z149" i="19"/>
  <c r="AU105" i="19"/>
  <c r="AU107" i="19"/>
  <c r="AU109" i="19"/>
  <c r="AU111" i="19"/>
  <c r="AU116" i="19"/>
  <c r="AU118" i="19"/>
  <c r="AU120" i="19"/>
  <c r="AU131" i="19"/>
  <c r="AU133" i="19"/>
  <c r="R148" i="19"/>
  <c r="Z148" i="19"/>
  <c r="H145" i="19" l="1"/>
  <c r="M145" i="19" s="1"/>
  <c r="AU125" i="19"/>
  <c r="H146" i="19" s="1"/>
  <c r="M146" i="19" s="1"/>
  <c r="AX84" i="19"/>
  <c r="AS84" i="19" s="1"/>
  <c r="AS83" i="19"/>
  <c r="AC24" i="19"/>
  <c r="AX52" i="19"/>
  <c r="AU137" i="19"/>
  <c r="H147" i="19" s="1"/>
  <c r="M147" i="19" s="1"/>
  <c r="AX34" i="19" l="1"/>
  <c r="AN24" i="19"/>
  <c r="AS34" i="19" s="1"/>
  <c r="AO86" i="19" s="1"/>
  <c r="AV86" i="19" l="1"/>
  <c r="AX35" i="19"/>
  <c r="AS35" i="19" l="1"/>
  <c r="AO87" i="19" s="1"/>
  <c r="AO88" i="19" s="1"/>
  <c r="H144" i="19" s="1"/>
  <c r="H148" i="19" s="1"/>
  <c r="AV87" i="19"/>
  <c r="AV88" i="19" s="1"/>
  <c r="H149" i="19" l="1"/>
  <c r="H150" i="19" s="1"/>
  <c r="M144" i="19"/>
  <c r="M148" i="19" s="1"/>
  <c r="M149" i="19" s="1"/>
  <c r="M150" i="19" l="1"/>
  <c r="Z129" i="18" l="1"/>
  <c r="Z135" i="18" s="1"/>
  <c r="V129" i="18"/>
  <c r="V135" i="18" s="1"/>
  <c r="R129" i="18"/>
  <c r="R135" i="18" s="1"/>
  <c r="AA122" i="18"/>
  <c r="AG116" i="18"/>
  <c r="AG122" i="18" s="1"/>
  <c r="AG88" i="18"/>
  <c r="AE82" i="18"/>
  <c r="X82" i="18"/>
  <c r="Q82" i="18"/>
  <c r="AV81" i="18"/>
  <c r="AV80" i="18"/>
  <c r="AV79" i="18"/>
  <c r="AV78" i="18"/>
  <c r="AX63" i="18"/>
  <c r="AN58" i="18"/>
  <c r="AS58" i="18"/>
  <c r="Z58" i="18"/>
  <c r="AX51" i="18"/>
  <c r="AG110" i="18" l="1"/>
  <c r="AU103" i="18"/>
  <c r="AU105" i="18"/>
  <c r="AV82" i="18"/>
  <c r="H130" i="18" s="1"/>
  <c r="M130" i="18" s="1"/>
  <c r="AU130" i="18" s="1"/>
  <c r="AU90" i="18"/>
  <c r="AU95" i="18"/>
  <c r="AU99" i="18"/>
  <c r="AU108" i="18"/>
  <c r="AU118" i="18"/>
  <c r="AX58" i="18"/>
  <c r="AX67" i="18" s="1"/>
  <c r="AS67" i="18" s="1"/>
  <c r="AU88" i="18"/>
  <c r="AU93" i="18"/>
  <c r="AU97" i="18"/>
  <c r="AU101" i="18"/>
  <c r="AU106" i="18"/>
  <c r="AU116" i="18"/>
  <c r="AX52" i="18"/>
  <c r="AU120" i="18"/>
  <c r="R133" i="18"/>
  <c r="Z133" i="18"/>
  <c r="R134" i="18"/>
  <c r="Z134" i="18"/>
  <c r="AU89" i="18"/>
  <c r="AU91" i="18"/>
  <c r="BE91" i="18" s="1"/>
  <c r="AU92" i="18"/>
  <c r="AU94" i="18"/>
  <c r="AU96" i="18"/>
  <c r="AU98" i="18"/>
  <c r="AU100" i="18"/>
  <c r="AU102" i="18"/>
  <c r="AU104" i="18"/>
  <c r="AU107" i="18"/>
  <c r="AU109" i="18"/>
  <c r="AU117" i="18"/>
  <c r="AU119" i="18"/>
  <c r="AU121" i="18"/>
  <c r="V133" i="18"/>
  <c r="V134" i="18"/>
  <c r="Z144" i="17"/>
  <c r="Z150" i="17" s="1"/>
  <c r="V144" i="17"/>
  <c r="V150" i="17" s="1"/>
  <c r="R144" i="17"/>
  <c r="R150" i="17" s="1"/>
  <c r="AA137" i="17"/>
  <c r="AG131" i="17"/>
  <c r="AG137" i="17" s="1"/>
  <c r="AG104" i="17"/>
  <c r="AG125" i="17" s="1"/>
  <c r="AE98" i="17"/>
  <c r="X98" i="17"/>
  <c r="Q98" i="17"/>
  <c r="AV97" i="17"/>
  <c r="AV96" i="17"/>
  <c r="AV95" i="17"/>
  <c r="AV94" i="17"/>
  <c r="R79" i="17"/>
  <c r="AC78" i="17" s="1"/>
  <c r="AN78" i="17" s="1"/>
  <c r="AX78" i="17" s="1"/>
  <c r="Z78" i="17"/>
  <c r="R74" i="17"/>
  <c r="AC73" i="17" s="1"/>
  <c r="AN73" i="17" s="1"/>
  <c r="AS73" i="17"/>
  <c r="Z73" i="17"/>
  <c r="R69" i="17"/>
  <c r="AC68" i="17" s="1"/>
  <c r="AN68" i="17" s="1"/>
  <c r="AS68" i="17"/>
  <c r="Z68" i="17"/>
  <c r="R64" i="17"/>
  <c r="AC63" i="17" s="1"/>
  <c r="AN63" i="17" s="1"/>
  <c r="AS63" i="17"/>
  <c r="Z63" i="17"/>
  <c r="AC58" i="17"/>
  <c r="AN58" i="17" s="1"/>
  <c r="AS58" i="17"/>
  <c r="Z58" i="17"/>
  <c r="AX51" i="17"/>
  <c r="AU110" i="18" l="1"/>
  <c r="H131" i="18" s="1"/>
  <c r="AX73" i="17"/>
  <c r="AX68" i="18"/>
  <c r="AS68" i="18" s="1"/>
  <c r="AX68" i="17"/>
  <c r="AU131" i="17"/>
  <c r="AX63" i="17"/>
  <c r="AY130" i="18"/>
  <c r="AQ130" i="18"/>
  <c r="AV98" i="17"/>
  <c r="H145" i="17" s="1"/>
  <c r="AQ145" i="17" s="1"/>
  <c r="AU109" i="17"/>
  <c r="AU122" i="18"/>
  <c r="H132" i="18" s="1"/>
  <c r="AQ132" i="18" s="1"/>
  <c r="AU104" i="17"/>
  <c r="AU113" i="17"/>
  <c r="AU135" i="17"/>
  <c r="AX58" i="17"/>
  <c r="AU106" i="17"/>
  <c r="AU111" i="17"/>
  <c r="AU115" i="17"/>
  <c r="AU119" i="17"/>
  <c r="AU123" i="17"/>
  <c r="AU133" i="17"/>
  <c r="AU117" i="17"/>
  <c r="AU121" i="17"/>
  <c r="AX52" i="17"/>
  <c r="R148" i="17"/>
  <c r="Z148" i="17"/>
  <c r="R149" i="17"/>
  <c r="Z149" i="17"/>
  <c r="AU105" i="17"/>
  <c r="AU107" i="17"/>
  <c r="BE107" i="17" s="1"/>
  <c r="AU108" i="17"/>
  <c r="AU110" i="17"/>
  <c r="AU112" i="17"/>
  <c r="AU114" i="17"/>
  <c r="AU116" i="17"/>
  <c r="AU118" i="17"/>
  <c r="AU120" i="17"/>
  <c r="AU122" i="17"/>
  <c r="AU124" i="17"/>
  <c r="AU132" i="17"/>
  <c r="AU134" i="17"/>
  <c r="AU136" i="17"/>
  <c r="V148" i="17"/>
  <c r="V149" i="17"/>
  <c r="Z144" i="16"/>
  <c r="Z150" i="16" s="1"/>
  <c r="V144" i="16"/>
  <c r="V150" i="16" s="1"/>
  <c r="R144" i="16"/>
  <c r="R150" i="16" s="1"/>
  <c r="AA137" i="16"/>
  <c r="AG131" i="16"/>
  <c r="AG137" i="16" s="1"/>
  <c r="AA125" i="16"/>
  <c r="AG104" i="16"/>
  <c r="AG125" i="16" s="1"/>
  <c r="AE98" i="16"/>
  <c r="X98" i="16"/>
  <c r="Q98" i="16"/>
  <c r="AV97" i="16"/>
  <c r="AV96" i="16"/>
  <c r="AV95" i="16"/>
  <c r="AV94" i="16"/>
  <c r="R79" i="16"/>
  <c r="AC78" i="16" s="1"/>
  <c r="AN78" i="16" s="1"/>
  <c r="AX78" i="16" s="1"/>
  <c r="Z78" i="16"/>
  <c r="R74" i="16"/>
  <c r="AS73" i="16"/>
  <c r="AC73" i="16"/>
  <c r="AN73" i="16" s="1"/>
  <c r="AX73" i="16" s="1"/>
  <c r="Z73" i="16"/>
  <c r="R69" i="16"/>
  <c r="AC68" i="16" s="1"/>
  <c r="AN68" i="16" s="1"/>
  <c r="AX68" i="16" s="1"/>
  <c r="AS68" i="16"/>
  <c r="Z68" i="16"/>
  <c r="R64" i="16"/>
  <c r="AC63" i="16" s="1"/>
  <c r="AN63" i="16" s="1"/>
  <c r="AX63" i="16" s="1"/>
  <c r="AS63" i="16"/>
  <c r="Z63" i="16"/>
  <c r="R59" i="16"/>
  <c r="AC58" i="16" s="1"/>
  <c r="AN58" i="16" s="1"/>
  <c r="AS58" i="16"/>
  <c r="Z58" i="16"/>
  <c r="AX51" i="16"/>
  <c r="AX52" i="16" s="1"/>
  <c r="Z150" i="15"/>
  <c r="Z156" i="15" s="1"/>
  <c r="V150" i="15"/>
  <c r="V156" i="15" s="1"/>
  <c r="R150" i="15"/>
  <c r="R156" i="15" s="1"/>
  <c r="AA143" i="15"/>
  <c r="AG137" i="15"/>
  <c r="AG143" i="15" s="1"/>
  <c r="AG104" i="15"/>
  <c r="AE98" i="15"/>
  <c r="X98" i="15"/>
  <c r="Q98" i="15"/>
  <c r="AV97" i="15"/>
  <c r="AV96" i="15"/>
  <c r="AV95" i="15"/>
  <c r="AV94" i="15"/>
  <c r="R79" i="15"/>
  <c r="AC78" i="15" s="1"/>
  <c r="AN78" i="15" s="1"/>
  <c r="AX78" i="15" s="1"/>
  <c r="Z78" i="15"/>
  <c r="R74" i="15"/>
  <c r="AS73" i="15"/>
  <c r="AC73" i="15"/>
  <c r="AN73" i="15" s="1"/>
  <c r="Z73" i="15"/>
  <c r="R69" i="15"/>
  <c r="AS68" i="15"/>
  <c r="AC68" i="15"/>
  <c r="AN68" i="15" s="1"/>
  <c r="Z68" i="15"/>
  <c r="R64" i="15"/>
  <c r="AC63" i="15" s="1"/>
  <c r="AN63" i="15" s="1"/>
  <c r="AS63" i="15"/>
  <c r="Z63" i="15"/>
  <c r="AN58" i="15"/>
  <c r="AS58" i="15"/>
  <c r="Z58" i="15"/>
  <c r="AX51" i="15"/>
  <c r="Z143" i="14"/>
  <c r="Z149" i="14" s="1"/>
  <c r="V143" i="14"/>
  <c r="V149" i="14" s="1"/>
  <c r="R143" i="14"/>
  <c r="R149" i="14" s="1"/>
  <c r="AA136" i="14"/>
  <c r="AG130" i="14"/>
  <c r="AG136" i="14" s="1"/>
  <c r="AG104" i="14"/>
  <c r="AG124" i="14" s="1"/>
  <c r="AE98" i="14"/>
  <c r="X98" i="14"/>
  <c r="Q98" i="14"/>
  <c r="AV97" i="14"/>
  <c r="AV96" i="14"/>
  <c r="AV95" i="14"/>
  <c r="AV94" i="14"/>
  <c r="R79" i="14"/>
  <c r="AC78" i="14" s="1"/>
  <c r="AN78" i="14" s="1"/>
  <c r="AX78" i="14" s="1"/>
  <c r="Z78" i="14"/>
  <c r="R74" i="14"/>
  <c r="AC73" i="14" s="1"/>
  <c r="AN73" i="14" s="1"/>
  <c r="AS73" i="14"/>
  <c r="Z73" i="14"/>
  <c r="R69" i="14"/>
  <c r="AC68" i="14" s="1"/>
  <c r="AN68" i="14" s="1"/>
  <c r="AS68" i="14"/>
  <c r="Z68" i="14"/>
  <c r="R64" i="14"/>
  <c r="AC63" i="14" s="1"/>
  <c r="AN63" i="14" s="1"/>
  <c r="AS63" i="14"/>
  <c r="Z63" i="14"/>
  <c r="AC58" i="14"/>
  <c r="AN58" i="14" s="1"/>
  <c r="AS58" i="14"/>
  <c r="Z58" i="14"/>
  <c r="AX51" i="14"/>
  <c r="AG131" i="15" l="1"/>
  <c r="AU113" i="15"/>
  <c r="AU114" i="15"/>
  <c r="AU107" i="15"/>
  <c r="AU111" i="15"/>
  <c r="AU110" i="15"/>
  <c r="AU116" i="15"/>
  <c r="AU115" i="15"/>
  <c r="AU109" i="15"/>
  <c r="AU112" i="15"/>
  <c r="AU108" i="15"/>
  <c r="AX58" i="15"/>
  <c r="M132" i="18"/>
  <c r="AU132" i="18" s="1"/>
  <c r="AX52" i="15"/>
  <c r="AY132" i="18"/>
  <c r="AC24" i="18"/>
  <c r="AN24" i="18" s="1"/>
  <c r="AS34" i="18" s="1"/>
  <c r="AC41" i="18"/>
  <c r="AN41" i="18" s="1"/>
  <c r="AS51" i="18" s="1"/>
  <c r="AS52" i="18" s="1"/>
  <c r="AU131" i="16"/>
  <c r="AX63" i="15"/>
  <c r="AX68" i="15"/>
  <c r="AX73" i="15"/>
  <c r="AX83" i="17"/>
  <c r="AC24" i="17" s="1"/>
  <c r="AX34" i="17" s="1"/>
  <c r="AY145" i="17"/>
  <c r="AX63" i="14"/>
  <c r="AX73" i="14"/>
  <c r="AX68" i="14"/>
  <c r="M131" i="18"/>
  <c r="AU131" i="18" s="1"/>
  <c r="AQ131" i="18"/>
  <c r="M145" i="17"/>
  <c r="AU145" i="17" s="1"/>
  <c r="AU119" i="15"/>
  <c r="AU104" i="15"/>
  <c r="AU127" i="15"/>
  <c r="AV98" i="14"/>
  <c r="H144" i="14" s="1"/>
  <c r="AQ144" i="14" s="1"/>
  <c r="AV98" i="15"/>
  <c r="H151" i="15" s="1"/>
  <c r="AQ151" i="15" s="1"/>
  <c r="AU123" i="15"/>
  <c r="AU137" i="15"/>
  <c r="AV98" i="16"/>
  <c r="H145" i="16" s="1"/>
  <c r="AQ145" i="16" s="1"/>
  <c r="AU106" i="16"/>
  <c r="AU111" i="16"/>
  <c r="AU115" i="16"/>
  <c r="AU119" i="16"/>
  <c r="AU123" i="16"/>
  <c r="AX58" i="16"/>
  <c r="AX83" i="16" s="1"/>
  <c r="AX84" i="16" s="1"/>
  <c r="AS84" i="16" s="1"/>
  <c r="AU104" i="16"/>
  <c r="AU109" i="16"/>
  <c r="AU113" i="16"/>
  <c r="AU117" i="16"/>
  <c r="AU121" i="16"/>
  <c r="AY131" i="18"/>
  <c r="AU125" i="17"/>
  <c r="H146" i="17" s="1"/>
  <c r="AU137" i="17"/>
  <c r="H147" i="17" s="1"/>
  <c r="AU133" i="16"/>
  <c r="AU135" i="16"/>
  <c r="R148" i="16"/>
  <c r="Z148" i="16"/>
  <c r="R149" i="16"/>
  <c r="Z149" i="16"/>
  <c r="AU105" i="16"/>
  <c r="AU107" i="16"/>
  <c r="BE107" i="16" s="1"/>
  <c r="AU108" i="16"/>
  <c r="AU110" i="16"/>
  <c r="AU112" i="16"/>
  <c r="AU114" i="16"/>
  <c r="AU116" i="16"/>
  <c r="AU118" i="16"/>
  <c r="AU120" i="16"/>
  <c r="AU122" i="16"/>
  <c r="AU124" i="16"/>
  <c r="AU132" i="16"/>
  <c r="AU134" i="16"/>
  <c r="AU136" i="16"/>
  <c r="V148" i="16"/>
  <c r="V149" i="16"/>
  <c r="AU105" i="15"/>
  <c r="AU117" i="15"/>
  <c r="AU121" i="15"/>
  <c r="AU125" i="15"/>
  <c r="AU129" i="15"/>
  <c r="AU139" i="15"/>
  <c r="AU141" i="15"/>
  <c r="R154" i="15"/>
  <c r="Z154" i="15"/>
  <c r="R155" i="15"/>
  <c r="Z155" i="15"/>
  <c r="AU106" i="15"/>
  <c r="BE106" i="15" s="1"/>
  <c r="AU118" i="15"/>
  <c r="AU120" i="15"/>
  <c r="AU122" i="15"/>
  <c r="AU124" i="15"/>
  <c r="AU126" i="15"/>
  <c r="AU128" i="15"/>
  <c r="AU130" i="15"/>
  <c r="AU138" i="15"/>
  <c r="AU140" i="15"/>
  <c r="AU142" i="15"/>
  <c r="V154" i="15"/>
  <c r="V155" i="15"/>
  <c r="AU105" i="14"/>
  <c r="AU110" i="14"/>
  <c r="AU114" i="14"/>
  <c r="AU118" i="14"/>
  <c r="AU122" i="14"/>
  <c r="AX58" i="14"/>
  <c r="AU104" i="14"/>
  <c r="AU108" i="14"/>
  <c r="AU112" i="14"/>
  <c r="AU116" i="14"/>
  <c r="AU120" i="14"/>
  <c r="AU130" i="14"/>
  <c r="AX52" i="14"/>
  <c r="AU132" i="14"/>
  <c r="AU134" i="14"/>
  <c r="R147" i="14"/>
  <c r="Z147" i="14"/>
  <c r="R148" i="14"/>
  <c r="Z148" i="14"/>
  <c r="AU106" i="14"/>
  <c r="BE106" i="14" s="1"/>
  <c r="AU107" i="14"/>
  <c r="AU109" i="14"/>
  <c r="AU111" i="14"/>
  <c r="AU113" i="14"/>
  <c r="AU115" i="14"/>
  <c r="AU117" i="14"/>
  <c r="AU119" i="14"/>
  <c r="AU121" i="14"/>
  <c r="AU123" i="14"/>
  <c r="AU131" i="14"/>
  <c r="AU133" i="14"/>
  <c r="AU135" i="14"/>
  <c r="V147" i="14"/>
  <c r="V148" i="14"/>
  <c r="AU131" i="15" l="1"/>
  <c r="H152" i="15" s="1"/>
  <c r="M152" i="15" s="1"/>
  <c r="AU152" i="15" s="1"/>
  <c r="AU124" i="14"/>
  <c r="H145" i="14" s="1"/>
  <c r="AX83" i="15"/>
  <c r="AO70" i="18"/>
  <c r="AN24" i="17"/>
  <c r="AS34" i="17" s="1"/>
  <c r="AC41" i="17"/>
  <c r="AN41" i="17" s="1"/>
  <c r="AS51" i="17" s="1"/>
  <c r="AS52" i="17" s="1"/>
  <c r="AX34" i="18"/>
  <c r="AV70" i="18" s="1"/>
  <c r="AS83" i="17"/>
  <c r="AX84" i="17"/>
  <c r="AS84" i="17" s="1"/>
  <c r="AY145" i="16"/>
  <c r="AX83" i="14"/>
  <c r="AC24" i="14" s="1"/>
  <c r="AX34" i="14" s="1"/>
  <c r="AY144" i="14"/>
  <c r="M144" i="14"/>
  <c r="AU144" i="14" s="1"/>
  <c r="AY151" i="15"/>
  <c r="M145" i="16"/>
  <c r="AU145" i="16" s="1"/>
  <c r="AY147" i="17"/>
  <c r="AQ147" i="17"/>
  <c r="M151" i="15"/>
  <c r="AU151" i="15" s="1"/>
  <c r="M146" i="17"/>
  <c r="AU146" i="17" s="1"/>
  <c r="AQ146" i="17"/>
  <c r="AU136" i="14"/>
  <c r="H146" i="14" s="1"/>
  <c r="AQ146" i="14" s="1"/>
  <c r="AS83" i="16"/>
  <c r="AC41" i="16"/>
  <c r="AN41" i="16" s="1"/>
  <c r="AS51" i="16" s="1"/>
  <c r="AS52" i="16" s="1"/>
  <c r="AU137" i="16"/>
  <c r="H147" i="16" s="1"/>
  <c r="AQ147" i="16" s="1"/>
  <c r="AC24" i="16"/>
  <c r="AX34" i="16" s="1"/>
  <c r="AY146" i="17"/>
  <c r="M147" i="17"/>
  <c r="AU147" i="17" s="1"/>
  <c r="AV86" i="17"/>
  <c r="AX35" i="17"/>
  <c r="AU125" i="16"/>
  <c r="H146" i="16" s="1"/>
  <c r="AU143" i="15"/>
  <c r="H153" i="15" s="1"/>
  <c r="AY153" i="15" s="1"/>
  <c r="M146" i="14"/>
  <c r="AU146" i="14" s="1"/>
  <c r="M147" i="16" l="1"/>
  <c r="AU147" i="16" s="1"/>
  <c r="AY147" i="16"/>
  <c r="AY146" i="14"/>
  <c r="AX84" i="15"/>
  <c r="AS84" i="15" s="1"/>
  <c r="AC24" i="15"/>
  <c r="AX34" i="15" s="1"/>
  <c r="AX35" i="15" s="1"/>
  <c r="AX35" i="18"/>
  <c r="AO86" i="17"/>
  <c r="AC41" i="14"/>
  <c r="AN41" i="14" s="1"/>
  <c r="AS51" i="14" s="1"/>
  <c r="AS52" i="14" s="1"/>
  <c r="AS83" i="15"/>
  <c r="AC41" i="15"/>
  <c r="AN41" i="15" s="1"/>
  <c r="AS51" i="15" s="1"/>
  <c r="AS52" i="15" s="1"/>
  <c r="AY145" i="14"/>
  <c r="AQ145" i="14"/>
  <c r="AX84" i="14"/>
  <c r="AS84" i="14" s="1"/>
  <c r="AS83" i="14"/>
  <c r="AN24" i="14"/>
  <c r="AS34" i="14" s="1"/>
  <c r="AN24" i="16"/>
  <c r="AS34" i="16" s="1"/>
  <c r="AO86" i="16" s="1"/>
  <c r="M146" i="16"/>
  <c r="AU146" i="16" s="1"/>
  <c r="AQ146" i="16"/>
  <c r="AQ153" i="15"/>
  <c r="AV87" i="17"/>
  <c r="AV88" i="17" s="1"/>
  <c r="AS35" i="17"/>
  <c r="AO87" i="17" s="1"/>
  <c r="AY146" i="16"/>
  <c r="AX35" i="16"/>
  <c r="AV86" i="16"/>
  <c r="AY152" i="15"/>
  <c r="AQ152" i="15"/>
  <c r="M153" i="15"/>
  <c r="AU153" i="15" s="1"/>
  <c r="M145" i="14"/>
  <c r="AU145" i="14" s="1"/>
  <c r="AX35" i="14"/>
  <c r="AV86" i="14"/>
  <c r="AS35" i="18" l="1"/>
  <c r="AO71" i="18" s="1"/>
  <c r="AO72" i="18" s="1"/>
  <c r="H129" i="18" s="1"/>
  <c r="AQ129" i="18" s="1"/>
  <c r="AQ133" i="18" s="1"/>
  <c r="AQ134" i="18" s="1"/>
  <c r="AQ135" i="18" s="1"/>
  <c r="AV71" i="18"/>
  <c r="AV72" i="18" s="1"/>
  <c r="H133" i="18"/>
  <c r="H134" i="18" s="1"/>
  <c r="H135" i="18" s="1"/>
  <c r="AO88" i="17"/>
  <c r="H144" i="17" s="1"/>
  <c r="AQ144" i="17" s="1"/>
  <c r="AQ148" i="17" s="1"/>
  <c r="AN24" i="15"/>
  <c r="AS34" i="15" s="1"/>
  <c r="AO86" i="15" s="1"/>
  <c r="AV86" i="15"/>
  <c r="AY129" i="18"/>
  <c r="AY133" i="18" s="1"/>
  <c r="AY134" i="18" s="1"/>
  <c r="AY135" i="18" s="1"/>
  <c r="AO86" i="14"/>
  <c r="AV87" i="16"/>
  <c r="AV88" i="16" s="1"/>
  <c r="AS35" i="16"/>
  <c r="AO87" i="16" s="1"/>
  <c r="AO88" i="16" s="1"/>
  <c r="H144" i="16" s="1"/>
  <c r="AQ144" i="16" s="1"/>
  <c r="AV87" i="15"/>
  <c r="AS35" i="15"/>
  <c r="AO87" i="15" s="1"/>
  <c r="AV87" i="14"/>
  <c r="AV88" i="14" s="1"/>
  <c r="AS35" i="14"/>
  <c r="AO87" i="14" s="1"/>
  <c r="M129" i="18" l="1"/>
  <c r="AU129" i="18" s="1"/>
  <c r="AU133" i="18" s="1"/>
  <c r="M144" i="17"/>
  <c r="AU144" i="17" s="1"/>
  <c r="M133" i="18"/>
  <c r="M134" i="18" s="1"/>
  <c r="M135" i="18" s="1"/>
  <c r="AY144" i="17"/>
  <c r="AY148" i="17" s="1"/>
  <c r="AY149" i="17" s="1"/>
  <c r="H148" i="17"/>
  <c r="H149" i="17" s="1"/>
  <c r="H150" i="17" s="1"/>
  <c r="AV88" i="15"/>
  <c r="AO88" i="15"/>
  <c r="H150" i="15" s="1"/>
  <c r="H154" i="15" s="1"/>
  <c r="AO88" i="14"/>
  <c r="H143" i="14" s="1"/>
  <c r="AU134" i="18"/>
  <c r="AU135" i="18" s="1"/>
  <c r="M148" i="17"/>
  <c r="AU148" i="17"/>
  <c r="AQ149" i="17"/>
  <c r="AQ150" i="17" s="1"/>
  <c r="H148" i="16"/>
  <c r="AY144" i="16"/>
  <c r="AY148" i="16" s="1"/>
  <c r="AQ148" i="16"/>
  <c r="M144" i="16"/>
  <c r="AU144" i="16" s="1"/>
  <c r="M150" i="15" l="1"/>
  <c r="AY150" i="17"/>
  <c r="AQ150" i="15"/>
  <c r="AQ154" i="15" s="1"/>
  <c r="AQ155" i="15" s="1"/>
  <c r="AQ156" i="15" s="1"/>
  <c r="AY150" i="15"/>
  <c r="AY154" i="15" s="1"/>
  <c r="AY155" i="15" s="1"/>
  <c r="AY156" i="15" s="1"/>
  <c r="AY143" i="14"/>
  <c r="AY147" i="14" s="1"/>
  <c r="AY148" i="14" s="1"/>
  <c r="AY149" i="14" s="1"/>
  <c r="AQ143" i="14"/>
  <c r="AQ147" i="14" s="1"/>
  <c r="AQ148" i="14" s="1"/>
  <c r="AQ149" i="14" s="1"/>
  <c r="H147" i="14"/>
  <c r="H148" i="14" s="1"/>
  <c r="H149" i="14" s="1"/>
  <c r="M143" i="14"/>
  <c r="AU143" i="14" s="1"/>
  <c r="AU147" i="14" s="1"/>
  <c r="AU149" i="17"/>
  <c r="AU150" i="17" s="1"/>
  <c r="M149" i="17"/>
  <c r="M150" i="17" s="1"/>
  <c r="BF162" i="17" s="1"/>
  <c r="BF161" i="17" s="1"/>
  <c r="BG161" i="17" s="1"/>
  <c r="M148" i="16"/>
  <c r="AU148" i="16"/>
  <c r="AY149" i="16"/>
  <c r="AY150" i="16" s="1"/>
  <c r="AQ149" i="16"/>
  <c r="AQ150" i="16" s="1"/>
  <c r="H149" i="16"/>
  <c r="H150" i="16" s="1"/>
  <c r="M154" i="15"/>
  <c r="AU150" i="15"/>
  <c r="AU154" i="15" s="1"/>
  <c r="H155" i="15"/>
  <c r="H156" i="15" s="1"/>
  <c r="M147" i="14" l="1"/>
  <c r="M148" i="14" s="1"/>
  <c r="M149" i="14" s="1"/>
  <c r="BG162" i="17"/>
  <c r="AU149" i="16"/>
  <c r="AU150" i="16" s="1"/>
  <c r="M149" i="16"/>
  <c r="M150" i="16" s="1"/>
  <c r="AU155" i="15"/>
  <c r="AU156" i="15" s="1"/>
  <c r="M155" i="15"/>
  <c r="M156" i="15" s="1"/>
  <c r="AU148" i="14"/>
  <c r="AU149" i="14" s="1"/>
  <c r="BL161" i="17" l="1"/>
  <c r="BL162" i="17" s="1"/>
  <c r="BE166" i="15"/>
  <c r="BE168" i="15" s="1"/>
  <c r="BE167" i="15" s="1"/>
  <c r="AV95" i="11"/>
  <c r="BH167" i="16" l="1"/>
  <c r="BF167" i="15"/>
  <c r="X99" i="11"/>
  <c r="Q99" i="11"/>
  <c r="AV98" i="11"/>
  <c r="AV97" i="11"/>
  <c r="AV96" i="11"/>
  <c r="BF168" i="15" l="1"/>
  <c r="BE267" i="15"/>
  <c r="BM167" i="16"/>
  <c r="BK167" i="15"/>
  <c r="BK168" i="15" s="1"/>
  <c r="AV99" i="11"/>
  <c r="Z59" i="11"/>
  <c r="Z64" i="11"/>
  <c r="AS64" i="11"/>
  <c r="R65" i="11"/>
  <c r="AC64" i="11" s="1"/>
  <c r="AN64" i="11" s="1"/>
  <c r="Z69" i="11"/>
  <c r="AS69" i="11"/>
  <c r="R70" i="11"/>
  <c r="AC69" i="11" s="1"/>
  <c r="AN69" i="11" s="1"/>
  <c r="AX69" i="11" s="1"/>
  <c r="Z74" i="11"/>
  <c r="AS74" i="11"/>
  <c r="R75" i="11"/>
  <c r="AC74" i="11" s="1"/>
  <c r="AN74" i="11" s="1"/>
  <c r="Z79" i="11"/>
  <c r="R80" i="11"/>
  <c r="AC79" i="11" s="1"/>
  <c r="AN79" i="11" s="1"/>
  <c r="AX79" i="11" s="1"/>
  <c r="AX74" i="11" l="1"/>
  <c r="AX64" i="11"/>
  <c r="AX52" i="11"/>
  <c r="AX53" i="11" s="1"/>
  <c r="AX84" i="11" l="1"/>
  <c r="AS84" i="11" l="1"/>
  <c r="AC25" i="11"/>
  <c r="AX35" i="11" s="1"/>
  <c r="AV87" i="11" s="1"/>
  <c r="AX85" i="11"/>
  <c r="AS85" i="11" s="1"/>
  <c r="AC42" i="11"/>
  <c r="AN42" i="11" s="1"/>
  <c r="AS52" i="11" s="1"/>
  <c r="AS53" i="11" s="1"/>
  <c r="Z145" i="11" l="1"/>
  <c r="Z150" i="11" s="1"/>
  <c r="V145" i="11"/>
  <c r="V151" i="11" s="1"/>
  <c r="R145" i="11"/>
  <c r="R151" i="11" s="1"/>
  <c r="AA138" i="11"/>
  <c r="AG132" i="11"/>
  <c r="AG138" i="11" s="1"/>
  <c r="AG105" i="11"/>
  <c r="AU106" i="11" l="1"/>
  <c r="AU124" i="11"/>
  <c r="AU123" i="11"/>
  <c r="AG126" i="11"/>
  <c r="AU107" i="11"/>
  <c r="H146" i="11"/>
  <c r="AU132" i="11"/>
  <c r="Z149" i="11"/>
  <c r="Z151" i="11"/>
  <c r="AU136" i="11"/>
  <c r="AU134" i="11"/>
  <c r="R149" i="11"/>
  <c r="R150" i="11"/>
  <c r="AU108" i="11"/>
  <c r="AU110" i="11"/>
  <c r="AU112" i="11"/>
  <c r="AU114" i="11"/>
  <c r="AU116" i="11"/>
  <c r="AU118" i="11"/>
  <c r="AU120" i="11"/>
  <c r="AU122" i="11"/>
  <c r="AU125" i="11"/>
  <c r="AU105" i="11"/>
  <c r="AU109" i="11"/>
  <c r="AU111" i="11"/>
  <c r="AU113" i="11"/>
  <c r="AU115" i="11"/>
  <c r="AU117" i="11"/>
  <c r="AU119" i="11"/>
  <c r="AU121" i="11"/>
  <c r="AU133" i="11"/>
  <c r="AU135" i="11"/>
  <c r="AU137" i="11"/>
  <c r="V149" i="11"/>
  <c r="V150" i="11"/>
  <c r="BE108" i="11" l="1"/>
  <c r="AU126" i="11"/>
  <c r="H147" i="11" s="1"/>
  <c r="M146" i="11"/>
  <c r="AU146" i="11" s="1"/>
  <c r="AQ146" i="11"/>
  <c r="AY146" i="11"/>
  <c r="AN25" i="11"/>
  <c r="AS35" i="11" s="1"/>
  <c r="AO87" i="11" s="1"/>
  <c r="AU138" i="11"/>
  <c r="H148" i="11" s="1"/>
  <c r="M148" i="11" l="1"/>
  <c r="AU148" i="11" s="1"/>
  <c r="AQ148" i="11"/>
  <c r="M147" i="11"/>
  <c r="AU147" i="11" s="1"/>
  <c r="AQ147" i="11"/>
  <c r="AY148" i="11"/>
  <c r="AY147" i="11"/>
  <c r="AX36" i="11" l="1"/>
  <c r="AV88" i="11" s="1"/>
  <c r="AV89" i="11" s="1"/>
  <c r="AS36" i="11" l="1"/>
  <c r="AO88" i="11" l="1"/>
  <c r="AO89" i="11" s="1"/>
  <c r="H145" i="11" s="1"/>
  <c r="AY145" i="11" s="1"/>
  <c r="AY149" i="11" s="1"/>
  <c r="AQ145" i="11" l="1"/>
  <c r="AQ149" i="11" s="1"/>
  <c r="M145" i="11"/>
  <c r="AU145" i="11" s="1"/>
  <c r="AU149" i="11" s="1"/>
  <c r="H149" i="11"/>
  <c r="H150" i="11" l="1"/>
  <c r="H151" i="11" s="1"/>
  <c r="G162" i="11" s="1"/>
  <c r="AU150" i="11"/>
  <c r="AU151" i="11" s="1"/>
  <c r="AY150" i="11"/>
  <c r="AY151" i="11" s="1"/>
  <c r="BH162" i="11"/>
  <c r="M149" i="11"/>
  <c r="M150" i="11" s="1"/>
  <c r="M151" i="11" s="1"/>
  <c r="BH168" i="11"/>
  <c r="AQ150" i="11"/>
  <c r="AQ151" i="11" s="1"/>
  <c r="BH161" i="11" l="1"/>
  <c r="BI161" i="11" s="1"/>
  <c r="BH170" i="11"/>
  <c r="BH169" i="11" s="1"/>
  <c r="BI162" i="11" l="1"/>
  <c r="BN161" i="11"/>
  <c r="BN162" i="11" s="1"/>
  <c r="BI169" i="11"/>
  <c r="BI170" i="11" s="1"/>
  <c r="BN169" i="11" l="1"/>
  <c r="BN170" i="11" s="1"/>
</calcChain>
</file>

<file path=xl/comments1.xml><?xml version="1.0" encoding="utf-8"?>
<comments xmlns="http://schemas.openxmlformats.org/spreadsheetml/2006/main">
  <authors>
    <author>Александр Витязев</author>
    <author>Мария Быхун</author>
  </authors>
  <commentList>
    <comment ref="A95" authorId="0" shapeId="0">
      <text>
        <r>
          <rPr>
            <b/>
            <sz val="9"/>
            <color indexed="81"/>
            <rFont val="Tahoma"/>
            <family val="2"/>
            <charset val="204"/>
          </rPr>
          <t>Александр Витязев:</t>
        </r>
        <r>
          <rPr>
            <sz val="9"/>
            <color indexed="81"/>
            <rFont val="Tahoma"/>
            <family val="2"/>
            <charset val="204"/>
          </rPr>
          <t xml:space="preserve">
суб.косгу 225.00.03</t>
        </r>
      </text>
    </comment>
    <comment ref="AE96" authorId="1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comments10.xml><?xml version="1.0" encoding="utf-8"?>
<comments xmlns="http://schemas.openxmlformats.org/spreadsheetml/2006/main">
  <authors>
    <author>Мария Быхун</author>
  </authors>
  <commentList>
    <comment ref="AE95" authorId="0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comments11.xml><?xml version="1.0" encoding="utf-8"?>
<comments xmlns="http://schemas.openxmlformats.org/spreadsheetml/2006/main">
  <authors>
    <author>Мария Быхун</author>
  </authors>
  <commentList>
    <comment ref="AE95" authorId="0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comments12.xml><?xml version="1.0" encoding="utf-8"?>
<comments xmlns="http://schemas.openxmlformats.org/spreadsheetml/2006/main">
  <authors>
    <author>Мария Быхун</author>
  </authors>
  <commentList>
    <comment ref="AE95" authorId="0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comments13.xml><?xml version="1.0" encoding="utf-8"?>
<comments xmlns="http://schemas.openxmlformats.org/spreadsheetml/2006/main">
  <authors>
    <author>Александр Витязев</author>
    <author>Мария Быхун</author>
  </authors>
  <commentList>
    <comment ref="AE94" authorId="0" shapeId="0">
      <text>
        <r>
          <rPr>
            <b/>
            <sz val="9"/>
            <color indexed="81"/>
            <rFont val="Tahoma"/>
            <family val="2"/>
            <charset val="204"/>
          </rPr>
          <t>Александр Витязев:</t>
        </r>
        <r>
          <rPr>
            <sz val="9"/>
            <color indexed="81"/>
            <rFont val="Tahoma"/>
            <family val="2"/>
            <charset val="204"/>
          </rPr>
          <t xml:space="preserve">
факт 2015 год</t>
        </r>
      </text>
    </comment>
    <comment ref="AE95" authorId="1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comments14.xml><?xml version="1.0" encoding="utf-8"?>
<comments xmlns="http://schemas.openxmlformats.org/spreadsheetml/2006/main">
  <authors>
    <author>Мария Быхун</author>
  </authors>
  <commentList>
    <comment ref="AE95" authorId="0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comments15.xml><?xml version="1.0" encoding="utf-8"?>
<comments xmlns="http://schemas.openxmlformats.org/spreadsheetml/2006/main">
  <authors>
    <author>Александр Витязев</author>
    <author>Мария Быхун</author>
  </authors>
  <commentList>
    <comment ref="AE94" authorId="0" shapeId="0">
      <text>
        <r>
          <rPr>
            <b/>
            <sz val="9"/>
            <color indexed="81"/>
            <rFont val="Tahoma"/>
            <family val="2"/>
            <charset val="204"/>
          </rPr>
          <t>Александр Витязев:</t>
        </r>
        <r>
          <rPr>
            <sz val="9"/>
            <color indexed="81"/>
            <rFont val="Tahoma"/>
            <family val="2"/>
            <charset val="204"/>
          </rPr>
          <t xml:space="preserve">
факт 2015 год</t>
        </r>
      </text>
    </comment>
    <comment ref="AE95" authorId="1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comments16.xml><?xml version="1.0" encoding="utf-8"?>
<comments xmlns="http://schemas.openxmlformats.org/spreadsheetml/2006/main">
  <authors>
    <author>Мария Быхун</author>
  </authors>
  <commentList>
    <comment ref="AE95" authorId="0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comments17.xml><?xml version="1.0" encoding="utf-8"?>
<comments xmlns="http://schemas.openxmlformats.org/spreadsheetml/2006/main">
  <authors>
    <author>Мария Быхун</author>
  </authors>
  <commentList>
    <comment ref="AE79" authorId="0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comments18.xml><?xml version="1.0" encoding="utf-8"?>
<comments xmlns="http://schemas.openxmlformats.org/spreadsheetml/2006/main">
  <authors>
    <author>Александр Витязев</author>
    <author>Мария Быхун</author>
  </authors>
  <commentList>
    <comment ref="AE94" authorId="0" shapeId="0">
      <text>
        <r>
          <rPr>
            <b/>
            <sz val="9"/>
            <color indexed="81"/>
            <rFont val="Tahoma"/>
            <family val="2"/>
            <charset val="204"/>
          </rPr>
          <t>Александр Витязев:</t>
        </r>
        <r>
          <rPr>
            <sz val="9"/>
            <color indexed="81"/>
            <rFont val="Tahoma"/>
            <family val="2"/>
            <charset val="204"/>
          </rPr>
          <t xml:space="preserve">
факт 2015 год</t>
        </r>
      </text>
    </comment>
    <comment ref="AE95" authorId="1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comments19.xml><?xml version="1.0" encoding="utf-8"?>
<comments xmlns="http://schemas.openxmlformats.org/spreadsheetml/2006/main">
  <authors>
    <author>Александр Витязев</author>
    <author>Мария Быхун</author>
  </authors>
  <commentList>
    <comment ref="AE94" authorId="0" shapeId="0">
      <text>
        <r>
          <rPr>
            <b/>
            <sz val="9"/>
            <color indexed="81"/>
            <rFont val="Tahoma"/>
            <family val="2"/>
            <charset val="204"/>
          </rPr>
          <t>Александр Витязев:</t>
        </r>
        <r>
          <rPr>
            <sz val="9"/>
            <color indexed="81"/>
            <rFont val="Tahoma"/>
            <family val="2"/>
            <charset val="204"/>
          </rPr>
          <t xml:space="preserve">
факт 2015 год</t>
        </r>
      </text>
    </comment>
    <comment ref="AE95" authorId="1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comments2.xml><?xml version="1.0" encoding="utf-8"?>
<comments xmlns="http://schemas.openxmlformats.org/spreadsheetml/2006/main">
  <authors>
    <author>Мария Быхун</author>
  </authors>
  <commentList>
    <comment ref="AE95" authorId="0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comments20.xml><?xml version="1.0" encoding="utf-8"?>
<comments xmlns="http://schemas.openxmlformats.org/spreadsheetml/2006/main">
  <authors>
    <author>Александр Витязев</author>
  </authors>
  <commentList>
    <comment ref="AE94" authorId="0" shapeId="0">
      <text>
        <r>
          <rPr>
            <b/>
            <sz val="9"/>
            <color indexed="81"/>
            <rFont val="Tahoma"/>
            <family val="2"/>
            <charset val="204"/>
          </rPr>
          <t>Александр Витязев:</t>
        </r>
        <r>
          <rPr>
            <sz val="9"/>
            <color indexed="81"/>
            <rFont val="Tahoma"/>
            <family val="2"/>
            <charset val="204"/>
          </rPr>
          <t xml:space="preserve">
факт 2015 год</t>
        </r>
      </text>
    </comment>
  </commentList>
</comments>
</file>

<file path=xl/comments21.xml><?xml version="1.0" encoding="utf-8"?>
<comments xmlns="http://schemas.openxmlformats.org/spreadsheetml/2006/main">
  <authors>
    <author>Александр Витязев</author>
  </authors>
  <commentList>
    <comment ref="AE94" authorId="0" shapeId="0">
      <text>
        <r>
          <rPr>
            <b/>
            <sz val="9"/>
            <color indexed="81"/>
            <rFont val="Tahoma"/>
            <family val="2"/>
            <charset val="204"/>
          </rPr>
          <t>Александр Витязев:</t>
        </r>
        <r>
          <rPr>
            <sz val="9"/>
            <color indexed="81"/>
            <rFont val="Tahoma"/>
            <family val="2"/>
            <charset val="204"/>
          </rPr>
          <t xml:space="preserve">
факт 2015 год</t>
        </r>
      </text>
    </comment>
  </commentList>
</comments>
</file>

<file path=xl/comments22.xml><?xml version="1.0" encoding="utf-8"?>
<comments xmlns="http://schemas.openxmlformats.org/spreadsheetml/2006/main">
  <authors>
    <author>Александр Витязев</author>
  </authors>
  <commentList>
    <comment ref="AE94" authorId="0" shapeId="0">
      <text>
        <r>
          <rPr>
            <b/>
            <sz val="9"/>
            <color indexed="81"/>
            <rFont val="Tahoma"/>
            <family val="2"/>
            <charset val="204"/>
          </rPr>
          <t>Александр Витязев:</t>
        </r>
        <r>
          <rPr>
            <sz val="9"/>
            <color indexed="81"/>
            <rFont val="Tahoma"/>
            <family val="2"/>
            <charset val="204"/>
          </rPr>
          <t xml:space="preserve">
факт 2015 год</t>
        </r>
      </text>
    </comment>
  </commentList>
</comments>
</file>

<file path=xl/comments3.xml><?xml version="1.0" encoding="utf-8"?>
<comments xmlns="http://schemas.openxmlformats.org/spreadsheetml/2006/main">
  <authors>
    <author>Александр Витязев</author>
  </authors>
  <commentList>
    <comment ref="AE94" authorId="0" shapeId="0">
      <text>
        <r>
          <rPr>
            <b/>
            <sz val="9"/>
            <color indexed="81"/>
            <rFont val="Tahoma"/>
            <family val="2"/>
            <charset val="204"/>
          </rPr>
          <t>Александр Витязев:</t>
        </r>
        <r>
          <rPr>
            <sz val="9"/>
            <color indexed="81"/>
            <rFont val="Tahoma"/>
            <family val="2"/>
            <charset val="204"/>
          </rPr>
          <t xml:space="preserve">
факт 2015 год</t>
        </r>
      </text>
    </comment>
  </commentList>
</comments>
</file>

<file path=xl/comments4.xml><?xml version="1.0" encoding="utf-8"?>
<comments xmlns="http://schemas.openxmlformats.org/spreadsheetml/2006/main">
  <authors>
    <author>Мария Быхун</author>
  </authors>
  <commentList>
    <comment ref="AE95" authorId="0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comments5.xml><?xml version="1.0" encoding="utf-8"?>
<comments xmlns="http://schemas.openxmlformats.org/spreadsheetml/2006/main">
  <authors>
    <author>Мария Быхун</author>
  </authors>
  <commentList>
    <comment ref="AE95" authorId="0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comments6.xml><?xml version="1.0" encoding="utf-8"?>
<comments xmlns="http://schemas.openxmlformats.org/spreadsheetml/2006/main">
  <authors>
    <author>Александр Витязев</author>
    <author>Мария Быхун</author>
  </authors>
  <commentList>
    <comment ref="AE94" authorId="0" shapeId="0">
      <text>
        <r>
          <rPr>
            <b/>
            <sz val="9"/>
            <color indexed="81"/>
            <rFont val="Tahoma"/>
            <family val="2"/>
            <charset val="204"/>
          </rPr>
          <t>Александр Витязев:</t>
        </r>
        <r>
          <rPr>
            <sz val="9"/>
            <color indexed="81"/>
            <rFont val="Tahoma"/>
            <family val="2"/>
            <charset val="204"/>
          </rPr>
          <t xml:space="preserve">
факт 2015 год</t>
        </r>
      </text>
    </comment>
    <comment ref="AE95" authorId="1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comments7.xml><?xml version="1.0" encoding="utf-8"?>
<comments xmlns="http://schemas.openxmlformats.org/spreadsheetml/2006/main">
  <authors>
    <author>Мария Быхун</author>
  </authors>
  <commentList>
    <comment ref="AE79" authorId="0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comments8.xml><?xml version="1.0" encoding="utf-8"?>
<comments xmlns="http://schemas.openxmlformats.org/spreadsheetml/2006/main">
  <authors>
    <author>Мария Быхун</author>
  </authors>
  <commentList>
    <comment ref="AE95" authorId="0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comments9.xml><?xml version="1.0" encoding="utf-8"?>
<comments xmlns="http://schemas.openxmlformats.org/spreadsheetml/2006/main">
  <authors>
    <author>Мария Быхун</author>
  </authors>
  <commentList>
    <comment ref="AE95" authorId="0" shapeId="0">
      <text>
        <r>
          <rPr>
            <b/>
            <sz val="9"/>
            <color indexed="81"/>
            <rFont val="Tahoma"/>
            <family val="2"/>
            <charset val="204"/>
          </rPr>
          <t>Мария Быхун:</t>
        </r>
        <r>
          <rPr>
            <sz val="9"/>
            <color indexed="81"/>
            <rFont val="Tahoma"/>
            <family val="2"/>
            <charset val="204"/>
          </rPr>
          <t xml:space="preserve">
из пг</t>
        </r>
      </text>
    </comment>
  </commentList>
</comments>
</file>

<file path=xl/sharedStrings.xml><?xml version="1.0" encoding="utf-8"?>
<sst xmlns="http://schemas.openxmlformats.org/spreadsheetml/2006/main" count="8400" uniqueCount="732">
  <si>
    <t>Расчет стоимости дополнительных образовательных услуг</t>
  </si>
  <si>
    <t>программа обучения на 1 учащегося (часов)</t>
  </si>
  <si>
    <t>количество учащихся (человек)</t>
  </si>
  <si>
    <t>количество групп /количество учащихся в группе</t>
  </si>
  <si>
    <t>/</t>
  </si>
  <si>
    <t>1.</t>
  </si>
  <si>
    <t>Расчет заработной платы работников</t>
  </si>
  <si>
    <t>базовый оклад</t>
  </si>
  <si>
    <t>Должность</t>
  </si>
  <si>
    <t>Расчет заработной платы</t>
  </si>
  <si>
    <t>ФОТ</t>
  </si>
  <si>
    <t>Количнство работников АП</t>
  </si>
  <si>
    <t>Стоимость часа</t>
  </si>
  <si>
    <t>Учебный план (часы)</t>
  </si>
  <si>
    <t xml:space="preserve">Итого </t>
  </si>
  <si>
    <t>Административный персонал</t>
  </si>
  <si>
    <t xml:space="preserve">(ФОТ обсл. перс. + ФОТ пед. перс.) х </t>
  </si>
  <si>
    <t>Х</t>
  </si>
  <si>
    <t>Итого сумма ( в час / всего):</t>
  </si>
  <si>
    <t>-</t>
  </si>
  <si>
    <t>заработная плата</t>
  </si>
  <si>
    <t>налоги на оплату труда</t>
  </si>
  <si>
    <t>Количнство работников ОП</t>
  </si>
  <si>
    <t>Прочие и обслуживающий персонал</t>
  </si>
  <si>
    <t>Среднемесячная норма часов</t>
  </si>
  <si>
    <t xml:space="preserve">Педагогический персонал </t>
  </si>
  <si>
    <t>базовый коэф.</t>
  </si>
  <si>
    <t>=</t>
  </si>
  <si>
    <t>х</t>
  </si>
  <si>
    <t>(коэф-ты)</t>
  </si>
  <si>
    <t>(</t>
  </si>
  <si>
    <t>)</t>
  </si>
  <si>
    <t>ИТОГО по РАЗДЕЛУ 1.</t>
  </si>
  <si>
    <t xml:space="preserve">Заработная плата </t>
  </si>
  <si>
    <t>Налоги на оплату труда</t>
  </si>
  <si>
    <t>Всего заработная плата с налогами (час / на группу)</t>
  </si>
  <si>
    <t>2.</t>
  </si>
  <si>
    <t>Плата за содержание зданий, коммунальные услуги</t>
  </si>
  <si>
    <t>Коммунальные услуги</t>
  </si>
  <si>
    <t>Общая площадь здания м2</t>
  </si>
  <si>
    <t>Занимаемая площадь м2</t>
  </si>
  <si>
    <t>Фактические затраты за год</t>
  </si>
  <si>
    <t>Расчет для оплаты</t>
  </si>
  <si>
    <t>Цена в час</t>
  </si>
  <si>
    <t xml:space="preserve">Содержание </t>
  </si>
  <si>
    <t>ст 4: ст 2 х ст 3:</t>
  </si>
  <si>
    <t>Электроэнергия</t>
  </si>
  <si>
    <t>дней  х</t>
  </si>
  <si>
    <t>Теплоэнергия</t>
  </si>
  <si>
    <t>часов</t>
  </si>
  <si>
    <t>Водоснабжение и водоотведение</t>
  </si>
  <si>
    <t>ИТОГО:</t>
  </si>
  <si>
    <t>3.</t>
  </si>
  <si>
    <t>Материально - техническая база</t>
  </si>
  <si>
    <t>Наименование</t>
  </si>
  <si>
    <t>Затраты на одного учащегося</t>
  </si>
  <si>
    <t>Количество часов по программе</t>
  </si>
  <si>
    <t>Расчет</t>
  </si>
  <si>
    <t>ст2 :  ст3</t>
  </si>
  <si>
    <t>4.</t>
  </si>
  <si>
    <t>Проведение мероприятий</t>
  </si>
  <si>
    <t>ст2 : ст3</t>
  </si>
  <si>
    <t>5.</t>
  </si>
  <si>
    <t>Стоимость обучения 1 (одного) учащегося на весь курс  по программе</t>
  </si>
  <si>
    <t>Итого стоимость 1 часа</t>
  </si>
  <si>
    <t>Численность учащихся в группе</t>
  </si>
  <si>
    <t>Количество групп</t>
  </si>
  <si>
    <t>Расчет стоимости за курс обучения</t>
  </si>
  <si>
    <t>для учащихся в группах</t>
  </si>
  <si>
    <t>для индивидуального обучения</t>
  </si>
  <si>
    <t>Раздел 1</t>
  </si>
  <si>
    <t xml:space="preserve">ст.2 х ст.4 </t>
  </si>
  <si>
    <t>Раздел 2</t>
  </si>
  <si>
    <t>Раздел 3</t>
  </si>
  <si>
    <t>Раздел 4</t>
  </si>
  <si>
    <t xml:space="preserve">Рентабельность </t>
  </si>
  <si>
    <t>Пластилин</t>
  </si>
  <si>
    <t>Бумага для рисования альбомная</t>
  </si>
  <si>
    <t>Экономист планово-экономического отдела</t>
  </si>
  <si>
    <t>+</t>
  </si>
  <si>
    <t>ВСЕГО (себестоимость):</t>
  </si>
  <si>
    <t>ИТОГО</t>
  </si>
  <si>
    <t>Количество часов по учебному плану</t>
  </si>
  <si>
    <t xml:space="preserve">    УТВЕРЖДАЮ:</t>
  </si>
  <si>
    <t>Педагог доп. образования     (Ковальчук В.Н.)</t>
  </si>
  <si>
    <t xml:space="preserve">    Е.А. Вахрушева</t>
  </si>
  <si>
    <t>Младший воспитатель</t>
  </si>
  <si>
    <t>Стоимость за полный курс обучения</t>
  </si>
  <si>
    <t>Заведующий МБДОУ   (Аникеева Г.Р.)</t>
  </si>
  <si>
    <t>Организатор</t>
  </si>
  <si>
    <t>Бумага А4</t>
  </si>
  <si>
    <t>МБДОУ Детский сад № 14 "Улыбка"</t>
  </si>
  <si>
    <t>Стоимость в неделю (2 занятий)</t>
  </si>
  <si>
    <t>Стоимость в месяц (8 занятия)</t>
  </si>
  <si>
    <t>Стоимость 1 занятия</t>
  </si>
  <si>
    <t>Спец. Тетради</t>
  </si>
  <si>
    <t>Ручка шариковая</t>
  </si>
  <si>
    <t>Подставка для книг</t>
  </si>
  <si>
    <t>Наборы цветных мелков</t>
  </si>
  <si>
    <t>Азбука на английском языке</t>
  </si>
  <si>
    <t>Аудиодиски</t>
  </si>
  <si>
    <t>Воспитатель</t>
  </si>
  <si>
    <t>Краска</t>
  </si>
  <si>
    <t>Кисть</t>
  </si>
  <si>
    <t>Мелки</t>
  </si>
  <si>
    <t>Карандаши цветные</t>
  </si>
  <si>
    <t>Инструктор по физической культуре</t>
  </si>
  <si>
    <t>Важные салфетки</t>
  </si>
  <si>
    <t>Кружок по изучению английского языка «Step by step»</t>
  </si>
  <si>
    <t>Кружок по изодеятельности «Капелька»</t>
  </si>
  <si>
    <t>Занятия в тренажерном зале «Богатырь»</t>
  </si>
  <si>
    <t>Стоимость в неделю (1 занятий)</t>
  </si>
  <si>
    <t>Стоимость в месяц (4 занятия)</t>
  </si>
  <si>
    <t xml:space="preserve">с </t>
  </si>
  <si>
    <t>г.</t>
  </si>
  <si>
    <t>по</t>
  </si>
  <si>
    <t>мая</t>
  </si>
  <si>
    <t>Заведующий</t>
  </si>
  <si>
    <t>Цветные карандаши (12 цветов)</t>
  </si>
  <si>
    <t>Краски акварельные (12 цветов)</t>
  </si>
  <si>
    <t>Картон белый</t>
  </si>
  <si>
    <t>Картон цветной</t>
  </si>
  <si>
    <t>Спортивное обордование (разовые приобретения)</t>
  </si>
  <si>
    <t>Стоимость 1 мероприятия</t>
  </si>
  <si>
    <t>"День именинника"</t>
  </si>
  <si>
    <t>5-29-34</t>
  </si>
  <si>
    <t>Всего:</t>
  </si>
  <si>
    <t>взять приказ о комплектовании групп</t>
  </si>
  <si>
    <t>АУП</t>
  </si>
  <si>
    <t>Педагоги</t>
  </si>
  <si>
    <t>Расчет доходов апрель-2015-Моисеенко</t>
  </si>
  <si>
    <t>Расчет доходов май-2015-Уралбаева</t>
  </si>
  <si>
    <t>Расчет доходов май-2015-Церенова</t>
  </si>
  <si>
    <t>Расчет доходов май-2015-Моисеенко</t>
  </si>
  <si>
    <t>Расчет доходов май-2015-Бахрачев</t>
  </si>
  <si>
    <t>Учим английский с героями диснея (рабочая тетрадь)</t>
  </si>
  <si>
    <t xml:space="preserve">Педагог доп. образования </t>
  </si>
  <si>
    <t>Английский язык для детей (учебное пособие)</t>
  </si>
  <si>
    <t>Альбом</t>
  </si>
  <si>
    <t>Набор набивнх мячей</t>
  </si>
  <si>
    <t>"Игры с Тимокко"</t>
  </si>
  <si>
    <t>Расчет доходов октябрь-2015-Харченко</t>
  </si>
  <si>
    <t>Расчет доходов ноябрь-2015-Харченко</t>
  </si>
  <si>
    <t>Расчет доходов ноябрь-2015-Окотэтто</t>
  </si>
  <si>
    <t>Расчет доходов ноябрь-2015-Церенова</t>
  </si>
  <si>
    <t>Мячи резиновые</t>
  </si>
  <si>
    <t>Игрушки утяжеленные</t>
  </si>
  <si>
    <t>Доски</t>
  </si>
  <si>
    <t>Ласты</t>
  </si>
  <si>
    <t>Вставки для ног</t>
  </si>
  <si>
    <t>Съемная горка</t>
  </si>
  <si>
    <t>Расчет доходов декабрь-2015-Харченко</t>
  </si>
  <si>
    <t>Расчет доходов январь-2016-Кучеровский</t>
  </si>
  <si>
    <t>Расчет доходов декабрь-2015-Окотэтто</t>
  </si>
  <si>
    <t>Расчет доходов декабрь-2015-Церенова</t>
  </si>
  <si>
    <t>Расчет доходов январь 2016 Окотэтто</t>
  </si>
  <si>
    <t>Расчет доходов январь-2016-Ануфриева</t>
  </si>
  <si>
    <t>Расчет доходов январь-2015-Церенова</t>
  </si>
  <si>
    <t>Расчет доходов январь-2016-Моисеенко</t>
  </si>
  <si>
    <t>Расчет доходов январь-2016-Харченко</t>
  </si>
  <si>
    <t>Расчет доходов февраль-2016-Моисеенко</t>
  </si>
  <si>
    <t>Расчет доходов февраль-2016-Харченко</t>
  </si>
  <si>
    <t>Расчет доходов февраль-2016-Кучеровский</t>
  </si>
  <si>
    <t>Расчет доходов февраль-2016-Ануфриева</t>
  </si>
  <si>
    <t>Расчет доходов февраль-2016-Морозова</t>
  </si>
  <si>
    <t>Расчет доходов февраль 2016 Окотэтто</t>
  </si>
  <si>
    <t>Расчет доходов февраль 2016 Церенова</t>
  </si>
  <si>
    <t>Расчет доходов март 2016 Церенова</t>
  </si>
  <si>
    <t>Расчет доходов март 2016 Окотэтто</t>
  </si>
  <si>
    <t>Расчет доходов март-2016-Ануфриева</t>
  </si>
  <si>
    <t>Расчет доходов март-2016 Кучеровский</t>
  </si>
  <si>
    <t>Расчет доходов март-2016-Моисеенко</t>
  </si>
  <si>
    <t>Расчет доходов март-2016-Харченко</t>
  </si>
  <si>
    <t>Расчет доходов март-2016-Кучеровский</t>
  </si>
  <si>
    <t>Расчет доходов март-2016-Морозова</t>
  </si>
  <si>
    <t>Расчет доходов апрель-2016-Ануфриева</t>
  </si>
  <si>
    <t>Расчет доходов апрель-2016 Кучеровский</t>
  </si>
  <si>
    <t>Расчет доходов апрель-2016-Кучеровский</t>
  </si>
  <si>
    <t>Расчет доходов апрель-2016-Морозова</t>
  </si>
  <si>
    <t>Расчет доходов апреля 2016 Церенова</t>
  </si>
  <si>
    <t>Расчет доходов апреля 2016 Окотэтто</t>
  </si>
  <si>
    <t>Расчет доходов апреля-2016-Харченко</t>
  </si>
  <si>
    <t>Расчет доходов апреля-2016-Мосиенко</t>
  </si>
  <si>
    <t>Расчет доходов май-2016-Кучеровский</t>
  </si>
  <si>
    <t>Расчет доходов май-2016 Кучеровский</t>
  </si>
  <si>
    <t>Расчет доходов май-2016-Ануфриева</t>
  </si>
  <si>
    <t>Расчет доходов май 2016 Церенова</t>
  </si>
  <si>
    <t>Расчет доходов май 2016 Окотэтто</t>
  </si>
  <si>
    <t>Расчет доходов май-2016-Морозова</t>
  </si>
  <si>
    <t>Расчет доходов май-2016-Мосиенко</t>
  </si>
  <si>
    <t>Расчет доходов май-2016-Харченко</t>
  </si>
  <si>
    <t>Приказ № _______ от ________</t>
  </si>
  <si>
    <t>Кружок по изучению английского языка «Занимательная математика»</t>
  </si>
  <si>
    <t>Тетради в клетку</t>
  </si>
  <si>
    <t>Математика для дошкольников (уч. пособие)</t>
  </si>
  <si>
    <t>Развивающая игра "чудо-крестики"</t>
  </si>
  <si>
    <t>сентября</t>
  </si>
  <si>
    <t>Интерактивная доска</t>
  </si>
  <si>
    <t>Планшетный компьютер</t>
  </si>
  <si>
    <t>Интерактивный стол</t>
  </si>
  <si>
    <t>Зацепы</t>
  </si>
  <si>
    <t>Альпинистская беседка</t>
  </si>
  <si>
    <t>Грудная обвязка</t>
  </si>
  <si>
    <t>Каски</t>
  </si>
  <si>
    <t>Карабины с байонетной муфтой</t>
  </si>
  <si>
    <t>Веревка динамическая</t>
  </si>
  <si>
    <t>Стоимость в неделю (1 занятие)</t>
  </si>
  <si>
    <t>Дополнительная общеразвивающая программа «Мир ЛЕГО»</t>
  </si>
  <si>
    <t>Дополнительная общеразвивающая программа «Компьютерная азбука»</t>
  </si>
  <si>
    <t>Стол игровой LEGO пластиковый с 4 ножками-сидениями</t>
  </si>
  <si>
    <t>Ресурсный набор LEGO</t>
  </si>
  <si>
    <t>Конструктор Набор городские жители</t>
  </si>
  <si>
    <t>Конструктор набор Рабочие и служащие</t>
  </si>
  <si>
    <t>Конструктор набор Сказочные и исторические персонажи</t>
  </si>
  <si>
    <t>Конструктор набор фигурок состоящий из профессий</t>
  </si>
  <si>
    <t>Методические рекомендации по программе "Игры с Тимокко" + Программное обеспечение (диски)</t>
  </si>
  <si>
    <t>ручка шариковая</t>
  </si>
  <si>
    <t>Приказ №</t>
  </si>
  <si>
    <t>от</t>
  </si>
  <si>
    <t>Методические рекомендации по программе "Игры с Тимокко" + программное обеспечение (диски)</t>
  </si>
  <si>
    <t xml:space="preserve">Карандаши цветные </t>
  </si>
  <si>
    <t>Заведующий МБДОУ №14"Улыбка"</t>
  </si>
  <si>
    <t>Е.В. Харченко</t>
  </si>
  <si>
    <t>Макивара тренерская</t>
  </si>
  <si>
    <t>Лапа тренировочная</t>
  </si>
  <si>
    <t>Мячи гимнастические</t>
  </si>
  <si>
    <t xml:space="preserve">Приказ </t>
  </si>
  <si>
    <t>№</t>
  </si>
  <si>
    <t>Стоимость в неделю (2 занятие)</t>
  </si>
  <si>
    <t>Дополнительная образовательная услуга "Тхэквандо ВТФ"</t>
  </si>
  <si>
    <t>Расчет доходов октябрь-2016-Морозова</t>
  </si>
  <si>
    <t>Расчет доходов январь-2016-Левина</t>
  </si>
  <si>
    <t>Расчет доходов октябрь-2016-Кучеровский</t>
  </si>
  <si>
    <t>Расчет доходов ноябрь-2016-Того</t>
  </si>
  <si>
    <t>Расчет доходов октябрь-2016-Моисеенко</t>
  </si>
  <si>
    <t>Расчет доходов октябрь-2016-Мосиенко</t>
  </si>
  <si>
    <t>Расчет доходов октябрь-2016-Щеглова</t>
  </si>
  <si>
    <t>Расчет доходов ноябрь-2016 щеглова</t>
  </si>
  <si>
    <t>Расчет доходов ноябрь-2014-Морозова</t>
  </si>
  <si>
    <t>Расчет доходов ноябрь-2016-Ануфриева</t>
  </si>
  <si>
    <t>Расчет доходов ноябрь-2016-Кучеровский</t>
  </si>
  <si>
    <t>Расчет доходов декабрь-2016-Того</t>
  </si>
  <si>
    <t>Расчет доходов декабрь-2014-Морозова</t>
  </si>
  <si>
    <t>Расчет доходов декабрь-2016-Ануфриева</t>
  </si>
  <si>
    <t>Расчет доходов декабрь-2016-Моисеенко</t>
  </si>
  <si>
    <t>Расчет доходов ноябрь-2016-Моисеенко</t>
  </si>
  <si>
    <t>Расчет доходов декабрь-2016 щеглова</t>
  </si>
  <si>
    <t>Расчет доходов декабрь-2016-Кучеровский</t>
  </si>
  <si>
    <t>Расчет доходов декабрь 2016Тренин</t>
  </si>
  <si>
    <t xml:space="preserve">Расчет для заключения договоров за 2 полугодие 2016-2017 учебного года </t>
  </si>
  <si>
    <t xml:space="preserve">№ п/п </t>
  </si>
  <si>
    <t>Наименование услуги</t>
  </si>
  <si>
    <t>Стоимость 1 часа на выплату ЗП</t>
  </si>
  <si>
    <t>В том числе на выплату ЗП</t>
  </si>
  <si>
    <t>Кол-во детей в группе</t>
  </si>
  <si>
    <t>Кол-во часов в полугодии</t>
  </si>
  <si>
    <t>ФИО преподавателя</t>
  </si>
  <si>
    <t>ФИО организатора</t>
  </si>
  <si>
    <t>Сумма договора</t>
  </si>
  <si>
    <t>в том числе НДФЛ</t>
  </si>
  <si>
    <t>преподавателя</t>
  </si>
  <si>
    <t>организатора</t>
  </si>
  <si>
    <t>«Step by step»</t>
  </si>
  <si>
    <t>"Тхэквандо ВТФ"</t>
  </si>
  <si>
    <t>Тренин АВ</t>
  </si>
  <si>
    <t>Ичетовкина Е.Ю</t>
  </si>
  <si>
    <t xml:space="preserve"> </t>
  </si>
  <si>
    <t xml:space="preserve">в пл граф </t>
  </si>
  <si>
    <t>Расчет доходов январь-2017-Того</t>
  </si>
  <si>
    <t>остаток</t>
  </si>
  <si>
    <t>Расчет доходов январь 2017 Тренин</t>
  </si>
  <si>
    <t>Расчет доходов январь-2017-Морозова</t>
  </si>
  <si>
    <t>Расчет доходов январь-2017-Ануфриева</t>
  </si>
  <si>
    <t>Расчет доходов январь-2017-Кучеровский</t>
  </si>
  <si>
    <t>Расчет доходов январь-2017 щеглова</t>
  </si>
  <si>
    <t>Расчет доходов январь-2017-Читовкина</t>
  </si>
  <si>
    <t>ждем акты</t>
  </si>
  <si>
    <t>Расчет доходов февраль-2017-Читовкина</t>
  </si>
  <si>
    <t>Расчет доходов февраль-2017-Ануфриева</t>
  </si>
  <si>
    <t>Расчет доходов февраль-2017-Морозова</t>
  </si>
  <si>
    <t>Расчет доходов ФЕВРАЛЬ-2017-Кучеровский</t>
  </si>
  <si>
    <t>Расчет доходов ФЕВРАЛЬ-2017 щеглова</t>
  </si>
  <si>
    <t>Расчет доходов ФЕВРАЛЬ-2017-Левина</t>
  </si>
  <si>
    <t>Расчет доходов ФЕВРАЛЬ-2017-Того</t>
  </si>
  <si>
    <t>Расчет доходов МАРТ-2017-Кучеровский</t>
  </si>
  <si>
    <t>Расчет доходов МАРТ 2017 Тренин</t>
  </si>
  <si>
    <t>Расчет доходов ФЕВРАЛЬ 2017 Тренин</t>
  </si>
  <si>
    <t>Расчет доходов МАРТ-2017-Того</t>
  </si>
  <si>
    <t>Расчет доходов МАРТ-2017 щеглова</t>
  </si>
  <si>
    <t>Расчет доходов МАРТ-2017-Морозова</t>
  </si>
  <si>
    <t>Расчет доходов МАР-2017-Ануфриева</t>
  </si>
  <si>
    <t>Расчет доходов МАРТ-2017-Читовкина</t>
  </si>
  <si>
    <t>Расчет доходов МАРТ-2017-Левина</t>
  </si>
  <si>
    <t>Расчет доходов АПРЕЛЬ-2017-Морозова</t>
  </si>
  <si>
    <t>Расчет доходов АПРЕЛЬ-2017-Того</t>
  </si>
  <si>
    <t>Расчет доходов АПРЕЛЬ-2017 щеглова</t>
  </si>
  <si>
    <t>Расчет доходов АПРЕЛЬ-2017-Ануфриева</t>
  </si>
  <si>
    <t>Расчет доходовАПРЕЛЬ-2017-Кучеровский</t>
  </si>
  <si>
    <t>Расчет доходов АПРЕЛЬ-2017-Левина</t>
  </si>
  <si>
    <t>Расчет доходов апрель 2017 Тренин</t>
  </si>
  <si>
    <t>Расчет доходов АпРЕЛЬ-2017-Читовкина</t>
  </si>
  <si>
    <t>принесли акт 19.05.17</t>
  </si>
  <si>
    <t>Расчет доходов МАЙ-2017-Ануфриева</t>
  </si>
  <si>
    <t>Расчет доходов МАЙ-2017-Левина</t>
  </si>
  <si>
    <t>Расчет доходов МАЙ-2017-Того</t>
  </si>
  <si>
    <t>Расчет доходов МАЙ-2017-Кучеровский</t>
  </si>
  <si>
    <t>Расчет доходов МАЙ-2017-ЩЕГЛОВА</t>
  </si>
  <si>
    <t>Расчет доходов МАЙ-2017-Читовкина</t>
  </si>
  <si>
    <t>Расчет доходов МАЙ 2017 Тренин</t>
  </si>
  <si>
    <t>октября</t>
  </si>
  <si>
    <t>Е.В.Харченко</t>
  </si>
  <si>
    <t xml:space="preserve">            Ю.В. Шварц</t>
  </si>
  <si>
    <t xml:space="preserve">           Ю.В. Шварц</t>
  </si>
  <si>
    <t>Цветные счетные палочки Кюизинера</t>
  </si>
  <si>
    <t>Эстетическое занятие по хореографии</t>
  </si>
  <si>
    <t>Кружок "Мини-футбол"</t>
  </si>
  <si>
    <t>Кружок "Звукарик"</t>
  </si>
  <si>
    <t>Дополнительная общеразвивающая программа "Дельфинёнок"</t>
  </si>
  <si>
    <t>Музыкальный центр</t>
  </si>
  <si>
    <t>Тетради в косую</t>
  </si>
  <si>
    <t>Прописи для дошкольников (учебное пособие)</t>
  </si>
  <si>
    <t>Букварь</t>
  </si>
  <si>
    <t>Мяч футбольный</t>
  </si>
  <si>
    <t>Ворота</t>
  </si>
  <si>
    <t>Воспитатель Акбердиева Кумисхан Мурадиновна</t>
  </si>
  <si>
    <t xml:space="preserve">Педагог-психолог </t>
  </si>
  <si>
    <t>Музыкальный руководитель</t>
  </si>
  <si>
    <t>Инструктор по физ. культуре</t>
  </si>
  <si>
    <t>Воспитатель      Добуляк Яна Владимировна</t>
  </si>
  <si>
    <t xml:space="preserve">Воспитатель </t>
  </si>
  <si>
    <t>Инструктор</t>
  </si>
  <si>
    <t>Форма ткэквандо</t>
  </si>
  <si>
    <t>Расчет доходов сентябрь 2017-Ануфриева</t>
  </si>
  <si>
    <t>Расчет доходов октябрь 2017--Окотэтто</t>
  </si>
  <si>
    <t>Расчет доходов октябрь 2017- Кугаевский</t>
  </si>
  <si>
    <t>Расчет доходов октябрь-2017-Того</t>
  </si>
  <si>
    <t>Расчет доходов октябрь 2017-Левина</t>
  </si>
  <si>
    <t>Расчет доходов октябрь-2017-Ичетовкина</t>
  </si>
  <si>
    <t>Расчет доходов октябрь-2017-Кугаевский</t>
  </si>
  <si>
    <t>Расчет доходов октябрь 2017--Арманова</t>
  </si>
  <si>
    <t>Расчет доходов октябрь 2017--Уралбаева</t>
  </si>
  <si>
    <t>Расчет доходов октябрь 2017 Тренин</t>
  </si>
  <si>
    <t>Расчет доходов октябрь 2017-Кекенджинова</t>
  </si>
  <si>
    <t>Расчет доходов -2017-Того С.В. Ноябрь</t>
  </si>
  <si>
    <t>Расчет доходов ноябрь-2017-Того</t>
  </si>
  <si>
    <t>Расчет доходов ноябрь-2017 щеглова</t>
  </si>
  <si>
    <t>Расчет доходов ноябрь 2017-Идрисова</t>
  </si>
  <si>
    <t>Расчет доходов ноябрь 2017-Ханафиева</t>
  </si>
  <si>
    <t>Расчет доходов ноябрь-2017-Кугаевский</t>
  </si>
  <si>
    <t>Расчет доходов ноябрь 2017--Арманова</t>
  </si>
  <si>
    <t>Расчет доходов ноябрь 2017- Кугаевский</t>
  </si>
  <si>
    <t>Расчет доходов ноябрь 2017--Окотэтто</t>
  </si>
  <si>
    <t>Расчет доходов ноябрь 2017-Левина</t>
  </si>
  <si>
    <t>Расчет доходов ноябрь 2017 Тренин</t>
  </si>
  <si>
    <t>Расчет доходов ноябрь-2017-Ичетовкина</t>
  </si>
  <si>
    <t>О.Ю.Ермакова</t>
  </si>
  <si>
    <t>Расчет доходов декабрь-2017-Ичетовкина</t>
  </si>
  <si>
    <t>Расчет доходов декабрь-2017-Того</t>
  </si>
  <si>
    <t>Расчет доходов декабрь 2017-Ханафиева</t>
  </si>
  <si>
    <t>Расчет доходов декабрь 2017- Кугаевский</t>
  </si>
  <si>
    <t>Расчет доходов декабрь 2017-Левина</t>
  </si>
  <si>
    <t>Расчет доходов декабрь 2017 Тренин</t>
  </si>
  <si>
    <t>Расчет доходов декабрь 2017-Ануфриева</t>
  </si>
  <si>
    <t xml:space="preserve">Расчет для заключения договоров за 1 полугодие 2017-2018 учебного года </t>
  </si>
  <si>
    <t>Расчет доходов январь-2018 щеглова</t>
  </si>
  <si>
    <t xml:space="preserve">организатор </t>
  </si>
  <si>
    <t>заведующая</t>
  </si>
  <si>
    <t>Расчет доходов январь-2018-Кугаевский</t>
  </si>
  <si>
    <t>организатор</t>
  </si>
  <si>
    <t>Расчет доходов январь 2018--Арманова</t>
  </si>
  <si>
    <t>Расчет доходов январь 2018-Таланцев</t>
  </si>
  <si>
    <t>Расчет доходов январь 2018 Тренин</t>
  </si>
  <si>
    <t>Расчет доходов январь 2018-Сэротэтто</t>
  </si>
  <si>
    <t>Расчет доходов январь 2018-Ганюгина</t>
  </si>
  <si>
    <t>Расчет доходов январь 2018- Кугаевский</t>
  </si>
  <si>
    <t>Расчет доходов январь-2018-Ичетовкина</t>
  </si>
  <si>
    <t xml:space="preserve">Расчет для заключения договоров за 2 полугодие 2017-2018 учебного года </t>
  </si>
  <si>
    <t>«Капелька»</t>
  </si>
  <si>
    <t>Сэротэтто Э.В.</t>
  </si>
  <si>
    <t>Расчет доходов февраль 2018- Кугаевский</t>
  </si>
  <si>
    <t>Расчет доходов февраль 2018-Окотэтто</t>
  </si>
  <si>
    <t>Расчет доходов февраль-2018 щеглова</t>
  </si>
  <si>
    <t>Расчет доходов февраль 2018-Кугаевский</t>
  </si>
  <si>
    <t>Расчет доходов -2018-Того С.В.</t>
  </si>
  <si>
    <t>Расчет доходов февраль 2018-Ганюгина</t>
  </si>
  <si>
    <t>Расчет доходов февраль 2018-Сэротэтто</t>
  </si>
  <si>
    <t>Расчет доходов февраль 2018 Тренин</t>
  </si>
  <si>
    <t>Расчет доходов февраль-2018-Того</t>
  </si>
  <si>
    <t>Расчет доходов март 2018 Тренин</t>
  </si>
  <si>
    <t>Расчет доходов март 2018-Окотэтто</t>
  </si>
  <si>
    <t>Расчет доходов март 2018- Кугаевский</t>
  </si>
  <si>
    <t>Расчет доходов март-2018-Того</t>
  </si>
  <si>
    <t>Расчет доходов март 2018-Сэротэтто</t>
  </si>
  <si>
    <t>Расчет доходов март 2018-Ганюгина</t>
  </si>
  <si>
    <t>Расчет доходов март 2018--Арманова</t>
  </si>
  <si>
    <t>Расчет доходов - март 2018-Морозова Н.И.</t>
  </si>
  <si>
    <t>Расчет доходов март 2018-Кугаевский</t>
  </si>
  <si>
    <t>Расчет доходов март-2018 щеглова</t>
  </si>
  <si>
    <t>Расчет доходов апрель 2018-Ганюгина</t>
  </si>
  <si>
    <t>Расчет доходов апрель 2018-Окотэтто</t>
  </si>
  <si>
    <t>Расчет доходов апрель 2018-Сэротэтто</t>
  </si>
  <si>
    <t>Расчет доходов апрель 2018- Кугаевский</t>
  </si>
  <si>
    <t>Расчет доходов апрель-2018-Того</t>
  </si>
  <si>
    <t>Расчет доходов март 2018-Левина</t>
  </si>
  <si>
    <t>Расчет доходов апрель 2018-Левина</t>
  </si>
  <si>
    <t>Расчет доходов - апрель 2018-Морозова Н.И.</t>
  </si>
  <si>
    <t>Расчет доходов апрель 2018-Кугаевский</t>
  </si>
  <si>
    <t>Расчет доходов апрель-2018 щеглова</t>
  </si>
  <si>
    <t>Расчет доходов март 2018-Таланцев</t>
  </si>
  <si>
    <t>Расчет доходов апрель 2018-Таланцев</t>
  </si>
  <si>
    <t>Расчет доходов апрель 2018 Тренин</t>
  </si>
  <si>
    <t>Расчет доходов -2017-Того С.В. Октябрь</t>
  </si>
  <si>
    <t>Расчет доходов май 2018 Тренин</t>
  </si>
  <si>
    <t>Расчет доходовмай 2018-Окотэтто</t>
  </si>
  <si>
    <t>Расчет доходов май 2018-Сэротэтто</t>
  </si>
  <si>
    <t>Расчет доходов май 2018-Левина</t>
  </si>
  <si>
    <t>Расчет доходов - май 2018-Морозова Н.И.</t>
  </si>
  <si>
    <t xml:space="preserve">Заведующий МБДОУ </t>
  </si>
  <si>
    <t>О.Ю. Ермакова</t>
  </si>
  <si>
    <t>Количество работников АП</t>
  </si>
  <si>
    <t>Количество работников ОП</t>
  </si>
  <si>
    <t>И.о. заведующей МБДОУ №14"Улыбка"</t>
  </si>
  <si>
    <t>Стоимость в неделю              (1 занятие)</t>
  </si>
  <si>
    <t>Стоимость в месяц                  (4 занятия)</t>
  </si>
  <si>
    <t>Заведующий МБДОУ</t>
  </si>
  <si>
    <t>Стоимость в месяц               (4 занятия)</t>
  </si>
  <si>
    <t>Стоимость в неделю          (1 занятие)</t>
  </si>
  <si>
    <t>Стоимость в месяц                   (4 занятия)</t>
  </si>
  <si>
    <t>Стоимость в неделю                (1 занятие)</t>
  </si>
  <si>
    <t>Сетка</t>
  </si>
  <si>
    <t>Стоимость в неделю         (1 занятие)</t>
  </si>
  <si>
    <t>Стоимость в месяц              (4 занятия)</t>
  </si>
  <si>
    <t>Стоимость в месяц             (8 занятия)</t>
  </si>
  <si>
    <t>Стоимость в неделю               (2 занятий)</t>
  </si>
  <si>
    <t>5 29 34</t>
  </si>
  <si>
    <t>Расчет доходов сентябрь-2018 - Шевченко</t>
  </si>
  <si>
    <t>Расчет доходов сентябрь 2018 - Кугаевский</t>
  </si>
  <si>
    <t>Расчет доходов сентябрь 2018-Ганюгина</t>
  </si>
  <si>
    <t>Расчет доходов сентябрь 2018- Кугаевский</t>
  </si>
  <si>
    <t>Расчет доходов сентябрь 2018-Таланцев</t>
  </si>
  <si>
    <t>Расчет доходов октябрь 2018 - Щеглова Н.В.</t>
  </si>
  <si>
    <t xml:space="preserve">Расчет доходов октябрь 2018 - Таланцев </t>
  </si>
  <si>
    <t>Расчет доходов октябрь 2018 - Евдосеева И.С.</t>
  </si>
  <si>
    <t>Расчет доходов октябрь 2018-Ганюгина</t>
  </si>
  <si>
    <t>Расчет доходов октябрь-2018 - Шевченко</t>
  </si>
  <si>
    <t>Расчет доходов октябрь 2018- Кугаевский</t>
  </si>
  <si>
    <t>Расчет доходов октябрь 2018 - Кугаевский</t>
  </si>
  <si>
    <t>Расчет доходов октябрь 2018-Левина</t>
  </si>
  <si>
    <t>Расчет доходов октябрь-2018-Того</t>
  </si>
  <si>
    <t>Расчет доходов октябрь-2018 - Харченко</t>
  </si>
  <si>
    <t>Расчет доходов ноябрь 2018 - Евдосеева И.С.</t>
  </si>
  <si>
    <t>Расчет доходов ноябрь 2018- Кугаевский</t>
  </si>
  <si>
    <t>Расчет доходов ноябрь 2018-Левина</t>
  </si>
  <si>
    <t>Расчет доходов ноябрь-2018-Того</t>
  </si>
  <si>
    <t>Расчет доходов ноябрь 2018 - Кугаевский</t>
  </si>
  <si>
    <t>Расчет доходов октябрь 2018-Кырова</t>
  </si>
  <si>
    <t>Расчет доходов ноябрь 2018-Кырова</t>
  </si>
  <si>
    <t>Расчет доходов ноябрь 2018-Морозова</t>
  </si>
  <si>
    <t>Расчет доходов ноябрь 2018 - Щеглова Н.В.</t>
  </si>
  <si>
    <t>Расчет доходов ноябрь-2018 - Харченко</t>
  </si>
  <si>
    <t>Расчет доходов ноябрь-2018 - Шевченко</t>
  </si>
  <si>
    <t>Расчет доходов декабрь 2018-Кырова</t>
  </si>
  <si>
    <t>Расчет доходов декабрь 2018-Левина</t>
  </si>
  <si>
    <t>Расчет доходов декабрь-2018 - Шевченко</t>
  </si>
  <si>
    <t>Расчет доходов декабрь-2018 - Харченко</t>
  </si>
  <si>
    <t>Расчет доходов декабрь 2018-Морозова</t>
  </si>
  <si>
    <t>Расчет доходов декабрь-2018-Того</t>
  </si>
  <si>
    <t>Расчет доходов декабрь 2018 - Евдосеева И.С.</t>
  </si>
  <si>
    <t>Расчет доходов декабрь 2018 - Кугаевский</t>
  </si>
  <si>
    <t>Расчет доходов декабрь 2018- Кугаевский</t>
  </si>
  <si>
    <t xml:space="preserve">Расчет доходов декабрь 2018 - Таланцев </t>
  </si>
  <si>
    <t>Расчет доходов январь 2019-Левина</t>
  </si>
  <si>
    <t>Расчет доходов январь-2019 - Шевченко</t>
  </si>
  <si>
    <t xml:space="preserve">Расчет доходов январь 2019 - Таланцев </t>
  </si>
  <si>
    <t>Расчет доходов январь 2019- Кугаевский</t>
  </si>
  <si>
    <t>Расчет доходов январь-2019-Того</t>
  </si>
  <si>
    <t>Расчет доходов январь 2019-Морозова</t>
  </si>
  <si>
    <t>Расчет доходов январь 2019 - Кугаевский</t>
  </si>
  <si>
    <t>Расчет доходов январь-2019 - Харченко</t>
  </si>
  <si>
    <t>Расчет доходов февраль-2019 - Шевченко</t>
  </si>
  <si>
    <t xml:space="preserve">Расчет доходов февраль 2019 - Таланцев </t>
  </si>
  <si>
    <t>Расчет доходов февраль-2019 - Харченко</t>
  </si>
  <si>
    <t>Расчет доходов февраль 2019-Морозова</t>
  </si>
  <si>
    <t>Расчет доходов февраль 2019-Кырова</t>
  </si>
  <si>
    <t>Расчет доходов февраль 2019 - Кугаевский</t>
  </si>
  <si>
    <t>Расчет доходов февраль-2019-Того</t>
  </si>
  <si>
    <t>Расчет доходов февраль 2019-Левина</t>
  </si>
  <si>
    <t>Расчет доходов февраль 2019- Кугаевский</t>
  </si>
  <si>
    <t>Расчет доходов март-2019 - Шевченко</t>
  </si>
  <si>
    <t xml:space="preserve">Расчет доходов март 2019 - Таланцев </t>
  </si>
  <si>
    <t>Расчет доходов март 2019-Кырова</t>
  </si>
  <si>
    <t>Расчет доходов март-2019-Того</t>
  </si>
  <si>
    <t>Расчет доходов март-2019 - Харченко</t>
  </si>
  <si>
    <t>Расчет доходов март 2019- Кугаевский</t>
  </si>
  <si>
    <t>Расчет доходов март 2019-Левина</t>
  </si>
  <si>
    <t>Расчет доходов март 2019-Морозова</t>
  </si>
  <si>
    <t>Расчет доходов март 2019 - Кугаевский</t>
  </si>
  <si>
    <t>Расчет доходов февраль 2019 - Евдосеева И.С.</t>
  </si>
  <si>
    <t>Расчет доходов март 2019 - Евдосеева И.С.</t>
  </si>
  <si>
    <t>Расчет доходов апрель 2019- Кугаевский</t>
  </si>
  <si>
    <t>Расчет доходов апрель 2019-Левина</t>
  </si>
  <si>
    <t>Расчет доходов апрель-2019-Того</t>
  </si>
  <si>
    <t>Расчет доходов апрель 2019 - Кугаевский</t>
  </si>
  <si>
    <t>Расчет доходов апрель 2019-Кырова</t>
  </si>
  <si>
    <t>Расчет доходов апрель 2019-Морозова</t>
  </si>
  <si>
    <t>Расчет доходов апрель-2019 - Харченко</t>
  </si>
  <si>
    <t>Расчет доходов апрель-2019 - Шевченко</t>
  </si>
  <si>
    <t xml:space="preserve">Расчет доходов апрель 2019 - Таланцев </t>
  </si>
  <si>
    <t>Расчет доходов май-2019-Добуляк</t>
  </si>
  <si>
    <t>Расчет доходов май-2019 - Шевченко ( 1 группа)</t>
  </si>
  <si>
    <t>Расчет доходов май-2019 - Шевченко (2 группа)</t>
  </si>
  <si>
    <t>Клей</t>
  </si>
  <si>
    <t>Цветная бумага</t>
  </si>
  <si>
    <t>Цветная гофрированная бумага</t>
  </si>
  <si>
    <t>Стоимость в неделю                  (2 занятия)</t>
  </si>
  <si>
    <t>Л.Ю. Шевченко</t>
  </si>
  <si>
    <t>Надувной волейбол</t>
  </si>
  <si>
    <t>Украшения зала (шары, флажки, растяжки, мыльные пузыри)</t>
  </si>
  <si>
    <t>Сувенирная продукция детям</t>
  </si>
  <si>
    <t>Дополнительная общеразвивающая программа «Веселые ладошки»</t>
  </si>
  <si>
    <t>Краски</t>
  </si>
  <si>
    <t>Дополнительная общеразвивающая программа «Занимательная логика»</t>
  </si>
  <si>
    <t>Тетради</t>
  </si>
  <si>
    <t>Программно-аппаратный комплекс "Колибри"</t>
  </si>
  <si>
    <t>Дополнительная общеразвивающая программа «Юный Эйнштейн»</t>
  </si>
  <si>
    <t>Цифровая лаборатория "НАУРАША в стране Наурандии"</t>
  </si>
  <si>
    <t>Дополнительная общеразвивающая программа «Юный гончар»</t>
  </si>
  <si>
    <t>Натуральная глина Фантазер, Гончар, Свеча, Лесная сказка</t>
  </si>
  <si>
    <t>Набор для творчества "Гончар", "Вазы" (гончарный круг с мотором, глина)</t>
  </si>
  <si>
    <t>Система интенсивного развития способностей</t>
  </si>
  <si>
    <t>должностной оклад</t>
  </si>
  <si>
    <t>должностной  оклад</t>
  </si>
  <si>
    <t>Расчет доходов сентябрь-2019 - Шевченко (2 группа)</t>
  </si>
  <si>
    <t>Расчет доходов сентябрь 2019-Кырова</t>
  </si>
  <si>
    <t>Расчет доходов сентябрь 2019- Кугаевский</t>
  </si>
  <si>
    <t>Расчет доходов сентябрь-2019-Того</t>
  </si>
  <si>
    <t>Расчет доходов сентябрь 2019 - Кугаевский</t>
  </si>
  <si>
    <t>Расчет доходов сентябрь-2019-Кугаевская</t>
  </si>
  <si>
    <t>Расчет доходов сентябрь 2019 - Волкова</t>
  </si>
  <si>
    <t>Расчет доходов сентябрь-2019-Брухан</t>
  </si>
  <si>
    <t>Расчет доходов сентябрь 2019-Левина</t>
  </si>
  <si>
    <t xml:space="preserve">Расчет доходов сентябрь 2019 - Таланцев </t>
  </si>
  <si>
    <t>Расчет доходов октябрь-2019 - Харченко (1 группа)</t>
  </si>
  <si>
    <t>Расчет доходов октябрь-2019 - Харченко (2 группа)</t>
  </si>
  <si>
    <t>Расчет доходов октябрь-2019-Того</t>
  </si>
  <si>
    <t>Расчет доходов октябрь-2019 - Щеглова Н.В.</t>
  </si>
  <si>
    <t>Расчет доходов октябрь 2019 -Овсейчук</t>
  </si>
  <si>
    <t>Расчет доходов октябрь-2019-Морозова Э.Э.</t>
  </si>
  <si>
    <t>Расчет доходов октябрь - 2019-Морозова Э.Э.</t>
  </si>
  <si>
    <t>Расчет доходов октябрь 2019-Левина</t>
  </si>
  <si>
    <t>Расчет доходов октябрь 2019-Кырова</t>
  </si>
  <si>
    <t>Расчет доходов октябрь 2019- Кугаевский</t>
  </si>
  <si>
    <t>Расчет доходов октябрь 2019 - Кугаевский</t>
  </si>
  <si>
    <t>Расчет доходов октябрь-2019-Кугаевская</t>
  </si>
  <si>
    <t>Расчет доходов октябрь-2019-Брухан</t>
  </si>
  <si>
    <t>Расчет доходов октябрь-2019-Добуляк</t>
  </si>
  <si>
    <t>Расчет доходов октябрь-2019-Кекенджинова</t>
  </si>
  <si>
    <t>Расчет доходов октябрь 2019 - Волкова</t>
  </si>
  <si>
    <t>Расчет доходов октябрь 2019 - Евдосеева</t>
  </si>
  <si>
    <t xml:space="preserve">Расчет доходов октябрь 2019 - Таланцев </t>
  </si>
  <si>
    <t xml:space="preserve">Расчет доходов октябрь-2019 - Шевченко </t>
  </si>
  <si>
    <t>Расчет доходов ноябрь-2019-Того</t>
  </si>
  <si>
    <t xml:space="preserve">Расчет доходов ноябрь-2019 - Шевченко </t>
  </si>
  <si>
    <t>Расчет доходов ноябрь 2019- Кугаевский</t>
  </si>
  <si>
    <t>Расчет доходов ноябрь 2019 - Кугаевский</t>
  </si>
  <si>
    <t>Расчет доходов ноябрь-2019-Кугаевская</t>
  </si>
  <si>
    <t>Расчет доходов ноябрь 2019-Левина</t>
  </si>
  <si>
    <t>Расчет доходов ноябрь-2019-Брухан</t>
  </si>
  <si>
    <t>Расчет доходов ноябрь-2019 - Щеглова Н.В.</t>
  </si>
  <si>
    <t>Расчет доходов ноябрь 2019 - Волкова</t>
  </si>
  <si>
    <t>Расчет доходов ноябрь-2019-Добуляк</t>
  </si>
  <si>
    <t>Расчет доходов ноябрь-2019-Кекенджинова</t>
  </si>
  <si>
    <t xml:space="preserve">Расчет доходов ноябрь 2019 - Таланцев </t>
  </si>
  <si>
    <t>Расчет доходов ноябрь-2019-Морозова Э.Э.</t>
  </si>
  <si>
    <t>Расчет доходов ноябрь 2019-Кырова</t>
  </si>
  <si>
    <t xml:space="preserve">Расчет доходов ноябрь-2019 - Харченко </t>
  </si>
  <si>
    <t>Евдосеева</t>
  </si>
  <si>
    <t>(организатор)</t>
  </si>
  <si>
    <t>\</t>
  </si>
  <si>
    <t>Чепчик для плавания</t>
  </si>
  <si>
    <t>Подгузник для плавания</t>
  </si>
  <si>
    <t>Жилет для плавания</t>
  </si>
  <si>
    <t>Расчет доходов декабрь 2019-Левина</t>
  </si>
  <si>
    <t>Расчет доходов декабрь-2019 - Щеглова Н.В.</t>
  </si>
  <si>
    <t>Расчет доходов декабрь 2019 - Волкова</t>
  </si>
  <si>
    <t>Расчет доходов декабрь-2019-Добуляк</t>
  </si>
  <si>
    <t>Расчет доходов декабрь - 2019-Морозова Э.Э.</t>
  </si>
  <si>
    <t>Расчет доходов декабрь 2019-Кырова</t>
  </si>
  <si>
    <t>Расчет доходов декабрь-2019-Морозова Э.Э.</t>
  </si>
  <si>
    <t xml:space="preserve">Расчет доходов декабрь-2019 - Шевченко </t>
  </si>
  <si>
    <t>Расчет доходов декабрь-2019-Брухан</t>
  </si>
  <si>
    <t>Расчет доходов декабрь 2019- Кугаевский</t>
  </si>
  <si>
    <t>Расчет доходов декабрь 2019 - Кугаевский</t>
  </si>
  <si>
    <t>Расчет доходов декабрь-2019-Того</t>
  </si>
  <si>
    <t xml:space="preserve">Расчет доходов декабрь 2019 - Таланцев </t>
  </si>
  <si>
    <t>Расчет доходов декабрь 2019 -Овсейчук</t>
  </si>
  <si>
    <t xml:space="preserve">Расчет доходов январь-2020 - Харченко </t>
  </si>
  <si>
    <t>Расчет доходов январь 2020 -Арманова</t>
  </si>
  <si>
    <t>Расчет доходов январь 2020-Кырова</t>
  </si>
  <si>
    <t>Расчет доходов январь 2020 - Волкова</t>
  </si>
  <si>
    <t>Расчет доходов январь 2020 - Кугаевский</t>
  </si>
  <si>
    <t>Расчет доходов январь - 2020-Морозова Э.Э.</t>
  </si>
  <si>
    <t>Расчет доходов январь 2020- Кугаевский</t>
  </si>
  <si>
    <t>Расчет доходов январь-2020 - Щеглова Н.В.</t>
  </si>
  <si>
    <t xml:space="preserve">Расчет доходов январь 2020 - Таланцев </t>
  </si>
  <si>
    <t xml:space="preserve">Расчет доходов январь-2020 - Шевченко </t>
  </si>
  <si>
    <t>Расчет доходов январь-2020-Морозова Э.Э.</t>
  </si>
  <si>
    <t>Расчет доходов январь-2020-Кугаевская</t>
  </si>
  <si>
    <t>дополнительная общеразвивающая программа «АБВГДейка»</t>
  </si>
  <si>
    <t>января</t>
  </si>
  <si>
    <t xml:space="preserve">Ручка шариковая </t>
  </si>
  <si>
    <t>Конструктор "Сказочные и исторические персонажи"</t>
  </si>
  <si>
    <t>и.о. ФИО организатора</t>
  </si>
  <si>
    <t>Расчет для заключения договоров за 2 полугодие 2019-2020 учебного года  (с 09.01.2020-31.05.2020)</t>
  </si>
  <si>
    <t>14 сад</t>
  </si>
  <si>
    <t>Стоимость в неделю                  (1 занятие)</t>
  </si>
  <si>
    <t>Стоимость в месяц            (4 занятия)</t>
  </si>
  <si>
    <t>АБВГДейка</t>
  </si>
  <si>
    <t>З.Н. Басангова</t>
  </si>
  <si>
    <t>Д.В. Арманова</t>
  </si>
  <si>
    <t>Step by step</t>
  </si>
  <si>
    <t xml:space="preserve">С.В. Яковлева </t>
  </si>
  <si>
    <t xml:space="preserve">Расчет доходов февраль-2020 - Харченко </t>
  </si>
  <si>
    <t xml:space="preserve">Расчет доходов февраль-2020 - Шевченко </t>
  </si>
  <si>
    <t>Расчет доходов февраль-2020-Кугаевская</t>
  </si>
  <si>
    <t>Расчет доходов февраль 2020 -Овсейчук</t>
  </si>
  <si>
    <t>Расчет доходов февраль-2020 - Яковлева С.В.</t>
  </si>
  <si>
    <t>Расчет доходов февраль-2020-Морозова Э.Э.</t>
  </si>
  <si>
    <t>Расчет доходов февраль 2020-Кырова</t>
  </si>
  <si>
    <t>Расчет доходов февраль-2020-Кекенджинова</t>
  </si>
  <si>
    <t>Расчет доходов февраль 2020 -Осколкова</t>
  </si>
  <si>
    <t>Расчет доходов февраль 2020- Кугаевский</t>
  </si>
  <si>
    <t>Расчет доходов февральь 2020 - Кугаевский</t>
  </si>
  <si>
    <t>Расчет доходов февраль 2020 - Волкова</t>
  </si>
  <si>
    <t>Расчет доходов февраль 2020-Басангова</t>
  </si>
  <si>
    <t xml:space="preserve">Расчет доходов февраль 2020 - Таланцев </t>
  </si>
  <si>
    <t>Расчет доходов февраль-2020 - Щеглова Н.В.</t>
  </si>
  <si>
    <t>Расчет доходов март 2020-Басангова</t>
  </si>
  <si>
    <t>Расчет доходов март 2020-Кырова</t>
  </si>
  <si>
    <t>Расчет доходов март 2020- Кугаевский</t>
  </si>
  <si>
    <t>Расчет доходов март-2020-Добуляк</t>
  </si>
  <si>
    <t>Расчет доходов март 2020 - Волкова</t>
  </si>
  <si>
    <t>Расчет доходов март-2020 - Яковлева С.В.</t>
  </si>
  <si>
    <t xml:space="preserve">Расчет доходов март-2020 - Шевченко </t>
  </si>
  <si>
    <t>Расчет доходов март-2020-Кугаевская</t>
  </si>
  <si>
    <t>Расчет доходов март 2020 -Осколкова</t>
  </si>
  <si>
    <t>Расчет доходов март 2020 -Овсейчук</t>
  </si>
  <si>
    <t>Расчет доходов март-2020 - Щеглова Н.В.</t>
  </si>
  <si>
    <t>Расчет доходов март-2020-Морозова Э.Э.</t>
  </si>
  <si>
    <t xml:space="preserve">Расчет доходов март 2020 - Таланцев </t>
  </si>
  <si>
    <t>Расчет доходов март 2020 - Кугаевский</t>
  </si>
  <si>
    <t>Расчет доходов март - 2020-Морозова Э.Э.</t>
  </si>
  <si>
    <t>Расчет доходов март 2020-Левина</t>
  </si>
  <si>
    <t>Клеенка, фартуки</t>
  </si>
  <si>
    <t>Салфетки</t>
  </si>
  <si>
    <t>дополнительная общеразвивающая программа "Джунгли зовут"</t>
  </si>
  <si>
    <t>(Районный коэффициент и северная надбавка)</t>
  </si>
  <si>
    <t>дополнительная общеразвивающая программа «СИРС»</t>
  </si>
  <si>
    <t>И.о. заведующего МБДОУ №14"Улыбка"</t>
  </si>
  <si>
    <t>Приказ № _______ от________</t>
  </si>
  <si>
    <t xml:space="preserve">   </t>
  </si>
  <si>
    <t>Стоимость в месяц       (4 занятия)</t>
  </si>
  <si>
    <t>Стоимость в месяц                              (8 занятий)</t>
  </si>
  <si>
    <t>Стоимость в месяц                                  (4 занятия)</t>
  </si>
  <si>
    <t>Стоимость в неделю                           (1 занятие)</t>
  </si>
  <si>
    <t>Стоимость в месяц                            (8 занятий)</t>
  </si>
  <si>
    <t>Стоимость в неделю                          (2 занятия)</t>
  </si>
  <si>
    <t>Стоимость в месяц                          (4 занятия)</t>
  </si>
  <si>
    <t>Стоимость в неделю                       (1 занятие)</t>
  </si>
  <si>
    <t>Стоимость в месяц                           (8 занятий)</t>
  </si>
  <si>
    <t>Стоимость в неделю                         (2 занятия)</t>
  </si>
  <si>
    <t>Расчет доходов октябрь 2020 -Осколкова</t>
  </si>
  <si>
    <t>Расчет доходов декабрь 2020 -Осколкова</t>
  </si>
  <si>
    <t>Расчет доходов декабрь 2020 -Овсейчук</t>
  </si>
  <si>
    <t>Расчет доходов январь 2021 -Овсейчук</t>
  </si>
  <si>
    <t>февраля</t>
  </si>
  <si>
    <t>Стоимость в неделю                     (2 занятия)</t>
  </si>
  <si>
    <t>Стоимость в месяц                             (8 занятий)</t>
  </si>
  <si>
    <t>Приказ № 13-о  от 28.01.2021 г.</t>
  </si>
  <si>
    <t>Приказ № 13-о  от  28.01.2021 г.</t>
  </si>
  <si>
    <t>Приказ № 13-о от 28.01.2021 г.</t>
  </si>
  <si>
    <t>Приказ № 13-о от 28.01.2021</t>
  </si>
  <si>
    <t>Расчет доходов февраль 2021 -Овсейчук</t>
  </si>
  <si>
    <t>Расчет доходов февраль-2021 - Шевченко 1 группа</t>
  </si>
  <si>
    <t>Расчет доходов февраль-2021 - Шевченко 2 группа</t>
  </si>
  <si>
    <t>Расчет доходов февраль-2021-Кугаевская</t>
  </si>
  <si>
    <t>Расчет доходов февраль-2021-Максарова О.А.</t>
  </si>
  <si>
    <t>Расчет доходов февраль 2021- Кугаевский</t>
  </si>
  <si>
    <t>Расчет доходов февраль 2021 - Кугаевский</t>
  </si>
  <si>
    <t>Расчет доходов февраль-2021 - Щеглова Н.В.</t>
  </si>
  <si>
    <t>Расчет доходов февраль-2021 - Харченко 1 группа</t>
  </si>
  <si>
    <t>Расчет доходов февраль-2021 - Харченко 2 группа</t>
  </si>
  <si>
    <t xml:space="preserve">Расчет доходов февраль-2021 - Харченко </t>
  </si>
  <si>
    <t>Расчет доходов февраль 2021-Левина</t>
  </si>
  <si>
    <t>Дополнительная общеразвивающая программа "Дельфин"</t>
  </si>
  <si>
    <t>апреля</t>
  </si>
  <si>
    <t>Г.В.Тихонова</t>
  </si>
  <si>
    <t>Руководитель группы экономистов</t>
  </si>
  <si>
    <t>Оказание услуг медицинского работника</t>
  </si>
  <si>
    <t>Ст-ть часа</t>
  </si>
  <si>
    <t>Количество обучающихся</t>
  </si>
  <si>
    <t xml:space="preserve">    УТВЕРЖДЕНО:</t>
  </si>
  <si>
    <r>
      <t xml:space="preserve">Приказ от  </t>
    </r>
    <r>
      <rPr>
        <u/>
        <sz val="11"/>
        <color indexed="8"/>
        <rFont val="Times New Roman"/>
        <family val="1"/>
        <charset val="204"/>
      </rPr>
      <t xml:space="preserve">         ___________</t>
    </r>
    <r>
      <rPr>
        <sz val="11"/>
        <color indexed="8"/>
        <rFont val="Times New Roman"/>
        <family val="1"/>
        <charset val="204"/>
      </rPr>
      <t xml:space="preserve">  №</t>
    </r>
  </si>
  <si>
    <t>МАДОУ Детский сад № 6 "Журавушка"</t>
  </si>
  <si>
    <t xml:space="preserve"> ________________         Е.А. Вахрушева</t>
  </si>
  <si>
    <t>дополнительная общеразвивающая программа "Капитошка" для детей группы компенсирующей направленности.</t>
  </si>
  <si>
    <r>
      <t>ФОТ пед. перс.</t>
    </r>
    <r>
      <rPr>
        <sz val="9"/>
        <color indexed="8"/>
        <rFont val="Times New Roman"/>
        <family val="1"/>
        <charset val="204"/>
      </rPr>
      <t xml:space="preserve"> х </t>
    </r>
  </si>
  <si>
    <t xml:space="preserve">Педагог доп. образования     </t>
  </si>
  <si>
    <t>Нудл</t>
  </si>
  <si>
    <t>Соединитель для нудлов</t>
  </si>
  <si>
    <t>Доска для плавания</t>
  </si>
  <si>
    <t>Надувной круг для детей</t>
  </si>
  <si>
    <t>Надувной мяч для бассейна</t>
  </si>
  <si>
    <t>Нарукавники</t>
  </si>
  <si>
    <t>Игрушки для бассейна "Кораблик"</t>
  </si>
  <si>
    <t xml:space="preserve">Стоимость 1 занятия </t>
  </si>
  <si>
    <t>Стоимость в неделю                                                                                                                   (1 занятие)</t>
  </si>
  <si>
    <t>Стоимость в месяц                         (4 занятия)</t>
  </si>
  <si>
    <t>Заведующий МАДОУ Детский сад № 6 "Журавушка"</t>
  </si>
  <si>
    <t>Е.А. Вахрушева</t>
  </si>
  <si>
    <t>Экономист ПЭО</t>
  </si>
  <si>
    <t>Е.С. Канева</t>
  </si>
  <si>
    <t>Расчет доходов октябрь 2019 г.  Буторина В.В.</t>
  </si>
  <si>
    <t>Расчет доходов ноябрь 2019 г.  Буторина В.В.</t>
  </si>
  <si>
    <t>Расчет доходов декабрь 2019 г.  Буторина В.В.</t>
  </si>
  <si>
    <t>Расчет доходов январь  Буторина В.В.</t>
  </si>
  <si>
    <t>Расчет доходов февраль  Буторина В.В.</t>
  </si>
  <si>
    <t>Расчет доходов октябрь 2020  Буторина В.В.</t>
  </si>
  <si>
    <t>Расчет доходов ноябрь 2020  Буторина В.В.</t>
  </si>
  <si>
    <t>Расчет доходов декабрь 2020  Буторина В.В.</t>
  </si>
  <si>
    <t>Расчет доходов январь 2021  Буторина В.В.</t>
  </si>
  <si>
    <t>Расчет доходов февраль 2021  Буторина В.В.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</si>
</sst>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_р_._-;\-* #,##0.00_р_._-;_-* &quot;-&quot;??_р_._-;_-@_-"/>
    <numFmt numFmtId="165" formatCode="#,##0.00_р_."/>
  </numFmts>
  <fonts count="24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"/>
      <color indexed="1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11"/>
      <color indexed="8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164" fontId="18" fillId="0" borderId="0" applyFont="0" applyFill="0" applyBorder="0" applyAlignment="0" applyProtection="0"/>
  </cellStyleXfs>
  <cellXfs count="1674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0" xfId="0" applyFont="1" applyBorder="1"/>
    <xf numFmtId="0" fontId="3" fillId="0" borderId="0" xfId="0" applyFont="1"/>
    <xf numFmtId="0" fontId="2" fillId="0" borderId="0" xfId="0" applyFont="1"/>
    <xf numFmtId="0" fontId="2" fillId="0" borderId="0" xfId="0" applyFont="1" applyBorder="1" applyAlignment="1"/>
    <xf numFmtId="0" fontId="4" fillId="0" borderId="0" xfId="0" applyFont="1"/>
    <xf numFmtId="0" fontId="4" fillId="0" borderId="0" xfId="0" applyFont="1" applyBorder="1" applyAlignment="1"/>
    <xf numFmtId="0" fontId="4" fillId="0" borderId="0" xfId="0" applyFont="1" applyBorder="1"/>
    <xf numFmtId="0" fontId="3" fillId="0" borderId="0" xfId="0" applyFont="1" applyBorder="1"/>
    <xf numFmtId="165" fontId="3" fillId="0" borderId="0" xfId="0" applyNumberFormat="1" applyFont="1"/>
    <xf numFmtId="0" fontId="3" fillId="0" borderId="0" xfId="0" applyFont="1" applyBorder="1" applyAlignment="1">
      <alignment vertical="center"/>
    </xf>
    <xf numFmtId="165" fontId="3" fillId="0" borderId="0" xfId="0" applyNumberFormat="1" applyFont="1" applyBorder="1"/>
    <xf numFmtId="165" fontId="3" fillId="0" borderId="0" xfId="0" applyNumberFormat="1" applyFont="1" applyBorder="1" applyAlignment="1">
      <alignment horizontal="right"/>
    </xf>
    <xf numFmtId="165" fontId="3" fillId="0" borderId="3" xfId="0" applyNumberFormat="1" applyFont="1" applyBorder="1" applyAlignment="1"/>
    <xf numFmtId="0" fontId="4" fillId="0" borderId="2" xfId="0" applyFont="1" applyBorder="1" applyAlignment="1"/>
    <xf numFmtId="0" fontId="4" fillId="0" borderId="3" xfId="0" applyFont="1" applyBorder="1"/>
    <xf numFmtId="0" fontId="4" fillId="0" borderId="3" xfId="0" applyFont="1" applyBorder="1" applyAlignment="1"/>
    <xf numFmtId="0" fontId="4" fillId="0" borderId="5" xfId="0" applyFont="1" applyBorder="1" applyAlignment="1"/>
    <xf numFmtId="0" fontId="4" fillId="0" borderId="11" xfId="0" applyFont="1" applyBorder="1"/>
    <xf numFmtId="0" fontId="4" fillId="0" borderId="12" xfId="0" applyFont="1" applyBorder="1"/>
    <xf numFmtId="0" fontId="4" fillId="0" borderId="0" xfId="0" applyFont="1" applyBorder="1" applyAlignment="1">
      <alignment horizontal="left"/>
    </xf>
    <xf numFmtId="0" fontId="3" fillId="0" borderId="0" xfId="0" applyFont="1" applyBorder="1" applyAlignment="1"/>
    <xf numFmtId="0" fontId="4" fillId="0" borderId="7" xfId="0" applyFont="1" applyBorder="1" applyAlignment="1"/>
    <xf numFmtId="0" fontId="4" fillId="0" borderId="8" xfId="0" applyFont="1" applyBorder="1" applyAlignment="1"/>
    <xf numFmtId="0" fontId="3" fillId="0" borderId="0" xfId="0" applyFont="1" applyBorder="1" applyAlignment="1">
      <alignment horizontal="center"/>
    </xf>
    <xf numFmtId="165" fontId="3" fillId="0" borderId="0" xfId="0" applyNumberFormat="1" applyFont="1" applyBorder="1" applyAlignment="1"/>
    <xf numFmtId="1" fontId="3" fillId="0" borderId="0" xfId="0" applyNumberFormat="1" applyFont="1" applyBorder="1" applyAlignment="1"/>
    <xf numFmtId="0" fontId="3" fillId="0" borderId="6" xfId="0" applyFont="1" applyBorder="1"/>
    <xf numFmtId="0" fontId="3" fillId="0" borderId="3" xfId="0" applyFont="1" applyBorder="1"/>
    <xf numFmtId="165" fontId="3" fillId="0" borderId="6" xfId="0" applyNumberFormat="1" applyFont="1" applyBorder="1" applyAlignment="1"/>
    <xf numFmtId="165" fontId="3" fillId="0" borderId="5" xfId="0" applyNumberFormat="1" applyFont="1" applyBorder="1" applyAlignment="1"/>
    <xf numFmtId="165" fontId="3" fillId="0" borderId="8" xfId="0" applyNumberFormat="1" applyFont="1" applyBorder="1" applyAlignment="1"/>
    <xf numFmtId="165" fontId="3" fillId="0" borderId="9" xfId="0" applyNumberFormat="1" applyFont="1" applyBorder="1"/>
    <xf numFmtId="165" fontId="3" fillId="0" borderId="9" xfId="0" applyNumberFormat="1" applyFont="1" applyBorder="1" applyAlignment="1">
      <alignment horizontal="right"/>
    </xf>
    <xf numFmtId="165" fontId="3" fillId="0" borderId="33" xfId="0" applyNumberFormat="1" applyFont="1" applyBorder="1"/>
    <xf numFmtId="165" fontId="3" fillId="0" borderId="1" xfId="0" applyNumberFormat="1" applyFont="1" applyBorder="1"/>
    <xf numFmtId="165" fontId="3" fillId="0" borderId="36" xfId="0" applyNumberFormat="1" applyFont="1" applyBorder="1" applyAlignment="1"/>
    <xf numFmtId="0" fontId="3" fillId="0" borderId="9" xfId="0" applyFont="1" applyBorder="1"/>
    <xf numFmtId="165" fontId="3" fillId="0" borderId="9" xfId="0" applyNumberFormat="1" applyFont="1" applyBorder="1" applyAlignment="1"/>
    <xf numFmtId="165" fontId="3" fillId="0" borderId="14" xfId="0" applyNumberFormat="1" applyFont="1" applyBorder="1"/>
    <xf numFmtId="165" fontId="3" fillId="0" borderId="12" xfId="0" applyNumberFormat="1" applyFont="1" applyBorder="1"/>
    <xf numFmtId="165" fontId="3" fillId="0" borderId="12" xfId="0" applyNumberFormat="1" applyFont="1" applyBorder="1" applyAlignment="1"/>
    <xf numFmtId="165" fontId="3" fillId="0" borderId="13" xfId="0" applyNumberFormat="1" applyFont="1" applyBorder="1" applyAlignment="1"/>
    <xf numFmtId="10" fontId="4" fillId="0" borderId="0" xfId="0" applyNumberFormat="1" applyFont="1" applyBorder="1" applyAlignment="1">
      <alignment horizontal="center"/>
    </xf>
    <xf numFmtId="0" fontId="2" fillId="0" borderId="16" xfId="0" applyFont="1" applyBorder="1" applyAlignment="1"/>
    <xf numFmtId="0" fontId="2" fillId="0" borderId="17" xfId="0" applyFont="1" applyBorder="1" applyAlignment="1"/>
    <xf numFmtId="0" fontId="2" fillId="0" borderId="18" xfId="0" applyFont="1" applyBorder="1" applyAlignment="1"/>
    <xf numFmtId="0" fontId="2" fillId="0" borderId="0" xfId="0" applyFont="1" applyBorder="1" applyAlignment="1">
      <alignment horizontal="left"/>
    </xf>
    <xf numFmtId="165" fontId="2" fillId="0" borderId="0" xfId="0" applyNumberFormat="1" applyFont="1" applyBorder="1" applyAlignment="1">
      <alignment horizontal="center"/>
    </xf>
    <xf numFmtId="0" fontId="3" fillId="0" borderId="1" xfId="0" applyFont="1" applyBorder="1"/>
    <xf numFmtId="0" fontId="5" fillId="0" borderId="0" xfId="0" applyFont="1"/>
    <xf numFmtId="0" fontId="6" fillId="0" borderId="0" xfId="0" applyFont="1"/>
    <xf numFmtId="0" fontId="7" fillId="0" borderId="0" xfId="0" applyFont="1"/>
    <xf numFmtId="0" fontId="2" fillId="3" borderId="0" xfId="0" applyFont="1" applyFill="1"/>
    <xf numFmtId="0" fontId="2" fillId="3" borderId="0" xfId="0" applyFont="1" applyFill="1" applyBorder="1" applyAlignment="1"/>
    <xf numFmtId="0" fontId="3" fillId="3" borderId="0" xfId="0" applyFont="1" applyFill="1"/>
    <xf numFmtId="165" fontId="3" fillId="3" borderId="9" xfId="0" applyNumberFormat="1" applyFont="1" applyFill="1" applyBorder="1" applyAlignment="1">
      <alignment horizontal="right" vertical="center"/>
    </xf>
    <xf numFmtId="165" fontId="3" fillId="3" borderId="33" xfId="0" applyNumberFormat="1" applyFont="1" applyFill="1" applyBorder="1" applyAlignment="1">
      <alignment vertical="center"/>
    </xf>
    <xf numFmtId="165" fontId="3" fillId="3" borderId="36" xfId="0" applyNumberFormat="1" applyFont="1" applyFill="1" applyBorder="1" applyAlignment="1">
      <alignment vertical="center"/>
    </xf>
    <xf numFmtId="0" fontId="8" fillId="0" borderId="0" xfId="0" applyFont="1"/>
    <xf numFmtId="165" fontId="3" fillId="0" borderId="0" xfId="0" applyNumberFormat="1" applyFont="1" applyBorder="1" applyAlignment="1">
      <alignment vertical="center"/>
    </xf>
    <xf numFmtId="165" fontId="3" fillId="0" borderId="8" xfId="0" applyNumberFormat="1" applyFont="1" applyBorder="1" applyAlignment="1">
      <alignment vertical="center"/>
    </xf>
    <xf numFmtId="165" fontId="3" fillId="0" borderId="9" xfId="0" applyNumberFormat="1" applyFont="1" applyBorder="1" applyAlignment="1">
      <alignment vertical="center"/>
    </xf>
    <xf numFmtId="165" fontId="3" fillId="0" borderId="33" xfId="0" applyNumberFormat="1" applyFont="1" applyBorder="1" applyAlignment="1">
      <alignment vertical="center"/>
    </xf>
    <xf numFmtId="165" fontId="3" fillId="0" borderId="1" xfId="0" applyNumberFormat="1" applyFont="1" applyBorder="1" applyAlignment="1">
      <alignment vertical="center"/>
    </xf>
    <xf numFmtId="165" fontId="3" fillId="0" borderId="36" xfId="0" applyNumberFormat="1" applyFont="1" applyBorder="1" applyAlignment="1">
      <alignment vertical="center"/>
    </xf>
    <xf numFmtId="3" fontId="3" fillId="2" borderId="33" xfId="0" applyNumberFormat="1" applyFont="1" applyFill="1" applyBorder="1" applyAlignment="1">
      <alignment vertical="center"/>
    </xf>
    <xf numFmtId="3" fontId="3" fillId="2" borderId="1" xfId="0" applyNumberFormat="1" applyFont="1" applyFill="1" applyBorder="1" applyAlignment="1">
      <alignment vertical="center"/>
    </xf>
    <xf numFmtId="3" fontId="3" fillId="2" borderId="36" xfId="0" applyNumberFormat="1" applyFont="1" applyFill="1" applyBorder="1" applyAlignment="1">
      <alignment vertical="center"/>
    </xf>
    <xf numFmtId="3" fontId="3" fillId="0" borderId="33" xfId="0" applyNumberFormat="1" applyFont="1" applyBorder="1" applyAlignment="1">
      <alignment vertical="center"/>
    </xf>
    <xf numFmtId="3" fontId="3" fillId="0" borderId="1" xfId="0" applyNumberFormat="1" applyFont="1" applyBorder="1" applyAlignment="1">
      <alignment vertical="center"/>
    </xf>
    <xf numFmtId="3" fontId="3" fillId="0" borderId="36" xfId="0" applyNumberFormat="1" applyFont="1" applyBorder="1" applyAlignment="1">
      <alignment vertical="center"/>
    </xf>
    <xf numFmtId="3" fontId="3" fillId="2" borderId="9" xfId="0" applyNumberFormat="1" applyFont="1" applyFill="1" applyBorder="1" applyAlignment="1">
      <alignment vertical="center"/>
    </xf>
    <xf numFmtId="3" fontId="3" fillId="2" borderId="0" xfId="0" applyNumberFormat="1" applyFont="1" applyFill="1" applyBorder="1" applyAlignment="1">
      <alignment vertical="center"/>
    </xf>
    <xf numFmtId="3" fontId="3" fillId="2" borderId="8" xfId="0" applyNumberFormat="1" applyFont="1" applyFill="1" applyBorder="1" applyAlignment="1">
      <alignment vertical="center"/>
    </xf>
    <xf numFmtId="3" fontId="3" fillId="0" borderId="9" xfId="0" applyNumberFormat="1" applyFont="1" applyBorder="1" applyAlignment="1">
      <alignment vertical="center"/>
    </xf>
    <xf numFmtId="3" fontId="3" fillId="0" borderId="0" xfId="0" applyNumberFormat="1" applyFont="1" applyBorder="1" applyAlignment="1">
      <alignment vertical="center"/>
    </xf>
    <xf numFmtId="3" fontId="3" fillId="0" borderId="8" xfId="0" applyNumberFormat="1" applyFont="1" applyBorder="1" applyAlignment="1">
      <alignment vertical="center"/>
    </xf>
    <xf numFmtId="9" fontId="4" fillId="3" borderId="25" xfId="0" applyNumberFormat="1" applyFont="1" applyFill="1" applyBorder="1" applyAlignment="1">
      <alignment horizontal="center" wrapText="1"/>
    </xf>
    <xf numFmtId="0" fontId="1" fillId="3" borderId="0" xfId="0" applyFont="1" applyFill="1"/>
    <xf numFmtId="0" fontId="10" fillId="0" borderId="0" xfId="0" applyFont="1" applyFill="1" applyBorder="1"/>
    <xf numFmtId="0" fontId="1" fillId="0" borderId="0" xfId="0" applyFont="1" applyFill="1" applyAlignment="1">
      <alignment horizontal="center"/>
    </xf>
    <xf numFmtId="165" fontId="3" fillId="0" borderId="0" xfId="0" applyNumberFormat="1" applyFont="1" applyFill="1" applyBorder="1" applyAlignment="1">
      <alignment vertical="center"/>
    </xf>
    <xf numFmtId="165" fontId="3" fillId="0" borderId="8" xfId="0" applyNumberFormat="1" applyFont="1" applyFill="1" applyBorder="1" applyAlignment="1">
      <alignment vertical="center"/>
    </xf>
    <xf numFmtId="165" fontId="3" fillId="0" borderId="9" xfId="0" applyNumberFormat="1" applyFont="1" applyFill="1" applyBorder="1" applyAlignment="1">
      <alignment vertical="center"/>
    </xf>
    <xf numFmtId="4" fontId="3" fillId="0" borderId="0" xfId="0" applyNumberFormat="1" applyFont="1"/>
    <xf numFmtId="0" fontId="3" fillId="3" borderId="9" xfId="0" applyFont="1" applyFill="1" applyBorder="1" applyAlignment="1"/>
    <xf numFmtId="0" fontId="3" fillId="3" borderId="8" xfId="0" applyFont="1" applyFill="1" applyBorder="1" applyAlignment="1"/>
    <xf numFmtId="0" fontId="3" fillId="3" borderId="0" xfId="0" applyFont="1" applyFill="1" applyBorder="1" applyAlignment="1"/>
    <xf numFmtId="0" fontId="9" fillId="0" borderId="0" xfId="0" applyFont="1"/>
    <xf numFmtId="0" fontId="3" fillId="0" borderId="6" xfId="0" applyFont="1" applyFill="1" applyBorder="1"/>
    <xf numFmtId="0" fontId="3" fillId="0" borderId="3" xfId="0" applyFont="1" applyFill="1" applyBorder="1"/>
    <xf numFmtId="165" fontId="3" fillId="0" borderId="6" xfId="0" applyNumberFormat="1" applyFont="1" applyFill="1" applyBorder="1" applyAlignment="1"/>
    <xf numFmtId="165" fontId="3" fillId="0" borderId="3" xfId="0" applyNumberFormat="1" applyFont="1" applyFill="1" applyBorder="1" applyAlignment="1"/>
    <xf numFmtId="165" fontId="3" fillId="0" borderId="5" xfId="0" applyNumberFormat="1" applyFont="1" applyFill="1" applyBorder="1" applyAlignment="1"/>
    <xf numFmtId="165" fontId="3" fillId="0" borderId="9" xfId="0" applyNumberFormat="1" applyFont="1" applyFill="1" applyBorder="1" applyAlignment="1">
      <alignment horizontal="right" vertical="center"/>
    </xf>
    <xf numFmtId="165" fontId="3" fillId="0" borderId="33" xfId="0" applyNumberFormat="1" applyFont="1" applyFill="1" applyBorder="1" applyAlignment="1">
      <alignment vertical="center"/>
    </xf>
    <xf numFmtId="165" fontId="3" fillId="0" borderId="36" xfId="0" applyNumberFormat="1" applyFont="1" applyFill="1" applyBorder="1" applyAlignment="1">
      <alignment vertical="center"/>
    </xf>
    <xf numFmtId="0" fontId="1" fillId="0" borderId="0" xfId="0" applyFont="1" applyFill="1"/>
    <xf numFmtId="0" fontId="1" fillId="0" borderId="0" xfId="0" applyFont="1" applyAlignment="1">
      <alignment horizontal="center"/>
    </xf>
    <xf numFmtId="165" fontId="3" fillId="3" borderId="9" xfId="0" applyNumberFormat="1" applyFont="1" applyFill="1" applyBorder="1" applyAlignment="1">
      <alignment vertical="center"/>
    </xf>
    <xf numFmtId="165" fontId="3" fillId="3" borderId="0" xfId="0" applyNumberFormat="1" applyFont="1" applyFill="1" applyBorder="1" applyAlignment="1">
      <alignment vertical="center"/>
    </xf>
    <xf numFmtId="165" fontId="3" fillId="3" borderId="8" xfId="0" applyNumberFormat="1" applyFont="1" applyFill="1" applyBorder="1" applyAlignment="1">
      <alignment vertical="center"/>
    </xf>
    <xf numFmtId="0" fontId="3" fillId="0" borderId="12" xfId="0" applyFont="1" applyBorder="1"/>
    <xf numFmtId="0" fontId="3" fillId="0" borderId="0" xfId="0" applyFont="1" applyAlignment="1"/>
    <xf numFmtId="0" fontId="2" fillId="0" borderId="0" xfId="0" applyFont="1" applyAlignment="1">
      <alignment horizontal="center"/>
    </xf>
    <xf numFmtId="165" fontId="3" fillId="0" borderId="0" xfId="0" applyNumberFormat="1" applyFont="1" applyBorder="1" applyAlignment="1">
      <alignment horizontal="left"/>
    </xf>
    <xf numFmtId="0" fontId="3" fillId="0" borderId="0" xfId="0" applyFont="1" applyBorder="1" applyAlignment="1">
      <alignment horizontal="left"/>
    </xf>
    <xf numFmtId="165" fontId="3" fillId="0" borderId="0" xfId="0" applyNumberFormat="1" applyFont="1" applyBorder="1" applyAlignment="1">
      <alignment horizontal="center"/>
    </xf>
    <xf numFmtId="165" fontId="3" fillId="0" borderId="1" xfId="0" applyNumberFormat="1" applyFont="1" applyBorder="1" applyAlignment="1"/>
    <xf numFmtId="0" fontId="2" fillId="3" borderId="0" xfId="0" applyFont="1" applyFill="1" applyAlignment="1">
      <alignment horizontal="center"/>
    </xf>
    <xf numFmtId="165" fontId="3" fillId="3" borderId="1" xfId="0" applyNumberFormat="1" applyFont="1" applyFill="1" applyBorder="1" applyAlignment="1">
      <alignment vertical="center"/>
    </xf>
    <xf numFmtId="0" fontId="4" fillId="0" borderId="0" xfId="0" applyFont="1" applyBorder="1" applyAlignment="1">
      <alignment horizontal="center"/>
    </xf>
    <xf numFmtId="165" fontId="4" fillId="0" borderId="0" xfId="0" applyNumberFormat="1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0" fontId="3" fillId="0" borderId="0" xfId="0" applyFont="1" applyFill="1"/>
    <xf numFmtId="0" fontId="2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3" fillId="0" borderId="0" xfId="0" applyNumberFormat="1" applyFont="1" applyBorder="1" applyAlignment="1">
      <alignment horizontal="left"/>
    </xf>
    <xf numFmtId="0" fontId="3" fillId="0" borderId="0" xfId="0" applyFont="1" applyBorder="1" applyAlignment="1">
      <alignment horizontal="left"/>
    </xf>
    <xf numFmtId="165" fontId="3" fillId="0" borderId="0" xfId="0" applyNumberFormat="1" applyFont="1" applyBorder="1" applyAlignment="1">
      <alignment horizontal="center"/>
    </xf>
    <xf numFmtId="165" fontId="3" fillId="0" borderId="1" xfId="0" applyNumberFormat="1" applyFont="1" applyBorder="1" applyAlignment="1"/>
    <xf numFmtId="4" fontId="4" fillId="0" borderId="0" xfId="0" applyNumberFormat="1" applyFont="1" applyBorder="1" applyAlignment="1">
      <alignment horizontal="center"/>
    </xf>
    <xf numFmtId="165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165" fontId="3" fillId="0" borderId="0" xfId="0" applyNumberFormat="1" applyFont="1" applyBorder="1" applyAlignment="1">
      <alignment horizontal="left"/>
    </xf>
    <xf numFmtId="0" fontId="3" fillId="0" borderId="0" xfId="0" applyFont="1" applyBorder="1" applyAlignment="1">
      <alignment horizontal="left"/>
    </xf>
    <xf numFmtId="165" fontId="3" fillId="0" borderId="0" xfId="0" applyNumberFormat="1" applyFont="1" applyBorder="1" applyAlignment="1">
      <alignment horizontal="center"/>
    </xf>
    <xf numFmtId="165" fontId="3" fillId="0" borderId="1" xfId="0" applyNumberFormat="1" applyFont="1" applyBorder="1" applyAlignment="1"/>
    <xf numFmtId="165" fontId="3" fillId="0" borderId="1" xfId="0" applyNumberFormat="1" applyFont="1" applyFill="1" applyBorder="1" applyAlignment="1">
      <alignment vertical="center"/>
    </xf>
    <xf numFmtId="4" fontId="4" fillId="0" borderId="0" xfId="0" applyNumberFormat="1" applyFont="1" applyBorder="1" applyAlignment="1">
      <alignment horizontal="center"/>
    </xf>
    <xf numFmtId="165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1" fillId="3" borderId="0" xfId="0" applyFont="1" applyFill="1" applyAlignment="1">
      <alignment horizontal="center"/>
    </xf>
    <xf numFmtId="0" fontId="3" fillId="8" borderId="0" xfId="0" applyFont="1" applyFill="1" applyAlignment="1"/>
    <xf numFmtId="0" fontId="3" fillId="8" borderId="0" xfId="0" applyFont="1" applyFill="1"/>
    <xf numFmtId="4" fontId="3" fillId="8" borderId="0" xfId="0" applyNumberFormat="1" applyFont="1" applyFill="1"/>
    <xf numFmtId="0" fontId="3" fillId="9" borderId="0" xfId="0" applyFont="1" applyFill="1" applyAlignment="1"/>
    <xf numFmtId="0" fontId="3" fillId="9" borderId="0" xfId="0" applyFont="1" applyFill="1"/>
    <xf numFmtId="4" fontId="3" fillId="9" borderId="0" xfId="0" applyNumberFormat="1" applyFont="1" applyFill="1"/>
    <xf numFmtId="0" fontId="0" fillId="0" borderId="0" xfId="0"/>
    <xf numFmtId="0" fontId="14" fillId="0" borderId="20" xfId="0" applyFont="1" applyBorder="1" applyAlignment="1">
      <alignment horizontal="center" vertical="center" wrapText="1"/>
    </xf>
    <xf numFmtId="0" fontId="14" fillId="0" borderId="19" xfId="0" applyFont="1" applyBorder="1"/>
    <xf numFmtId="4" fontId="14" fillId="0" borderId="19" xfId="0" applyNumberFormat="1" applyFont="1" applyBorder="1"/>
    <xf numFmtId="3" fontId="14" fillId="0" borderId="19" xfId="0" applyNumberFormat="1" applyFont="1" applyBorder="1"/>
    <xf numFmtId="0" fontId="14" fillId="0" borderId="0" xfId="0" applyFont="1"/>
    <xf numFmtId="4" fontId="14" fillId="0" borderId="0" xfId="0" applyNumberFormat="1" applyFont="1"/>
    <xf numFmtId="3" fontId="14" fillId="0" borderId="19" xfId="0" applyNumberFormat="1" applyFont="1" applyFill="1" applyBorder="1"/>
    <xf numFmtId="4" fontId="0" fillId="0" borderId="0" xfId="0" applyNumberFormat="1"/>
    <xf numFmtId="2" fontId="0" fillId="0" borderId="0" xfId="0" applyNumberFormat="1"/>
    <xf numFmtId="1" fontId="0" fillId="0" borderId="0" xfId="0" applyNumberFormat="1"/>
    <xf numFmtId="165" fontId="3" fillId="0" borderId="1" xfId="0" applyNumberFormat="1" applyFont="1" applyFill="1" applyBorder="1" applyAlignment="1">
      <alignment vertical="center"/>
    </xf>
    <xf numFmtId="0" fontId="1" fillId="0" borderId="1" xfId="0" applyFont="1" applyFill="1" applyBorder="1"/>
    <xf numFmtId="0" fontId="1" fillId="0" borderId="0" xfId="0" applyFont="1" applyFill="1" applyBorder="1"/>
    <xf numFmtId="0" fontId="2" fillId="0" borderId="0" xfId="0" applyFont="1" applyFill="1" applyAlignment="1">
      <alignment horizontal="center"/>
    </xf>
    <xf numFmtId="0" fontId="2" fillId="0" borderId="0" xfId="0" applyFont="1" applyFill="1"/>
    <xf numFmtId="0" fontId="2" fillId="0" borderId="0" xfId="0" applyFont="1" applyFill="1" applyBorder="1" applyAlignment="1"/>
    <xf numFmtId="0" fontId="4" fillId="0" borderId="0" xfId="0" applyFont="1" applyFill="1"/>
    <xf numFmtId="0" fontId="4" fillId="0" borderId="0" xfId="0" applyFont="1" applyFill="1" applyBorder="1" applyAlignment="1"/>
    <xf numFmtId="0" fontId="4" fillId="0" borderId="0" xfId="0" applyFont="1" applyFill="1" applyBorder="1"/>
    <xf numFmtId="0" fontId="3" fillId="0" borderId="0" xfId="0" applyFont="1" applyFill="1" applyBorder="1"/>
    <xf numFmtId="165" fontId="3" fillId="0" borderId="0" xfId="0" applyNumberFormat="1" applyFont="1" applyFill="1"/>
    <xf numFmtId="0" fontId="3" fillId="0" borderId="0" xfId="0" applyFont="1" applyFill="1" applyBorder="1" applyAlignment="1">
      <alignment vertical="center"/>
    </xf>
    <xf numFmtId="165" fontId="3" fillId="0" borderId="0" xfId="0" applyNumberFormat="1" applyFont="1" applyFill="1" applyBorder="1"/>
    <xf numFmtId="165" fontId="3" fillId="0" borderId="0" xfId="0" applyNumberFormat="1" applyFont="1" applyFill="1" applyBorder="1" applyAlignment="1">
      <alignment horizontal="right"/>
    </xf>
    <xf numFmtId="0" fontId="4" fillId="0" borderId="2" xfId="0" applyFont="1" applyFill="1" applyBorder="1" applyAlignment="1"/>
    <xf numFmtId="0" fontId="4" fillId="0" borderId="3" xfId="0" applyFont="1" applyFill="1" applyBorder="1"/>
    <xf numFmtId="0" fontId="4" fillId="0" borderId="3" xfId="0" applyFont="1" applyFill="1" applyBorder="1" applyAlignment="1"/>
    <xf numFmtId="0" fontId="4" fillId="0" borderId="5" xfId="0" applyFont="1" applyFill="1" applyBorder="1" applyAlignment="1"/>
    <xf numFmtId="165" fontId="3" fillId="0" borderId="0" xfId="0" applyNumberFormat="1" applyFont="1" applyFill="1" applyBorder="1" applyAlignment="1">
      <alignment horizontal="left"/>
    </xf>
    <xf numFmtId="165" fontId="3" fillId="0" borderId="0" xfId="0" applyNumberFormat="1" applyFont="1" applyFill="1" applyBorder="1" applyAlignment="1">
      <alignment horizontal="center"/>
    </xf>
    <xf numFmtId="0" fontId="4" fillId="0" borderId="11" xfId="0" applyFont="1" applyFill="1" applyBorder="1"/>
    <xf numFmtId="0" fontId="4" fillId="0" borderId="12" xfId="0" applyFont="1" applyFill="1" applyBorder="1"/>
    <xf numFmtId="0" fontId="4" fillId="0" borderId="0" xfId="0" applyFont="1" applyFill="1" applyBorder="1" applyAlignment="1">
      <alignment horizontal="left"/>
    </xf>
    <xf numFmtId="4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vertical="center"/>
    </xf>
    <xf numFmtId="3" fontId="3" fillId="0" borderId="0" xfId="0" applyNumberFormat="1" applyFont="1" applyFill="1" applyBorder="1" applyAlignment="1">
      <alignment vertical="center"/>
    </xf>
    <xf numFmtId="3" fontId="3" fillId="0" borderId="8" xfId="0" applyNumberFormat="1" applyFont="1" applyFill="1" applyBorder="1" applyAlignment="1">
      <alignment vertical="center"/>
    </xf>
    <xf numFmtId="3" fontId="3" fillId="0" borderId="33" xfId="0" applyNumberFormat="1" applyFont="1" applyFill="1" applyBorder="1" applyAlignment="1">
      <alignment vertical="center"/>
    </xf>
    <xf numFmtId="3" fontId="3" fillId="0" borderId="1" xfId="0" applyNumberFormat="1" applyFont="1" applyFill="1" applyBorder="1" applyAlignment="1">
      <alignment vertical="center"/>
    </xf>
    <xf numFmtId="3" fontId="3" fillId="0" borderId="36" xfId="0" applyNumberFormat="1" applyFont="1" applyFill="1" applyBorder="1" applyAlignment="1">
      <alignment vertical="center"/>
    </xf>
    <xf numFmtId="0" fontId="3" fillId="0" borderId="0" xfId="0" applyFont="1" applyFill="1" applyBorder="1" applyAlignment="1"/>
    <xf numFmtId="0" fontId="4" fillId="0" borderId="7" xfId="0" applyFont="1" applyFill="1" applyBorder="1" applyAlignment="1"/>
    <xf numFmtId="0" fontId="4" fillId="0" borderId="8" xfId="0" applyFont="1" applyFill="1" applyBorder="1" applyAlignment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165" fontId="3" fillId="0" borderId="0" xfId="0" applyNumberFormat="1" applyFont="1" applyFill="1" applyBorder="1" applyAlignment="1"/>
    <xf numFmtId="1" fontId="3" fillId="0" borderId="0" xfId="0" applyNumberFormat="1" applyFont="1" applyFill="1" applyBorder="1" applyAlignment="1"/>
    <xf numFmtId="0" fontId="3" fillId="0" borderId="9" xfId="0" applyFont="1" applyFill="1" applyBorder="1"/>
    <xf numFmtId="165" fontId="3" fillId="0" borderId="9" xfId="0" applyNumberFormat="1" applyFont="1" applyFill="1" applyBorder="1" applyAlignment="1"/>
    <xf numFmtId="165" fontId="3" fillId="0" borderId="8" xfId="0" applyNumberFormat="1" applyFont="1" applyFill="1" applyBorder="1" applyAlignment="1"/>
    <xf numFmtId="165" fontId="3" fillId="0" borderId="9" xfId="0" applyNumberFormat="1" applyFont="1" applyFill="1" applyBorder="1"/>
    <xf numFmtId="165" fontId="3" fillId="0" borderId="9" xfId="0" applyNumberFormat="1" applyFont="1" applyFill="1" applyBorder="1" applyAlignment="1">
      <alignment horizontal="right"/>
    </xf>
    <xf numFmtId="165" fontId="3" fillId="0" borderId="33" xfId="0" applyNumberFormat="1" applyFont="1" applyFill="1" applyBorder="1"/>
    <xf numFmtId="165" fontId="3" fillId="0" borderId="1" xfId="0" applyNumberFormat="1" applyFont="1" applyFill="1" applyBorder="1"/>
    <xf numFmtId="165" fontId="3" fillId="0" borderId="1" xfId="0" applyNumberFormat="1" applyFont="1" applyFill="1" applyBorder="1" applyAlignment="1"/>
    <xf numFmtId="165" fontId="3" fillId="0" borderId="36" xfId="0" applyNumberFormat="1" applyFont="1" applyFill="1" applyBorder="1" applyAlignment="1"/>
    <xf numFmtId="165" fontId="3" fillId="0" borderId="14" xfId="0" applyNumberFormat="1" applyFont="1" applyFill="1" applyBorder="1"/>
    <xf numFmtId="165" fontId="3" fillId="0" borderId="12" xfId="0" applyNumberFormat="1" applyFont="1" applyFill="1" applyBorder="1"/>
    <xf numFmtId="165" fontId="3" fillId="0" borderId="12" xfId="0" applyNumberFormat="1" applyFont="1" applyFill="1" applyBorder="1" applyAlignment="1"/>
    <xf numFmtId="165" fontId="3" fillId="0" borderId="13" xfId="0" applyNumberFormat="1" applyFont="1" applyFill="1" applyBorder="1" applyAlignment="1"/>
    <xf numFmtId="10" fontId="4" fillId="0" borderId="0" xfId="0" applyNumberFormat="1" applyFont="1" applyFill="1" applyBorder="1" applyAlignment="1">
      <alignment horizontal="center"/>
    </xf>
    <xf numFmtId="165" fontId="4" fillId="0" borderId="0" xfId="0" applyNumberFormat="1" applyFont="1" applyFill="1" applyBorder="1" applyAlignment="1">
      <alignment horizontal="center"/>
    </xf>
    <xf numFmtId="0" fontId="2" fillId="0" borderId="16" xfId="0" applyFont="1" applyFill="1" applyBorder="1" applyAlignment="1"/>
    <xf numFmtId="0" fontId="2" fillId="0" borderId="17" xfId="0" applyFont="1" applyFill="1" applyBorder="1" applyAlignment="1"/>
    <xf numFmtId="0" fontId="2" fillId="0" borderId="18" xfId="0" applyFont="1" applyFill="1" applyBorder="1" applyAlignment="1"/>
    <xf numFmtId="0" fontId="2" fillId="0" borderId="0" xfId="0" applyFont="1" applyFill="1" applyBorder="1" applyAlignment="1">
      <alignment horizontal="left"/>
    </xf>
    <xf numFmtId="165" fontId="2" fillId="0" borderId="0" xfId="0" applyNumberFormat="1" applyFont="1" applyFill="1" applyBorder="1" applyAlignment="1">
      <alignment horizontal="center"/>
    </xf>
    <xf numFmtId="0" fontId="3" fillId="0" borderId="9" xfId="0" applyFont="1" applyFill="1" applyBorder="1" applyAlignment="1"/>
    <xf numFmtId="0" fontId="3" fillId="0" borderId="8" xfId="0" applyFont="1" applyFill="1" applyBorder="1" applyAlignment="1"/>
    <xf numFmtId="9" fontId="4" fillId="0" borderId="25" xfId="0" applyNumberFormat="1" applyFont="1" applyFill="1" applyBorder="1" applyAlignment="1">
      <alignment horizontal="center" wrapText="1"/>
    </xf>
    <xf numFmtId="4" fontId="3" fillId="0" borderId="0" xfId="0" applyNumberFormat="1" applyFont="1" applyFill="1"/>
    <xf numFmtId="0" fontId="3" fillId="0" borderId="1" xfId="0" applyFont="1" applyFill="1" applyBorder="1"/>
    <xf numFmtId="0" fontId="9" fillId="0" borderId="0" xfId="0" applyFont="1" applyFill="1"/>
    <xf numFmtId="0" fontId="7" fillId="0" borderId="0" xfId="0" applyFont="1" applyFill="1"/>
    <xf numFmtId="0" fontId="3" fillId="0" borderId="0" xfId="0" applyFont="1" applyFill="1" applyAlignment="1"/>
    <xf numFmtId="0" fontId="6" fillId="0" borderId="0" xfId="0" applyFont="1" applyFill="1"/>
    <xf numFmtId="0" fontId="8" fillId="0" borderId="0" xfId="0" applyFont="1" applyFill="1"/>
    <xf numFmtId="0" fontId="5" fillId="0" borderId="0" xfId="0" applyFont="1" applyFill="1"/>
    <xf numFmtId="0" fontId="3" fillId="0" borderId="12" xfId="0" applyFont="1" applyFill="1" applyBorder="1"/>
    <xf numFmtId="0" fontId="3" fillId="0" borderId="0" xfId="0" applyFont="1" applyFill="1" applyAlignment="1">
      <alignment horizontal="left"/>
    </xf>
    <xf numFmtId="0" fontId="9" fillId="0" borderId="0" xfId="0" applyFont="1" applyFill="1" applyAlignment="1">
      <alignment horizontal="center"/>
    </xf>
    <xf numFmtId="0" fontId="3" fillId="0" borderId="0" xfId="0" applyFont="1" applyFill="1" applyAlignment="1"/>
    <xf numFmtId="0" fontId="3" fillId="0" borderId="0" xfId="0" applyFont="1" applyFill="1" applyAlignment="1"/>
    <xf numFmtId="0" fontId="3" fillId="0" borderId="0" xfId="0" applyFont="1" applyFill="1" applyAlignment="1"/>
    <xf numFmtId="0" fontId="0" fillId="0" borderId="0" xfId="0"/>
    <xf numFmtId="0" fontId="14" fillId="0" borderId="20" xfId="0" applyFont="1" applyBorder="1" applyAlignment="1">
      <alignment horizontal="center" vertical="center" wrapText="1"/>
    </xf>
    <xf numFmtId="0" fontId="3" fillId="0" borderId="0" xfId="0" applyFont="1" applyFill="1" applyAlignment="1"/>
    <xf numFmtId="0" fontId="1" fillId="0" borderId="0" xfId="0" applyFont="1" applyFill="1" applyAlignment="1"/>
    <xf numFmtId="4" fontId="1" fillId="0" borderId="0" xfId="0" applyNumberFormat="1" applyFont="1" applyFill="1"/>
    <xf numFmtId="2" fontId="3" fillId="0" borderId="0" xfId="0" applyNumberFormat="1" applyFont="1" applyFill="1" applyAlignment="1">
      <alignment horizontal="center"/>
    </xf>
    <xf numFmtId="2" fontId="3" fillId="0" borderId="0" xfId="0" applyNumberFormat="1" applyFont="1" applyFill="1"/>
    <xf numFmtId="0" fontId="0" fillId="0" borderId="0" xfId="0"/>
    <xf numFmtId="0" fontId="14" fillId="0" borderId="20" xfId="0" applyFont="1" applyBorder="1" applyAlignment="1">
      <alignment horizontal="center" vertical="center" wrapText="1"/>
    </xf>
    <xf numFmtId="0" fontId="14" fillId="0" borderId="19" xfId="0" applyFont="1" applyBorder="1" applyAlignment="1">
      <alignment vertical="center"/>
    </xf>
    <xf numFmtId="0" fontId="3" fillId="0" borderId="0" xfId="0" applyFont="1" applyFill="1" applyAlignment="1"/>
    <xf numFmtId="2" fontId="3" fillId="0" borderId="0" xfId="0" applyNumberFormat="1" applyFont="1" applyFill="1" applyAlignment="1">
      <alignment horizontal="center"/>
    </xf>
    <xf numFmtId="0" fontId="14" fillId="0" borderId="19" xfId="0" applyFont="1" applyFill="1" applyBorder="1" applyAlignment="1">
      <alignment vertical="center"/>
    </xf>
    <xf numFmtId="2" fontId="3" fillId="0" borderId="0" xfId="0" applyNumberFormat="1" applyFont="1"/>
    <xf numFmtId="0" fontId="3" fillId="0" borderId="0" xfId="0" applyFont="1" applyFill="1" applyAlignment="1"/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/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0" fontId="3" fillId="0" borderId="0" xfId="0" applyFont="1" applyFill="1" applyAlignment="1"/>
    <xf numFmtId="2" fontId="3" fillId="0" borderId="0" xfId="0" applyNumberFormat="1" applyFont="1" applyFill="1" applyAlignment="1">
      <alignment horizontal="center"/>
    </xf>
    <xf numFmtId="4" fontId="3" fillId="5" borderId="0" xfId="0" applyNumberFormat="1" applyFont="1" applyFill="1"/>
    <xf numFmtId="4" fontId="1" fillId="5" borderId="0" xfId="0" applyNumberFormat="1" applyFont="1" applyFill="1"/>
    <xf numFmtId="0" fontId="9" fillId="0" borderId="0" xfId="0" applyFont="1" applyAlignment="1">
      <alignment horizontal="center"/>
    </xf>
    <xf numFmtId="165" fontId="3" fillId="0" borderId="10" xfId="0" applyNumberFormat="1" applyFont="1" applyFill="1" applyBorder="1" applyAlignment="1">
      <alignment vertical="center"/>
    </xf>
    <xf numFmtId="165" fontId="3" fillId="0" borderId="14" xfId="0" applyNumberFormat="1" applyFont="1" applyFill="1" applyBorder="1" applyAlignment="1">
      <alignment vertical="center"/>
    </xf>
    <xf numFmtId="165" fontId="3" fillId="0" borderId="12" xfId="0" applyNumberFormat="1" applyFont="1" applyFill="1" applyBorder="1" applyAlignment="1">
      <alignment vertical="center"/>
    </xf>
    <xf numFmtId="165" fontId="3" fillId="0" borderId="13" xfId="0" applyNumberFormat="1" applyFont="1" applyFill="1" applyBorder="1" applyAlignment="1">
      <alignment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12" xfId="0" applyNumberFormat="1" applyFont="1" applyFill="1" applyBorder="1" applyAlignment="1">
      <alignment vertical="center"/>
    </xf>
    <xf numFmtId="3" fontId="3" fillId="0" borderId="13" xfId="0" applyNumberFormat="1" applyFont="1" applyFill="1" applyBorder="1" applyAlignment="1">
      <alignment vertical="center"/>
    </xf>
    <xf numFmtId="165" fontId="3" fillId="0" borderId="15" xfId="0" applyNumberFormat="1" applyFont="1" applyFill="1" applyBorder="1" applyAlignment="1">
      <alignment vertical="center"/>
    </xf>
    <xf numFmtId="0" fontId="9" fillId="0" borderId="0" xfId="0" applyFont="1" applyFill="1" applyAlignment="1">
      <alignment horizontal="center"/>
    </xf>
    <xf numFmtId="165" fontId="3" fillId="0" borderId="10" xfId="0" applyNumberFormat="1" applyFont="1" applyBorder="1" applyAlignment="1">
      <alignment vertical="center"/>
    </xf>
    <xf numFmtId="165" fontId="3" fillId="0" borderId="14" xfId="0" applyNumberFormat="1" applyFont="1" applyBorder="1" applyAlignment="1">
      <alignment vertical="center"/>
    </xf>
    <xf numFmtId="165" fontId="3" fillId="0" borderId="12" xfId="0" applyNumberFormat="1" applyFont="1" applyBorder="1" applyAlignment="1">
      <alignment vertical="center"/>
    </xf>
    <xf numFmtId="165" fontId="3" fillId="0" borderId="13" xfId="0" applyNumberFormat="1" applyFont="1" applyBorder="1" applyAlignment="1">
      <alignment vertical="center"/>
    </xf>
    <xf numFmtId="3" fontId="3" fillId="2" borderId="14" xfId="0" applyNumberFormat="1" applyFont="1" applyFill="1" applyBorder="1" applyAlignment="1">
      <alignment vertical="center"/>
    </xf>
    <xf numFmtId="3" fontId="3" fillId="2" borderId="12" xfId="0" applyNumberFormat="1" applyFont="1" applyFill="1" applyBorder="1" applyAlignment="1">
      <alignment vertical="center"/>
    </xf>
    <xf numFmtId="3" fontId="3" fillId="2" borderId="13" xfId="0" applyNumberFormat="1" applyFont="1" applyFill="1" applyBorder="1" applyAlignment="1">
      <alignment vertical="center"/>
    </xf>
    <xf numFmtId="3" fontId="3" fillId="0" borderId="14" xfId="0" applyNumberFormat="1" applyFont="1" applyBorder="1" applyAlignment="1">
      <alignment vertical="center"/>
    </xf>
    <xf numFmtId="3" fontId="3" fillId="0" borderId="12" xfId="0" applyNumberFormat="1" applyFont="1" applyBorder="1" applyAlignment="1">
      <alignment vertical="center"/>
    </xf>
    <xf numFmtId="3" fontId="3" fillId="0" borderId="13" xfId="0" applyNumberFormat="1" applyFont="1" applyBorder="1" applyAlignment="1">
      <alignment vertical="center"/>
    </xf>
    <xf numFmtId="165" fontId="3" fillId="0" borderId="15" xfId="0" applyNumberFormat="1" applyFont="1" applyBorder="1" applyAlignment="1">
      <alignment vertical="center"/>
    </xf>
    <xf numFmtId="165" fontId="3" fillId="0" borderId="4" xfId="0" applyNumberFormat="1" applyFont="1" applyFill="1" applyBorder="1" applyAlignment="1"/>
    <xf numFmtId="0" fontId="9" fillId="0" borderId="0" xfId="0" applyFont="1" applyFill="1" applyAlignment="1">
      <alignment horizontal="center"/>
    </xf>
    <xf numFmtId="165" fontId="3" fillId="0" borderId="46" xfId="0" applyNumberFormat="1" applyFont="1" applyFill="1" applyBorder="1" applyAlignment="1">
      <alignment vertical="center"/>
    </xf>
    <xf numFmtId="165" fontId="3" fillId="0" borderId="68" xfId="0" applyNumberFormat="1" applyFont="1" applyFill="1" applyBorder="1" applyAlignment="1">
      <alignment vertical="center"/>
    </xf>
    <xf numFmtId="165" fontId="3" fillId="0" borderId="19" xfId="0" applyNumberFormat="1" applyFont="1" applyFill="1" applyBorder="1" applyAlignment="1">
      <alignment vertical="center"/>
    </xf>
    <xf numFmtId="165" fontId="3" fillId="0" borderId="26" xfId="0" applyNumberFormat="1" applyFont="1" applyFill="1" applyBorder="1" applyAlignment="1">
      <alignment vertical="center"/>
    </xf>
    <xf numFmtId="3" fontId="3" fillId="0" borderId="46" xfId="0" applyNumberFormat="1" applyFont="1" applyFill="1" applyBorder="1" applyAlignment="1">
      <alignment vertical="center"/>
    </xf>
    <xf numFmtId="3" fontId="3" fillId="0" borderId="68" xfId="0" applyNumberFormat="1" applyFont="1" applyFill="1" applyBorder="1" applyAlignment="1">
      <alignment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/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0" fontId="3" fillId="0" borderId="0" xfId="0" applyFont="1" applyFill="1" applyAlignment="1"/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0" fontId="3" fillId="0" borderId="0" xfId="0" applyFont="1" applyFill="1" applyAlignment="1"/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0" fontId="3" fillId="0" borderId="0" xfId="0" applyFont="1" applyFill="1" applyAlignment="1"/>
    <xf numFmtId="0" fontId="3" fillId="0" borderId="0" xfId="0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/>
    <xf numFmtId="165" fontId="3" fillId="0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Alignment="1"/>
    <xf numFmtId="0" fontId="1" fillId="0" borderId="0" xfId="0" applyFont="1" applyFill="1" applyAlignment="1">
      <alignment horizontal="center"/>
    </xf>
    <xf numFmtId="4" fontId="4" fillId="0" borderId="0" xfId="0" applyNumberFormat="1" applyFont="1" applyFill="1" applyBorder="1" applyAlignment="1">
      <alignment horizontal="center"/>
    </xf>
    <xf numFmtId="165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0" fontId="3" fillId="0" borderId="0" xfId="0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0" fontId="3" fillId="0" borderId="0" xfId="0" applyFont="1" applyFill="1" applyAlignment="1"/>
    <xf numFmtId="0" fontId="3" fillId="0" borderId="0" xfId="0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0" fontId="3" fillId="0" borderId="0" xfId="0" applyFont="1" applyFill="1" applyAlignment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165" fontId="3" fillId="0" borderId="1" xfId="0" applyNumberFormat="1" applyFont="1" applyFill="1" applyBorder="1" applyAlignment="1"/>
    <xf numFmtId="165" fontId="3" fillId="0" borderId="0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165" fontId="3" fillId="0" borderId="0" xfId="0" applyNumberFormat="1" applyFont="1" applyFill="1" applyBorder="1" applyAlignment="1">
      <alignment horizontal="left"/>
    </xf>
    <xf numFmtId="0" fontId="3" fillId="0" borderId="0" xfId="0" applyFont="1" applyFill="1" applyAlignment="1"/>
    <xf numFmtId="0" fontId="1" fillId="0" borderId="0" xfId="0" applyFont="1" applyFill="1" applyAlignment="1">
      <alignment horizontal="center"/>
    </xf>
    <xf numFmtId="4" fontId="4" fillId="0" borderId="0" xfId="0" applyNumberFormat="1" applyFont="1" applyFill="1" applyBorder="1" applyAlignment="1">
      <alignment horizontal="center"/>
    </xf>
    <xf numFmtId="165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4" fontId="6" fillId="0" borderId="0" xfId="0" applyNumberFormat="1" applyFont="1" applyFill="1"/>
    <xf numFmtId="0" fontId="3" fillId="0" borderId="0" xfId="0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165" fontId="3" fillId="0" borderId="1" xfId="0" applyNumberFormat="1" applyFont="1" applyFill="1" applyBorder="1" applyAlignment="1"/>
    <xf numFmtId="165" fontId="3" fillId="0" borderId="0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165" fontId="3" fillId="0" borderId="0" xfId="0" applyNumberFormat="1" applyFont="1" applyFill="1" applyBorder="1" applyAlignment="1">
      <alignment horizontal="left"/>
    </xf>
    <xf numFmtId="0" fontId="3" fillId="0" borderId="0" xfId="0" applyFont="1" applyFill="1" applyAlignment="1"/>
    <xf numFmtId="0" fontId="1" fillId="0" borderId="0" xfId="0" applyFont="1" applyFill="1" applyAlignment="1">
      <alignment horizontal="center"/>
    </xf>
    <xf numFmtId="4" fontId="4" fillId="0" borderId="0" xfId="0" applyNumberFormat="1" applyFont="1" applyFill="1" applyBorder="1" applyAlignment="1">
      <alignment horizontal="center"/>
    </xf>
    <xf numFmtId="165" fontId="4" fillId="0" borderId="0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0" fillId="0" borderId="0" xfId="0"/>
    <xf numFmtId="0" fontId="14" fillId="0" borderId="20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left" vertical="center"/>
    </xf>
    <xf numFmtId="4" fontId="14" fillId="5" borderId="19" xfId="0" applyNumberFormat="1" applyFont="1" applyFill="1" applyBorder="1"/>
    <xf numFmtId="3" fontId="14" fillId="5" borderId="19" xfId="0" applyNumberFormat="1" applyFont="1" applyFill="1" applyBorder="1"/>
    <xf numFmtId="0" fontId="14" fillId="0" borderId="19" xfId="0" applyFont="1" applyBorder="1" applyAlignment="1">
      <alignment horizontal="center" vertical="center"/>
    </xf>
    <xf numFmtId="14" fontId="14" fillId="0" borderId="19" xfId="0" applyNumberFormat="1" applyFont="1" applyBorder="1" applyAlignment="1">
      <alignment horizontal="center" vertical="center" wrapText="1"/>
    </xf>
    <xf numFmtId="4" fontId="14" fillId="5" borderId="19" xfId="0" applyNumberFormat="1" applyFont="1" applyFill="1" applyBorder="1" applyAlignment="1">
      <alignment horizontal="center" vertical="center"/>
    </xf>
    <xf numFmtId="3" fontId="14" fillId="5" borderId="19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4" fontId="14" fillId="0" borderId="19" xfId="0" applyNumberFormat="1" applyFont="1" applyBorder="1" applyAlignment="1">
      <alignment horizontal="center" vertical="center"/>
    </xf>
    <xf numFmtId="3" fontId="14" fillId="0" borderId="19" xfId="0" applyNumberFormat="1" applyFont="1" applyBorder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4" fontId="20" fillId="0" borderId="0" xfId="0" applyNumberFormat="1" applyFont="1"/>
    <xf numFmtId="3" fontId="20" fillId="0" borderId="0" xfId="0" applyNumberFormat="1" applyFont="1"/>
    <xf numFmtId="0" fontId="14" fillId="0" borderId="0" xfId="0" applyFont="1" applyBorder="1" applyAlignment="1">
      <alignment horizontal="center" vertical="center"/>
    </xf>
    <xf numFmtId="2" fontId="14" fillId="0" borderId="0" xfId="0" applyNumberFormat="1" applyFont="1" applyBorder="1" applyAlignment="1">
      <alignment horizontal="center" vertical="center"/>
    </xf>
    <xf numFmtId="4" fontId="14" fillId="0" borderId="0" xfId="0" applyNumberFormat="1" applyFont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left" vertical="center"/>
    </xf>
    <xf numFmtId="0" fontId="14" fillId="0" borderId="0" xfId="0" applyFont="1" applyBorder="1"/>
    <xf numFmtId="4" fontId="14" fillId="0" borderId="0" xfId="0" applyNumberFormat="1" applyFont="1" applyBorder="1"/>
    <xf numFmtId="3" fontId="14" fillId="0" borderId="0" xfId="0" applyNumberFormat="1" applyFont="1" applyBorder="1"/>
    <xf numFmtId="4" fontId="21" fillId="0" borderId="0" xfId="0" applyNumberFormat="1" applyFont="1" applyBorder="1"/>
    <xf numFmtId="3" fontId="21" fillId="0" borderId="0" xfId="0" applyNumberFormat="1" applyFont="1" applyBorder="1"/>
    <xf numFmtId="0" fontId="3" fillId="0" borderId="0" xfId="0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0" fontId="3" fillId="0" borderId="0" xfId="0" applyFont="1" applyFill="1" applyAlignment="1"/>
    <xf numFmtId="0" fontId="3" fillId="0" borderId="0" xfId="0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0" fontId="7" fillId="0" borderId="0" xfId="0" applyFont="1" applyAlignment="1">
      <alignment horizontal="center"/>
    </xf>
    <xf numFmtId="0" fontId="7" fillId="0" borderId="0" xfId="0" applyFont="1" applyFill="1" applyAlignment="1">
      <alignment horizontal="center"/>
    </xf>
    <xf numFmtId="165" fontId="3" fillId="0" borderId="0" xfId="0" applyNumberFormat="1" applyFont="1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center" vertical="center"/>
    </xf>
    <xf numFmtId="0" fontId="0" fillId="0" borderId="0" xfId="0" applyAlignment="1"/>
    <xf numFmtId="165" fontId="3" fillId="0" borderId="39" xfId="0" applyNumberFormat="1" applyFont="1" applyFill="1" applyBorder="1" applyAlignment="1">
      <alignment vertical="center"/>
    </xf>
    <xf numFmtId="0" fontId="7" fillId="0" borderId="0" xfId="0" applyFont="1" applyFill="1" applyAlignment="1">
      <alignment horizontal="center"/>
    </xf>
    <xf numFmtId="0" fontId="3" fillId="0" borderId="0" xfId="0" applyFont="1" applyFill="1" applyAlignment="1"/>
    <xf numFmtId="0" fontId="3" fillId="0" borderId="0" xfId="0" applyFont="1" applyFill="1" applyAlignment="1"/>
    <xf numFmtId="0" fontId="3" fillId="0" borderId="0" xfId="0" applyFont="1" applyFill="1" applyAlignment="1"/>
    <xf numFmtId="0" fontId="3" fillId="0" borderId="0" xfId="0" applyFont="1" applyFill="1" applyAlignment="1"/>
    <xf numFmtId="2" fontId="3" fillId="0" borderId="0" xfId="0" applyNumberFormat="1" applyFont="1" applyFill="1" applyAlignment="1">
      <alignment horizontal="center"/>
    </xf>
    <xf numFmtId="0" fontId="3" fillId="0" borderId="0" xfId="0" applyFont="1" applyFill="1" applyAlignment="1"/>
    <xf numFmtId="165" fontId="3" fillId="0" borderId="0" xfId="0" applyNumberFormat="1" applyFont="1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left"/>
    </xf>
    <xf numFmtId="165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165" fontId="4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3" borderId="0" xfId="0" applyFont="1" applyFill="1" applyAlignment="1">
      <alignment horizontal="center"/>
    </xf>
    <xf numFmtId="0" fontId="0" fillId="0" borderId="0" xfId="0"/>
    <xf numFmtId="165" fontId="3" fillId="0" borderId="0" xfId="0" applyNumberFormat="1" applyFont="1" applyBorder="1" applyAlignment="1">
      <alignment horizontal="left"/>
    </xf>
    <xf numFmtId="0" fontId="3" fillId="0" borderId="0" xfId="0" applyFont="1" applyBorder="1" applyAlignment="1">
      <alignment horizontal="left"/>
    </xf>
    <xf numFmtId="165" fontId="3" fillId="3" borderId="0" xfId="0" applyNumberFormat="1" applyFont="1" applyFill="1" applyBorder="1" applyAlignment="1">
      <alignment horizontal="center" vertical="center"/>
    </xf>
    <xf numFmtId="165" fontId="3" fillId="0" borderId="0" xfId="0" applyNumberFormat="1" applyFont="1" applyBorder="1" applyAlignment="1">
      <alignment horizontal="center"/>
    </xf>
    <xf numFmtId="165" fontId="3" fillId="0" borderId="1" xfId="0" applyNumberFormat="1" applyFont="1" applyBorder="1" applyAlignment="1"/>
    <xf numFmtId="0" fontId="3" fillId="3" borderId="9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65" fontId="4" fillId="0" borderId="0" xfId="0" applyNumberFormat="1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165" fontId="3" fillId="3" borderId="14" xfId="0" applyNumberFormat="1" applyFont="1" applyFill="1" applyBorder="1" applyAlignment="1">
      <alignment vertical="center"/>
    </xf>
    <xf numFmtId="165" fontId="3" fillId="3" borderId="12" xfId="0" applyNumberFormat="1" applyFont="1" applyFill="1" applyBorder="1" applyAlignment="1">
      <alignment vertical="center"/>
    </xf>
    <xf numFmtId="165" fontId="3" fillId="3" borderId="13" xfId="0" applyNumberFormat="1" applyFont="1" applyFill="1" applyBorder="1" applyAlignment="1">
      <alignment vertical="center"/>
    </xf>
    <xf numFmtId="0" fontId="3" fillId="3" borderId="63" xfId="0" applyFont="1" applyFill="1" applyBorder="1" applyAlignment="1">
      <alignment horizontal="left"/>
    </xf>
    <xf numFmtId="0" fontId="3" fillId="3" borderId="1" xfId="0" applyFont="1" applyFill="1" applyBorder="1" applyAlignment="1">
      <alignment horizontal="left"/>
    </xf>
    <xf numFmtId="0" fontId="3" fillId="3" borderId="36" xfId="0" applyFont="1" applyFill="1" applyBorder="1" applyAlignment="1">
      <alignment horizontal="left"/>
    </xf>
    <xf numFmtId="0" fontId="3" fillId="0" borderId="0" xfId="0" applyFont="1" applyFill="1" applyAlignment="1">
      <alignment horizontal="center"/>
    </xf>
    <xf numFmtId="4" fontId="10" fillId="0" borderId="0" xfId="0" applyNumberFormat="1" applyFont="1" applyFill="1" applyAlignment="1">
      <alignment horizontal="center"/>
    </xf>
    <xf numFmtId="9" fontId="3" fillId="0" borderId="0" xfId="0" applyNumberFormat="1" applyFont="1" applyFill="1" applyAlignment="1">
      <alignment horizontal="center"/>
    </xf>
    <xf numFmtId="4" fontId="3" fillId="0" borderId="0" xfId="0" applyNumberFormat="1" applyFont="1" applyFill="1" applyAlignment="1">
      <alignment horizontal="center"/>
    </xf>
    <xf numFmtId="4" fontId="3" fillId="5" borderId="0" xfId="0" applyNumberFormat="1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164" fontId="3" fillId="0" borderId="0" xfId="1" applyFont="1" applyFill="1" applyAlignment="1"/>
    <xf numFmtId="164" fontId="0" fillId="0" borderId="0" xfId="1" applyFont="1" applyAlignment="1"/>
    <xf numFmtId="0" fontId="1" fillId="0" borderId="0" xfId="0" applyFont="1" applyFill="1" applyAlignment="1"/>
    <xf numFmtId="0" fontId="0" fillId="0" borderId="0" xfId="0" applyAlignment="1"/>
    <xf numFmtId="0" fontId="7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Fill="1" applyAlignment="1"/>
    <xf numFmtId="0" fontId="3" fillId="5" borderId="0" xfId="0" applyFont="1" applyFill="1" applyAlignment="1">
      <alignment horizontal="center"/>
    </xf>
    <xf numFmtId="2" fontId="0" fillId="0" borderId="0" xfId="0" applyNumberFormat="1" applyAlignment="1">
      <alignment horizontal="center"/>
    </xf>
    <xf numFmtId="4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3" fillId="0" borderId="41" xfId="0" applyFont="1" applyFill="1" applyBorder="1" applyAlignment="1">
      <alignment horizontal="left"/>
    </xf>
    <xf numFmtId="0" fontId="3" fillId="0" borderId="42" xfId="0" applyFont="1" applyFill="1" applyBorder="1" applyAlignment="1">
      <alignment horizontal="left"/>
    </xf>
    <xf numFmtId="0" fontId="3" fillId="0" borderId="43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165" fontId="4" fillId="0" borderId="28" xfId="0" applyNumberFormat="1" applyFont="1" applyFill="1" applyBorder="1" applyAlignment="1">
      <alignment horizontal="center"/>
    </xf>
    <xf numFmtId="165" fontId="4" fillId="0" borderId="29" xfId="0" applyNumberFormat="1" applyFont="1" applyFill="1" applyBorder="1" applyAlignment="1">
      <alignment horizontal="center"/>
    </xf>
    <xf numFmtId="0" fontId="4" fillId="0" borderId="23" xfId="0" applyFont="1" applyFill="1" applyBorder="1" applyAlignment="1">
      <alignment horizontal="left" wrapText="1"/>
    </xf>
    <xf numFmtId="0" fontId="4" fillId="0" borderId="24" xfId="0" applyFont="1" applyFill="1" applyBorder="1" applyAlignment="1">
      <alignment horizontal="left" wrapText="1"/>
    </xf>
    <xf numFmtId="4" fontId="4" fillId="0" borderId="38" xfId="0" applyNumberFormat="1" applyFont="1" applyFill="1" applyBorder="1" applyAlignment="1">
      <alignment horizontal="center"/>
    </xf>
    <xf numFmtId="3" fontId="4" fillId="0" borderId="30" xfId="0" applyNumberFormat="1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165" fontId="4" fillId="0" borderId="38" xfId="0" applyNumberFormat="1" applyFont="1" applyFill="1" applyBorder="1" applyAlignment="1">
      <alignment horizontal="center"/>
    </xf>
    <xf numFmtId="165" fontId="4" fillId="0" borderId="26" xfId="0" applyNumberFormat="1" applyFont="1" applyFill="1" applyBorder="1" applyAlignment="1">
      <alignment horizontal="center"/>
    </xf>
    <xf numFmtId="4" fontId="4" fillId="0" borderId="26" xfId="0" applyNumberFormat="1" applyFont="1" applyFill="1" applyBorder="1" applyAlignment="1">
      <alignment horizontal="center"/>
    </xf>
    <xf numFmtId="4" fontId="4" fillId="0" borderId="27" xfId="0" applyNumberFormat="1" applyFont="1" applyFill="1" applyBorder="1" applyAlignment="1">
      <alignment horizontal="center"/>
    </xf>
    <xf numFmtId="4" fontId="4" fillId="0" borderId="19" xfId="0" applyNumberFormat="1" applyFont="1" applyFill="1" applyBorder="1" applyAlignment="1">
      <alignment horizontal="center"/>
    </xf>
    <xf numFmtId="4" fontId="4" fillId="0" borderId="22" xfId="0" applyNumberFormat="1" applyFont="1" applyFill="1" applyBorder="1" applyAlignment="1">
      <alignment horizontal="center"/>
    </xf>
    <xf numFmtId="0" fontId="4" fillId="0" borderId="44" xfId="0" applyFont="1" applyFill="1" applyBorder="1" applyAlignment="1">
      <alignment horizontal="left" wrapText="1"/>
    </xf>
    <xf numFmtId="0" fontId="4" fillId="0" borderId="45" xfId="0" applyFont="1" applyFill="1" applyBorder="1" applyAlignment="1">
      <alignment horizontal="left" wrapText="1"/>
    </xf>
    <xf numFmtId="0" fontId="4" fillId="0" borderId="39" xfId="0" applyFont="1" applyFill="1" applyBorder="1" applyAlignment="1">
      <alignment horizontal="left" wrapText="1"/>
    </xf>
    <xf numFmtId="4" fontId="4" fillId="0" borderId="58" xfId="0" applyNumberFormat="1" applyFont="1" applyFill="1" applyBorder="1" applyAlignment="1">
      <alignment horizontal="center"/>
    </xf>
    <xf numFmtId="4" fontId="4" fillId="0" borderId="45" xfId="0" applyNumberFormat="1" applyFont="1" applyFill="1" applyBorder="1" applyAlignment="1">
      <alignment horizontal="center"/>
    </xf>
    <xf numFmtId="4" fontId="4" fillId="0" borderId="39" xfId="0" applyNumberFormat="1" applyFont="1" applyFill="1" applyBorder="1" applyAlignment="1">
      <alignment horizontal="center"/>
    </xf>
    <xf numFmtId="0" fontId="4" fillId="0" borderId="58" xfId="0" applyFont="1" applyFill="1" applyBorder="1" applyAlignment="1">
      <alignment horizontal="center"/>
    </xf>
    <xf numFmtId="0" fontId="4" fillId="0" borderId="45" xfId="0" applyFont="1" applyFill="1" applyBorder="1" applyAlignment="1">
      <alignment horizontal="center"/>
    </xf>
    <xf numFmtId="0" fontId="4" fillId="0" borderId="39" xfId="0" applyFont="1" applyFill="1" applyBorder="1" applyAlignment="1">
      <alignment horizontal="center"/>
    </xf>
    <xf numFmtId="165" fontId="3" fillId="0" borderId="20" xfId="0" applyNumberFormat="1" applyFont="1" applyFill="1" applyBorder="1" applyAlignment="1">
      <alignment horizontal="center"/>
    </xf>
    <xf numFmtId="165" fontId="3" fillId="0" borderId="60" xfId="0" applyNumberFormat="1" applyFont="1" applyFill="1" applyBorder="1" applyAlignment="1">
      <alignment horizontal="center"/>
    </xf>
    <xf numFmtId="165" fontId="3" fillId="0" borderId="42" xfId="0" applyNumberFormat="1" applyFont="1" applyFill="1" applyBorder="1" applyAlignment="1">
      <alignment horizontal="center"/>
    </xf>
    <xf numFmtId="165" fontId="3" fillId="0" borderId="43" xfId="0" applyNumberFormat="1" applyFont="1" applyFill="1" applyBorder="1" applyAlignment="1">
      <alignment horizontal="center"/>
    </xf>
    <xf numFmtId="165" fontId="3" fillId="0" borderId="21" xfId="0" applyNumberFormat="1" applyFont="1" applyFill="1" applyBorder="1" applyAlignment="1">
      <alignment horizontal="center"/>
    </xf>
    <xf numFmtId="165" fontId="3" fillId="0" borderId="68" xfId="0" applyNumberFormat="1" applyFont="1" applyFill="1" applyBorder="1" applyAlignment="1">
      <alignment horizontal="center"/>
    </xf>
    <xf numFmtId="165" fontId="3" fillId="0" borderId="26" xfId="0" applyNumberFormat="1" applyFont="1" applyFill="1" applyBorder="1" applyAlignment="1">
      <alignment horizontal="center"/>
    </xf>
    <xf numFmtId="165" fontId="3" fillId="0" borderId="27" xfId="0" applyNumberFormat="1" applyFont="1" applyFill="1" applyBorder="1" applyAlignment="1">
      <alignment horizontal="center"/>
    </xf>
    <xf numFmtId="2" fontId="4" fillId="0" borderId="2" xfId="0" applyNumberFormat="1" applyFont="1" applyFill="1" applyBorder="1" applyAlignment="1">
      <alignment horizontal="left" wrapText="1"/>
    </xf>
    <xf numFmtId="2" fontId="4" fillId="0" borderId="3" xfId="0" applyNumberFormat="1" applyFont="1" applyFill="1" applyBorder="1" applyAlignment="1">
      <alignment horizontal="left" wrapText="1"/>
    </xf>
    <xf numFmtId="2" fontId="4" fillId="0" borderId="5" xfId="0" applyNumberFormat="1" applyFont="1" applyFill="1" applyBorder="1" applyAlignment="1">
      <alignment horizontal="left" wrapText="1"/>
    </xf>
    <xf numFmtId="165" fontId="4" fillId="0" borderId="62" xfId="0" applyNumberFormat="1" applyFont="1" applyFill="1" applyBorder="1" applyAlignment="1">
      <alignment horizontal="center"/>
    </xf>
    <xf numFmtId="3" fontId="4" fillId="0" borderId="62" xfId="0" applyNumberFormat="1" applyFont="1" applyFill="1" applyBorder="1" applyAlignment="1">
      <alignment horizontal="center"/>
    </xf>
    <xf numFmtId="0" fontId="4" fillId="0" borderId="62" xfId="0" applyFont="1" applyFill="1" applyBorder="1" applyAlignment="1">
      <alignment horizontal="center"/>
    </xf>
    <xf numFmtId="165" fontId="4" fillId="0" borderId="6" xfId="0" applyNumberFormat="1" applyFont="1" applyFill="1" applyBorder="1" applyAlignment="1">
      <alignment horizontal="center"/>
    </xf>
    <xf numFmtId="165" fontId="4" fillId="0" borderId="3" xfId="0" applyNumberFormat="1" applyFont="1" applyFill="1" applyBorder="1" applyAlignment="1">
      <alignment horizontal="center"/>
    </xf>
    <xf numFmtId="165" fontId="4" fillId="0" borderId="5" xfId="0" applyNumberFormat="1" applyFont="1" applyFill="1" applyBorder="1" applyAlignment="1">
      <alignment horizontal="center"/>
    </xf>
    <xf numFmtId="0" fontId="3" fillId="0" borderId="35" xfId="0" applyFont="1" applyFill="1" applyBorder="1" applyAlignment="1">
      <alignment horizontal="left"/>
    </xf>
    <xf numFmtId="0" fontId="3" fillId="0" borderId="26" xfId="0" applyFont="1" applyFill="1" applyBorder="1" applyAlignment="1">
      <alignment horizontal="left"/>
    </xf>
    <xf numFmtId="165" fontId="3" fillId="0" borderId="58" xfId="0" applyNumberFormat="1" applyFont="1" applyFill="1" applyBorder="1" applyAlignment="1">
      <alignment horizontal="center"/>
    </xf>
    <xf numFmtId="165" fontId="3" fillId="0" borderId="45" xfId="0" applyNumberFormat="1" applyFont="1" applyFill="1" applyBorder="1" applyAlignment="1">
      <alignment horizontal="center"/>
    </xf>
    <xf numFmtId="165" fontId="3" fillId="0" borderId="39" xfId="0" applyNumberFormat="1" applyFont="1" applyFill="1" applyBorder="1" applyAlignment="1">
      <alignment horizontal="center"/>
    </xf>
    <xf numFmtId="0" fontId="4" fillId="0" borderId="31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horizontal="center" vertical="center"/>
    </xf>
    <xf numFmtId="0" fontId="4" fillId="0" borderId="37" xfId="0" applyFont="1" applyFill="1" applyBorder="1" applyAlignment="1">
      <alignment horizontal="center" vertical="center"/>
    </xf>
    <xf numFmtId="0" fontId="4" fillId="0" borderId="38" xfId="0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/>
    </xf>
    <xf numFmtId="0" fontId="4" fillId="0" borderId="52" xfId="0" applyFont="1" applyFill="1" applyBorder="1" applyAlignment="1">
      <alignment horizontal="center"/>
    </xf>
    <xf numFmtId="0" fontId="3" fillId="0" borderId="31" xfId="0" applyFont="1" applyFill="1" applyBorder="1" applyAlignment="1">
      <alignment horizontal="left"/>
    </xf>
    <xf numFmtId="0" fontId="3" fillId="0" borderId="28" xfId="0" applyFont="1" applyFill="1" applyBorder="1" applyAlignment="1">
      <alignment horizontal="left"/>
    </xf>
    <xf numFmtId="165" fontId="3" fillId="0" borderId="28" xfId="0" applyNumberFormat="1" applyFont="1" applyFill="1" applyBorder="1" applyAlignment="1">
      <alignment horizontal="center"/>
    </xf>
    <xf numFmtId="3" fontId="3" fillId="0" borderId="6" xfId="0" applyNumberFormat="1" applyFont="1" applyFill="1" applyBorder="1" applyAlignment="1">
      <alignment horizontal="center" vertical="center"/>
    </xf>
    <xf numFmtId="3" fontId="3" fillId="0" borderId="3" xfId="0" applyNumberFormat="1" applyFont="1" applyFill="1" applyBorder="1" applyAlignment="1">
      <alignment horizontal="center" vertical="center"/>
    </xf>
    <xf numFmtId="3" fontId="3" fillId="0" borderId="5" xfId="0" applyNumberFormat="1" applyFont="1" applyFill="1" applyBorder="1" applyAlignment="1">
      <alignment horizontal="center" vertical="center"/>
    </xf>
    <xf numFmtId="3" fontId="3" fillId="0" borderId="9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3" fillId="0" borderId="8" xfId="0" applyNumberFormat="1" applyFont="1" applyFill="1" applyBorder="1" applyAlignment="1">
      <alignment horizontal="center" vertical="center"/>
    </xf>
    <xf numFmtId="3" fontId="3" fillId="0" borderId="14" xfId="0" applyNumberFormat="1" applyFont="1" applyFill="1" applyBorder="1" applyAlignment="1">
      <alignment horizontal="center" vertical="center"/>
    </xf>
    <xf numFmtId="3" fontId="3" fillId="0" borderId="12" xfId="0" applyNumberFormat="1" applyFont="1" applyFill="1" applyBorder="1" applyAlignment="1">
      <alignment horizontal="center" vertical="center"/>
    </xf>
    <xf numFmtId="3" fontId="3" fillId="0" borderId="13" xfId="0" applyNumberFormat="1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165" fontId="3" fillId="0" borderId="56" xfId="0" applyNumberFormat="1" applyFont="1" applyFill="1" applyBorder="1" applyAlignment="1">
      <alignment horizontal="center" wrapText="1"/>
    </xf>
    <xf numFmtId="165" fontId="3" fillId="0" borderId="54" xfId="0" applyNumberFormat="1" applyFont="1" applyFill="1" applyBorder="1" applyAlignment="1">
      <alignment horizontal="center" wrapText="1"/>
    </xf>
    <xf numFmtId="165" fontId="3" fillId="0" borderId="55" xfId="0" applyNumberFormat="1" applyFont="1" applyFill="1" applyBorder="1" applyAlignment="1">
      <alignment horizontal="center" wrapText="1"/>
    </xf>
    <xf numFmtId="165" fontId="3" fillId="0" borderId="56" xfId="0" applyNumberFormat="1" applyFont="1" applyFill="1" applyBorder="1" applyAlignment="1">
      <alignment horizontal="center" vertical="center" wrapText="1"/>
    </xf>
    <xf numFmtId="165" fontId="3" fillId="0" borderId="54" xfId="0" applyNumberFormat="1" applyFont="1" applyFill="1" applyBorder="1" applyAlignment="1">
      <alignment horizontal="center" vertical="center" wrapText="1"/>
    </xf>
    <xf numFmtId="165" fontId="3" fillId="0" borderId="55" xfId="0" applyNumberFormat="1" applyFont="1" applyFill="1" applyBorder="1" applyAlignment="1">
      <alignment horizontal="center" vertical="center" wrapText="1"/>
    </xf>
    <xf numFmtId="165" fontId="3" fillId="0" borderId="29" xfId="0" applyNumberFormat="1" applyFont="1" applyFill="1" applyBorder="1" applyAlignment="1">
      <alignment horizontal="center"/>
    </xf>
    <xf numFmtId="0" fontId="3" fillId="0" borderId="32" xfId="0" applyFont="1" applyFill="1" applyBorder="1" applyAlignment="1">
      <alignment horizontal="left"/>
    </xf>
    <xf numFmtId="0" fontId="3" fillId="0" borderId="19" xfId="0" applyFont="1" applyFill="1" applyBorder="1" applyAlignment="1">
      <alignment horizontal="left"/>
    </xf>
    <xf numFmtId="165" fontId="3" fillId="0" borderId="19" xfId="0" applyNumberFormat="1" applyFont="1" applyFill="1" applyBorder="1" applyAlignment="1">
      <alignment horizontal="center"/>
    </xf>
    <xf numFmtId="0" fontId="4" fillId="0" borderId="48" xfId="0" applyFont="1" applyFill="1" applyBorder="1" applyAlignment="1">
      <alignment horizontal="center"/>
    </xf>
    <xf numFmtId="0" fontId="4" fillId="0" borderId="50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0" borderId="51" xfId="0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 vertical="center" wrapText="1"/>
    </xf>
    <xf numFmtId="0" fontId="4" fillId="0" borderId="56" xfId="0" applyFont="1" applyFill="1" applyBorder="1" applyAlignment="1">
      <alignment horizontal="center" vertical="center" wrapText="1"/>
    </xf>
    <xf numFmtId="0" fontId="4" fillId="0" borderId="54" xfId="0" applyFont="1" applyFill="1" applyBorder="1" applyAlignment="1">
      <alignment horizontal="center" vertical="center" wrapText="1"/>
    </xf>
    <xf numFmtId="0" fontId="4" fillId="0" borderId="55" xfId="0" applyFont="1" applyFill="1" applyBorder="1" applyAlignment="1">
      <alignment horizontal="center" vertical="center" wrapText="1"/>
    </xf>
    <xf numFmtId="0" fontId="4" fillId="0" borderId="57" xfId="0" applyFont="1" applyFill="1" applyBorder="1" applyAlignment="1">
      <alignment horizontal="center" vertical="center" wrapText="1"/>
    </xf>
    <xf numFmtId="0" fontId="4" fillId="0" borderId="38" xfId="0" applyFont="1" applyFill="1" applyBorder="1" applyAlignment="1">
      <alignment horizontal="center" vertical="center" wrapText="1"/>
    </xf>
    <xf numFmtId="0" fontId="4" fillId="0" borderId="30" xfId="0" applyFont="1" applyFill="1" applyBorder="1" applyAlignment="1">
      <alignment horizontal="center" vertical="center" wrapText="1"/>
    </xf>
    <xf numFmtId="0" fontId="4" fillId="0" borderId="24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" fillId="0" borderId="66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left"/>
    </xf>
    <xf numFmtId="0" fontId="4" fillId="0" borderId="17" xfId="0" applyFont="1" applyFill="1" applyBorder="1" applyAlignment="1">
      <alignment horizontal="left"/>
    </xf>
    <xf numFmtId="0" fontId="4" fillId="0" borderId="51" xfId="0" applyFont="1" applyFill="1" applyBorder="1" applyAlignment="1">
      <alignment horizontal="left"/>
    </xf>
    <xf numFmtId="4" fontId="4" fillId="0" borderId="50" xfId="0" applyNumberFormat="1" applyFont="1" applyFill="1" applyBorder="1" applyAlignment="1">
      <alignment horizontal="center"/>
    </xf>
    <xf numFmtId="4" fontId="4" fillId="0" borderId="17" xfId="0" applyNumberFormat="1" applyFont="1" applyFill="1" applyBorder="1" applyAlignment="1">
      <alignment horizontal="center"/>
    </xf>
    <xf numFmtId="4" fontId="4" fillId="0" borderId="51" xfId="0" applyNumberFormat="1" applyFont="1" applyFill="1" applyBorder="1" applyAlignment="1">
      <alignment horizontal="center"/>
    </xf>
    <xf numFmtId="0" fontId="4" fillId="0" borderId="50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51" xfId="0" applyFont="1" applyFill="1" applyBorder="1" applyAlignment="1">
      <alignment horizontal="center" vertical="center"/>
    </xf>
    <xf numFmtId="2" fontId="4" fillId="0" borderId="50" xfId="0" applyNumberFormat="1" applyFont="1" applyFill="1" applyBorder="1" applyAlignment="1">
      <alignment horizontal="center"/>
    </xf>
    <xf numFmtId="2" fontId="4" fillId="0" borderId="17" xfId="0" applyNumberFormat="1" applyFont="1" applyFill="1" applyBorder="1" applyAlignment="1">
      <alignment horizontal="center"/>
    </xf>
    <xf numFmtId="2" fontId="4" fillId="0" borderId="18" xfId="0" applyNumberFormat="1" applyFont="1" applyFill="1" applyBorder="1" applyAlignment="1">
      <alignment horizontal="center"/>
    </xf>
    <xf numFmtId="4" fontId="3" fillId="0" borderId="19" xfId="0" applyNumberFormat="1" applyFont="1" applyFill="1" applyBorder="1" applyAlignment="1">
      <alignment horizontal="center" vertical="center"/>
    </xf>
    <xf numFmtId="2" fontId="3" fillId="0" borderId="33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2" fontId="3" fillId="0" borderId="34" xfId="0" applyNumberFormat="1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3" fillId="0" borderId="42" xfId="0" applyFont="1" applyFill="1" applyBorder="1" applyAlignment="1">
      <alignment horizontal="center"/>
    </xf>
    <xf numFmtId="0" fontId="3" fillId="0" borderId="43" xfId="0" applyFont="1" applyFill="1" applyBorder="1" applyAlignment="1">
      <alignment horizontal="center"/>
    </xf>
    <xf numFmtId="0" fontId="4" fillId="0" borderId="44" xfId="0" applyFont="1" applyFill="1" applyBorder="1" applyAlignment="1">
      <alignment horizontal="center"/>
    </xf>
    <xf numFmtId="0" fontId="4" fillId="0" borderId="59" xfId="0" applyFont="1" applyFill="1" applyBorder="1" applyAlignment="1">
      <alignment horizontal="center"/>
    </xf>
    <xf numFmtId="0" fontId="3" fillId="0" borderId="53" xfId="0" applyFont="1" applyFill="1" applyBorder="1" applyAlignment="1">
      <alignment horizontal="left"/>
    </xf>
    <xf numFmtId="0" fontId="3" fillId="0" borderId="54" xfId="0" applyFont="1" applyFill="1" applyBorder="1" applyAlignment="1">
      <alignment horizontal="left"/>
    </xf>
    <xf numFmtId="0" fontId="3" fillId="0" borderId="55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left"/>
    </xf>
    <xf numFmtId="0" fontId="3" fillId="0" borderId="24" xfId="0" applyFont="1" applyFill="1" applyBorder="1" applyAlignment="1">
      <alignment horizontal="left"/>
    </xf>
    <xf numFmtId="0" fontId="3" fillId="0" borderId="25" xfId="0" applyFont="1" applyFill="1" applyBorder="1" applyAlignment="1">
      <alignment horizontal="left"/>
    </xf>
    <xf numFmtId="4" fontId="3" fillId="0" borderId="38" xfId="0" applyNumberFormat="1" applyFont="1" applyFill="1" applyBorder="1" applyAlignment="1">
      <alignment horizontal="center" vertical="center"/>
    </xf>
    <xf numFmtId="2" fontId="3" fillId="0" borderId="9" xfId="0" applyNumberFormat="1" applyFont="1" applyFill="1" applyBorder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2" fontId="3" fillId="0" borderId="10" xfId="0" applyNumberFormat="1" applyFont="1" applyFill="1" applyBorder="1" applyAlignment="1">
      <alignment horizontal="center"/>
    </xf>
    <xf numFmtId="165" fontId="4" fillId="0" borderId="50" xfId="0" applyNumberFormat="1" applyFont="1" applyFill="1" applyBorder="1" applyAlignment="1">
      <alignment horizontal="center"/>
    </xf>
    <xf numFmtId="165" fontId="4" fillId="0" borderId="17" xfId="0" applyNumberFormat="1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4" xfId="0" applyFont="1" applyFill="1" applyBorder="1" applyAlignment="1">
      <alignment horizontal="center" vertical="center"/>
    </xf>
    <xf numFmtId="0" fontId="4" fillId="0" borderId="55" xfId="0" applyFont="1" applyFill="1" applyBorder="1" applyAlignment="1">
      <alignment horizontal="center" vertical="center"/>
    </xf>
    <xf numFmtId="0" fontId="4" fillId="0" borderId="56" xfId="0" applyFont="1" applyFill="1" applyBorder="1" applyAlignment="1">
      <alignment horizontal="center" vertical="center"/>
    </xf>
    <xf numFmtId="0" fontId="4" fillId="0" borderId="57" xfId="0" applyFont="1" applyFill="1" applyBorder="1" applyAlignment="1">
      <alignment horizontal="center" vertical="center"/>
    </xf>
    <xf numFmtId="2" fontId="3" fillId="0" borderId="60" xfId="0" applyNumberFormat="1" applyFont="1" applyFill="1" applyBorder="1" applyAlignment="1">
      <alignment horizontal="center"/>
    </xf>
    <xf numFmtId="2" fontId="3" fillId="0" borderId="42" xfId="0" applyNumberFormat="1" applyFont="1" applyFill="1" applyBorder="1" applyAlignment="1">
      <alignment horizontal="center"/>
    </xf>
    <xf numFmtId="2" fontId="3" fillId="0" borderId="61" xfId="0" applyNumberFormat="1" applyFont="1" applyFill="1" applyBorder="1" applyAlignment="1">
      <alignment horizontal="center"/>
    </xf>
    <xf numFmtId="0" fontId="3" fillId="0" borderId="41" xfId="0" applyFont="1" applyFill="1" applyBorder="1" applyAlignment="1">
      <alignment horizontal="left" wrapText="1"/>
    </xf>
    <xf numFmtId="0" fontId="3" fillId="0" borderId="42" xfId="0" applyFont="1" applyFill="1" applyBorder="1" applyAlignment="1">
      <alignment horizontal="left" wrapText="1"/>
    </xf>
    <xf numFmtId="0" fontId="3" fillId="0" borderId="43" xfId="0" applyFont="1" applyFill="1" applyBorder="1" applyAlignment="1">
      <alignment horizontal="left" wrapText="1"/>
    </xf>
    <xf numFmtId="165" fontId="3" fillId="0" borderId="60" xfId="0" applyNumberFormat="1" applyFont="1" applyFill="1" applyBorder="1" applyAlignment="1">
      <alignment horizontal="center" vertical="center"/>
    </xf>
    <xf numFmtId="165" fontId="3" fillId="0" borderId="42" xfId="0" applyNumberFormat="1" applyFont="1" applyFill="1" applyBorder="1" applyAlignment="1">
      <alignment horizontal="center" vertical="center"/>
    </xf>
    <xf numFmtId="165" fontId="3" fillId="0" borderId="43" xfId="0" applyNumberFormat="1" applyFont="1" applyFill="1" applyBorder="1" applyAlignment="1">
      <alignment horizontal="center" vertical="center"/>
    </xf>
    <xf numFmtId="0" fontId="3" fillId="0" borderId="32" xfId="0" applyFont="1" applyFill="1" applyBorder="1" applyAlignment="1">
      <alignment horizontal="left" wrapText="1"/>
    </xf>
    <xf numFmtId="0" fontId="3" fillId="0" borderId="19" xfId="0" applyFont="1" applyFill="1" applyBorder="1" applyAlignment="1">
      <alignment horizontal="left" wrapText="1"/>
    </xf>
    <xf numFmtId="165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/>
    </xf>
    <xf numFmtId="2" fontId="3" fillId="0" borderId="22" xfId="0" applyNumberFormat="1" applyFont="1" applyFill="1" applyBorder="1" applyAlignment="1">
      <alignment horizontal="center"/>
    </xf>
    <xf numFmtId="165" fontId="3" fillId="0" borderId="56" xfId="0" applyNumberFormat="1" applyFont="1" applyFill="1" applyBorder="1" applyAlignment="1">
      <alignment horizontal="center" vertical="center"/>
    </xf>
    <xf numFmtId="165" fontId="3" fillId="0" borderId="54" xfId="0" applyNumberFormat="1" applyFont="1" applyFill="1" applyBorder="1" applyAlignment="1">
      <alignment horizontal="center" vertical="center"/>
    </xf>
    <xf numFmtId="165" fontId="3" fillId="0" borderId="55" xfId="0" applyNumberFormat="1" applyFont="1" applyFill="1" applyBorder="1" applyAlignment="1">
      <alignment horizontal="center" vertical="center"/>
    </xf>
    <xf numFmtId="2" fontId="3" fillId="0" borderId="56" xfId="0" applyNumberFormat="1" applyFont="1" applyFill="1" applyBorder="1" applyAlignment="1">
      <alignment horizontal="center"/>
    </xf>
    <xf numFmtId="2" fontId="3" fillId="0" borderId="54" xfId="0" applyNumberFormat="1" applyFont="1" applyFill="1" applyBorder="1" applyAlignment="1">
      <alignment horizontal="center"/>
    </xf>
    <xf numFmtId="2" fontId="3" fillId="0" borderId="57" xfId="0" applyNumberFormat="1" applyFont="1" applyFill="1" applyBorder="1" applyAlignment="1">
      <alignment horizontal="center"/>
    </xf>
    <xf numFmtId="0" fontId="4" fillId="0" borderId="48" xfId="0" applyFont="1" applyFill="1" applyBorder="1" applyAlignment="1">
      <alignment horizontal="left"/>
    </xf>
    <xf numFmtId="0" fontId="4" fillId="0" borderId="49" xfId="0" applyFont="1" applyFill="1" applyBorder="1" applyAlignment="1">
      <alignment horizontal="left"/>
    </xf>
    <xf numFmtId="165" fontId="4" fillId="0" borderId="49" xfId="0" applyNumberFormat="1" applyFont="1" applyFill="1" applyBorder="1" applyAlignment="1">
      <alignment horizontal="center"/>
    </xf>
    <xf numFmtId="2" fontId="4" fillId="0" borderId="49" xfId="0" applyNumberFormat="1" applyFont="1" applyFill="1" applyBorder="1" applyAlignment="1">
      <alignment horizontal="center"/>
    </xf>
    <xf numFmtId="2" fontId="4" fillId="0" borderId="52" xfId="0" applyNumberFormat="1" applyFont="1" applyFill="1" applyBorder="1" applyAlignment="1">
      <alignment horizontal="center"/>
    </xf>
    <xf numFmtId="2" fontId="3" fillId="0" borderId="20" xfId="0" applyNumberFormat="1" applyFont="1" applyFill="1" applyBorder="1" applyAlignment="1">
      <alignment horizontal="center"/>
    </xf>
    <xf numFmtId="2" fontId="3" fillId="0" borderId="2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3" fillId="0" borderId="40" xfId="0" applyFont="1" applyFill="1" applyBorder="1" applyAlignment="1">
      <alignment horizontal="left"/>
    </xf>
    <xf numFmtId="0" fontId="3" fillId="0" borderId="20" xfId="0" applyFont="1" applyFill="1" applyBorder="1" applyAlignment="1">
      <alignment horizontal="left"/>
    </xf>
    <xf numFmtId="0" fontId="3" fillId="0" borderId="9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44" xfId="0" applyFont="1" applyFill="1" applyBorder="1" applyAlignment="1">
      <alignment horizontal="left"/>
    </xf>
    <xf numFmtId="0" fontId="3" fillId="0" borderId="45" xfId="0" applyFont="1" applyFill="1" applyBorder="1" applyAlignment="1">
      <alignment horizontal="left"/>
    </xf>
    <xf numFmtId="0" fontId="3" fillId="0" borderId="39" xfId="0" applyFont="1" applyFill="1" applyBorder="1" applyAlignment="1">
      <alignment horizontal="left"/>
    </xf>
    <xf numFmtId="165" fontId="3" fillId="0" borderId="38" xfId="0" applyNumberFormat="1" applyFont="1" applyFill="1" applyBorder="1" applyAlignment="1">
      <alignment horizontal="center"/>
    </xf>
    <xf numFmtId="2" fontId="3" fillId="0" borderId="46" xfId="0" applyNumberFormat="1" applyFont="1" applyFill="1" applyBorder="1" applyAlignment="1">
      <alignment horizontal="center"/>
    </xf>
    <xf numFmtId="2" fontId="3" fillId="0" borderId="47" xfId="0" applyNumberFormat="1" applyFont="1" applyFill="1" applyBorder="1" applyAlignment="1">
      <alignment horizontal="center"/>
    </xf>
    <xf numFmtId="10" fontId="4" fillId="0" borderId="12" xfId="0" applyNumberFormat="1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165" fontId="4" fillId="0" borderId="27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left"/>
    </xf>
    <xf numFmtId="0" fontId="2" fillId="0" borderId="31" xfId="0" applyFont="1" applyFill="1" applyBorder="1" applyAlignment="1">
      <alignment horizontal="left"/>
    </xf>
    <xf numFmtId="0" fontId="2" fillId="0" borderId="28" xfId="0" applyFont="1" applyFill="1" applyBorder="1" applyAlignment="1">
      <alignment horizontal="left"/>
    </xf>
    <xf numFmtId="165" fontId="2" fillId="0" borderId="28" xfId="0" applyNumberFormat="1" applyFont="1" applyFill="1" applyBorder="1" applyAlignment="1">
      <alignment horizontal="center"/>
    </xf>
    <xf numFmtId="165" fontId="2" fillId="0" borderId="29" xfId="0" applyNumberFormat="1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 vertical="center"/>
    </xf>
    <xf numFmtId="0" fontId="4" fillId="0" borderId="35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2" fillId="0" borderId="37" xfId="0" applyFont="1" applyFill="1" applyBorder="1" applyAlignment="1">
      <alignment horizontal="left"/>
    </xf>
    <xf numFmtId="0" fontId="2" fillId="0" borderId="38" xfId="0" applyFont="1" applyFill="1" applyBorder="1" applyAlignment="1">
      <alignment horizontal="left"/>
    </xf>
    <xf numFmtId="165" fontId="2" fillId="0" borderId="19" xfId="0" applyNumberFormat="1" applyFont="1" applyFill="1" applyBorder="1" applyAlignment="1">
      <alignment horizontal="center"/>
    </xf>
    <xf numFmtId="165" fontId="2" fillId="0" borderId="22" xfId="0" applyNumberFormat="1" applyFont="1" applyFill="1" applyBorder="1" applyAlignment="1">
      <alignment horizontal="center"/>
    </xf>
    <xf numFmtId="165" fontId="2" fillId="0" borderId="39" xfId="0" applyNumberFormat="1" applyFont="1" applyFill="1" applyBorder="1" applyAlignment="1">
      <alignment horizontal="center"/>
    </xf>
    <xf numFmtId="165" fontId="2" fillId="0" borderId="26" xfId="0" applyNumberFormat="1" applyFont="1" applyFill="1" applyBorder="1" applyAlignment="1">
      <alignment horizontal="center"/>
    </xf>
    <xf numFmtId="165" fontId="2" fillId="0" borderId="27" xfId="0" applyNumberFormat="1" applyFont="1" applyFill="1" applyBorder="1" applyAlignment="1">
      <alignment horizontal="center"/>
    </xf>
    <xf numFmtId="165" fontId="3" fillId="0" borderId="1" xfId="0" applyNumberFormat="1" applyFont="1" applyFill="1" applyBorder="1" applyAlignment="1">
      <alignment horizontal="center"/>
    </xf>
    <xf numFmtId="165" fontId="3" fillId="0" borderId="36" xfId="0" applyNumberFormat="1" applyFont="1" applyFill="1" applyBorder="1" applyAlignment="1">
      <alignment horizontal="center"/>
    </xf>
    <xf numFmtId="0" fontId="3" fillId="0" borderId="32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/>
    <xf numFmtId="165" fontId="3" fillId="0" borderId="22" xfId="0" applyNumberFormat="1" applyFont="1" applyFill="1" applyBorder="1" applyAlignment="1">
      <alignment horizontal="center" vertical="center"/>
    </xf>
    <xf numFmtId="165" fontId="3" fillId="0" borderId="26" xfId="0" applyNumberFormat="1" applyFont="1" applyFill="1" applyBorder="1" applyAlignment="1">
      <alignment horizontal="center" vertical="center"/>
    </xf>
    <xf numFmtId="165" fontId="3" fillId="0" borderId="27" xfId="0" applyNumberFormat="1" applyFont="1" applyFill="1" applyBorder="1" applyAlignment="1">
      <alignment horizontal="center" vertical="center"/>
    </xf>
    <xf numFmtId="165" fontId="3" fillId="0" borderId="9" xfId="0" applyNumberFormat="1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/>
    </xf>
    <xf numFmtId="0" fontId="3" fillId="0" borderId="31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165" fontId="3" fillId="0" borderId="28" xfId="0" applyNumberFormat="1" applyFont="1" applyFill="1" applyBorder="1" applyAlignment="1">
      <alignment horizontal="center" vertical="center"/>
    </xf>
    <xf numFmtId="3" fontId="3" fillId="0" borderId="28" xfId="0" applyNumberFormat="1" applyFont="1" applyFill="1" applyBorder="1" applyAlignment="1">
      <alignment horizontal="center" vertical="center"/>
    </xf>
    <xf numFmtId="3" fontId="3" fillId="0" borderId="19" xfId="0" applyNumberFormat="1" applyFont="1" applyFill="1" applyBorder="1" applyAlignment="1">
      <alignment horizontal="center" vertical="center"/>
    </xf>
    <xf numFmtId="165" fontId="3" fillId="0" borderId="22" xfId="0" applyNumberFormat="1" applyFont="1" applyFill="1" applyBorder="1" applyAlignment="1">
      <alignment horizontal="center"/>
    </xf>
    <xf numFmtId="0" fontId="3" fillId="0" borderId="40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3" fontId="3" fillId="0" borderId="20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horizontal="center" vertical="center"/>
    </xf>
    <xf numFmtId="165" fontId="3" fillId="0" borderId="36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/>
    </xf>
    <xf numFmtId="0" fontId="3" fillId="0" borderId="35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center" vertical="center" wrapText="1"/>
    </xf>
    <xf numFmtId="3" fontId="3" fillId="0" borderId="26" xfId="0" applyNumberFormat="1" applyFont="1" applyFill="1" applyBorder="1" applyAlignment="1">
      <alignment horizontal="center" vertical="center"/>
    </xf>
    <xf numFmtId="165" fontId="3" fillId="0" borderId="29" xfId="0" applyNumberFormat="1" applyFont="1" applyFill="1" applyBorder="1" applyAlignment="1">
      <alignment horizontal="center" vertical="center"/>
    </xf>
    <xf numFmtId="165" fontId="3" fillId="0" borderId="9" xfId="0" applyNumberFormat="1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165" fontId="4" fillId="0" borderId="20" xfId="0" applyNumberFormat="1" applyFont="1" applyFill="1" applyBorder="1" applyAlignment="1">
      <alignment horizontal="center"/>
    </xf>
    <xf numFmtId="165" fontId="4" fillId="0" borderId="21" xfId="0" applyNumberFormat="1" applyFont="1" applyFill="1" applyBorder="1" applyAlignment="1">
      <alignment horizontal="center"/>
    </xf>
    <xf numFmtId="165" fontId="3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9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4" fontId="4" fillId="0" borderId="2" xfId="0" applyNumberFormat="1" applyFont="1" applyFill="1" applyBorder="1" applyAlignment="1">
      <alignment horizontal="center"/>
    </xf>
    <xf numFmtId="4" fontId="4" fillId="0" borderId="3" xfId="0" applyNumberFormat="1" applyFont="1" applyFill="1" applyBorder="1" applyAlignment="1">
      <alignment horizontal="center"/>
    </xf>
    <xf numFmtId="4" fontId="4" fillId="0" borderId="4" xfId="0" applyNumberFormat="1" applyFont="1" applyFill="1" applyBorder="1" applyAlignment="1">
      <alignment horizontal="center"/>
    </xf>
    <xf numFmtId="165" fontId="3" fillId="0" borderId="6" xfId="0" applyNumberFormat="1" applyFont="1" applyFill="1" applyBorder="1" applyAlignment="1">
      <alignment horizontal="center" vertical="center"/>
    </xf>
    <xf numFmtId="165" fontId="3" fillId="0" borderId="3" xfId="0" applyNumberFormat="1" applyFont="1" applyFill="1" applyBorder="1" applyAlignment="1">
      <alignment horizontal="center" vertical="center"/>
    </xf>
    <xf numFmtId="165" fontId="3" fillId="0" borderId="4" xfId="0" applyNumberFormat="1" applyFont="1" applyFill="1" applyBorder="1" applyAlignment="1">
      <alignment horizontal="center" vertical="center"/>
    </xf>
    <xf numFmtId="165" fontId="3" fillId="0" borderId="9" xfId="0" applyNumberFormat="1" applyFont="1" applyFill="1" applyBorder="1" applyAlignment="1">
      <alignment horizontal="center" vertical="center"/>
    </xf>
    <xf numFmtId="165" fontId="3" fillId="0" borderId="10" xfId="0" applyNumberFormat="1" applyFont="1" applyFill="1" applyBorder="1" applyAlignment="1">
      <alignment horizontal="center" vertical="center"/>
    </xf>
    <xf numFmtId="165" fontId="3" fillId="0" borderId="33" xfId="0" applyNumberFormat="1" applyFont="1" applyFill="1" applyBorder="1" applyAlignment="1">
      <alignment horizontal="center" vertical="center"/>
    </xf>
    <xf numFmtId="165" fontId="3" fillId="0" borderId="34" xfId="0" applyNumberFormat="1" applyFont="1" applyFill="1" applyBorder="1" applyAlignment="1">
      <alignment horizontal="center" vertical="center"/>
    </xf>
    <xf numFmtId="165" fontId="3" fillId="0" borderId="2" xfId="0" applyNumberFormat="1" applyFont="1" applyFill="1" applyBorder="1" applyAlignment="1">
      <alignment horizontal="center" vertical="center"/>
    </xf>
    <xf numFmtId="165" fontId="3" fillId="0" borderId="7" xfId="0" applyNumberFormat="1" applyFont="1" applyFill="1" applyBorder="1" applyAlignment="1">
      <alignment horizontal="center" vertical="center"/>
    </xf>
    <xf numFmtId="165" fontId="3" fillId="0" borderId="11" xfId="0" applyNumberFormat="1" applyFont="1" applyFill="1" applyBorder="1" applyAlignment="1">
      <alignment horizontal="center" vertical="center"/>
    </xf>
    <xf numFmtId="165" fontId="3" fillId="0" borderId="12" xfId="0" applyNumberFormat="1" applyFont="1" applyFill="1" applyBorder="1" applyAlignment="1">
      <alignment horizontal="center" vertical="center"/>
    </xf>
    <xf numFmtId="9" fontId="3" fillId="0" borderId="31" xfId="0" applyNumberFormat="1" applyFont="1" applyFill="1" applyBorder="1" applyAlignment="1">
      <alignment horizontal="center" vertical="center"/>
    </xf>
    <xf numFmtId="9" fontId="3" fillId="0" borderId="28" xfId="0" applyNumberFormat="1" applyFont="1" applyFill="1" applyBorder="1" applyAlignment="1">
      <alignment horizontal="center" vertical="center"/>
    </xf>
    <xf numFmtId="9" fontId="3" fillId="0" borderId="29" xfId="0" applyNumberFormat="1" applyFont="1" applyFill="1" applyBorder="1" applyAlignment="1">
      <alignment horizontal="center" vertical="center"/>
    </xf>
    <xf numFmtId="9" fontId="3" fillId="0" borderId="32" xfId="0" applyNumberFormat="1" applyFont="1" applyFill="1" applyBorder="1" applyAlignment="1">
      <alignment horizontal="center" vertical="center"/>
    </xf>
    <xf numFmtId="9" fontId="3" fillId="0" borderId="19" xfId="0" applyNumberFormat="1" applyFont="1" applyFill="1" applyBorder="1" applyAlignment="1">
      <alignment horizontal="center" vertical="center"/>
    </xf>
    <xf numFmtId="9" fontId="3" fillId="0" borderId="22" xfId="0" applyNumberFormat="1" applyFont="1" applyFill="1" applyBorder="1" applyAlignment="1">
      <alignment horizontal="center" vertical="center"/>
    </xf>
    <xf numFmtId="9" fontId="3" fillId="0" borderId="35" xfId="0" applyNumberFormat="1" applyFont="1" applyFill="1" applyBorder="1" applyAlignment="1">
      <alignment horizontal="center" vertical="center"/>
    </xf>
    <xf numFmtId="9" fontId="3" fillId="0" borderId="26" xfId="0" applyNumberFormat="1" applyFont="1" applyFill="1" applyBorder="1" applyAlignment="1">
      <alignment horizontal="center" vertical="center"/>
    </xf>
    <xf numFmtId="9" fontId="3" fillId="0" borderId="27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165" fontId="3" fillId="0" borderId="5" xfId="0" applyNumberFormat="1" applyFont="1" applyFill="1" applyBorder="1" applyAlignment="1">
      <alignment horizontal="center" vertical="center"/>
    </xf>
    <xf numFmtId="165" fontId="3" fillId="0" borderId="8" xfId="0" applyNumberFormat="1" applyFont="1" applyFill="1" applyBorder="1" applyAlignment="1">
      <alignment horizontal="center" vertical="center"/>
    </xf>
    <xf numFmtId="3" fontId="3" fillId="0" borderId="33" xfId="0" applyNumberFormat="1" applyFont="1" applyFill="1" applyBorder="1" applyAlignment="1">
      <alignment horizontal="center" vertical="center"/>
    </xf>
    <xf numFmtId="3" fontId="3" fillId="0" borderId="1" xfId="0" applyNumberFormat="1" applyFont="1" applyFill="1" applyBorder="1" applyAlignment="1">
      <alignment horizontal="center" vertical="center"/>
    </xf>
    <xf numFmtId="3" fontId="3" fillId="0" borderId="36" xfId="0" applyNumberFormat="1" applyFont="1" applyFill="1" applyBorder="1" applyAlignment="1">
      <alignment horizontal="center" vertical="center"/>
    </xf>
    <xf numFmtId="0" fontId="0" fillId="0" borderId="3" xfId="0" applyFill="1" applyBorder="1"/>
    <xf numFmtId="0" fontId="0" fillId="0" borderId="5" xfId="0" applyFill="1" applyBorder="1"/>
    <xf numFmtId="0" fontId="0" fillId="0" borderId="9" xfId="0" applyFill="1" applyBorder="1"/>
    <xf numFmtId="0" fontId="0" fillId="0" borderId="0" xfId="0" applyFill="1"/>
    <xf numFmtId="0" fontId="0" fillId="0" borderId="8" xfId="0" applyFill="1" applyBorder="1"/>
    <xf numFmtId="0" fontId="0" fillId="0" borderId="14" xfId="0" applyFill="1" applyBorder="1"/>
    <xf numFmtId="0" fontId="0" fillId="0" borderId="12" xfId="0" applyFill="1" applyBorder="1"/>
    <xf numFmtId="0" fontId="0" fillId="0" borderId="13" xfId="0" applyFill="1" applyBorder="1"/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0" xfId="0" applyFont="1" applyFill="1" applyAlignment="1">
      <alignment horizontal="right"/>
    </xf>
    <xf numFmtId="0" fontId="11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63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36" xfId="0" applyNumberFormat="1" applyFont="1" applyFill="1" applyBorder="1" applyAlignment="1">
      <alignment horizontal="center" vertical="center" wrapText="1"/>
    </xf>
    <xf numFmtId="165" fontId="3" fillId="0" borderId="14" xfId="0" applyNumberFormat="1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165" fontId="3" fillId="0" borderId="0" xfId="0" applyNumberFormat="1" applyFont="1" applyFill="1" applyBorder="1" applyAlignment="1">
      <alignment horizontal="left"/>
    </xf>
    <xf numFmtId="0" fontId="0" fillId="0" borderId="0" xfId="0" applyFill="1" applyAlignment="1"/>
    <xf numFmtId="164" fontId="3" fillId="11" borderId="0" xfId="1" applyFont="1" applyFill="1" applyAlignment="1"/>
    <xf numFmtId="164" fontId="0" fillId="11" borderId="0" xfId="1" applyFont="1" applyFill="1" applyAlignment="1"/>
    <xf numFmtId="9" fontId="3" fillId="0" borderId="20" xfId="0" applyNumberFormat="1" applyFont="1" applyFill="1" applyBorder="1" applyAlignment="1">
      <alignment horizontal="center" vertical="center"/>
    </xf>
    <xf numFmtId="165" fontId="3" fillId="0" borderId="20" xfId="0" applyNumberFormat="1" applyFont="1" applyFill="1" applyBorder="1" applyAlignment="1">
      <alignment horizontal="center" vertical="center"/>
    </xf>
    <xf numFmtId="165" fontId="3" fillId="0" borderId="21" xfId="0" applyNumberFormat="1" applyFont="1" applyFill="1" applyBorder="1" applyAlignment="1">
      <alignment horizontal="center" vertical="center"/>
    </xf>
    <xf numFmtId="0" fontId="3" fillId="0" borderId="6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165" fontId="3" fillId="0" borderId="24" xfId="0" applyNumberFormat="1" applyFont="1" applyFill="1" applyBorder="1" applyAlignment="1">
      <alignment horizontal="center" vertical="center"/>
    </xf>
    <xf numFmtId="165" fontId="3" fillId="0" borderId="25" xfId="0" applyNumberFormat="1" applyFont="1" applyFill="1" applyBorder="1" applyAlignment="1">
      <alignment horizontal="center" vertical="center"/>
    </xf>
    <xf numFmtId="3" fontId="3" fillId="0" borderId="30" xfId="0" applyNumberFormat="1" applyFont="1" applyFill="1" applyBorder="1" applyAlignment="1">
      <alignment horizontal="center" vertical="center"/>
    </xf>
    <xf numFmtId="3" fontId="3" fillId="0" borderId="24" xfId="0" applyNumberFormat="1" applyFont="1" applyFill="1" applyBorder="1" applyAlignment="1">
      <alignment horizontal="center" vertical="center"/>
    </xf>
    <xf numFmtId="3" fontId="3" fillId="0" borderId="25" xfId="0" applyNumberFormat="1" applyFont="1" applyFill="1" applyBorder="1" applyAlignment="1">
      <alignment horizontal="center" vertical="center"/>
    </xf>
    <xf numFmtId="165" fontId="3" fillId="0" borderId="30" xfId="0" applyNumberFormat="1" applyFont="1" applyFill="1" applyBorder="1" applyAlignment="1">
      <alignment horizontal="center" vertical="center"/>
    </xf>
    <xf numFmtId="165" fontId="3" fillId="0" borderId="1" xfId="0" applyNumberFormat="1" applyFont="1" applyFill="1" applyBorder="1" applyAlignment="1">
      <alignment vertical="center"/>
    </xf>
    <xf numFmtId="165" fontId="3" fillId="0" borderId="56" xfId="0" applyNumberFormat="1" applyFont="1" applyFill="1" applyBorder="1" applyAlignment="1">
      <alignment horizontal="center"/>
    </xf>
    <xf numFmtId="165" fontId="3" fillId="0" borderId="54" xfId="0" applyNumberFormat="1" applyFont="1" applyFill="1" applyBorder="1" applyAlignment="1">
      <alignment horizontal="center"/>
    </xf>
    <xf numFmtId="165" fontId="3" fillId="0" borderId="55" xfId="0" applyNumberFormat="1" applyFont="1" applyFill="1" applyBorder="1" applyAlignment="1">
      <alignment horizontal="center"/>
    </xf>
    <xf numFmtId="0" fontId="3" fillId="0" borderId="60" xfId="0" applyFont="1" applyFill="1" applyBorder="1" applyAlignment="1">
      <alignment horizontal="left" wrapText="1"/>
    </xf>
    <xf numFmtId="2" fontId="3" fillId="0" borderId="43" xfId="0" applyNumberFormat="1" applyFont="1" applyFill="1" applyBorder="1" applyAlignment="1">
      <alignment horizontal="center"/>
    </xf>
    <xf numFmtId="0" fontId="3" fillId="0" borderId="38" xfId="0" applyFont="1" applyFill="1" applyBorder="1" applyAlignment="1">
      <alignment horizontal="left" wrapText="1"/>
    </xf>
    <xf numFmtId="165" fontId="3" fillId="0" borderId="38" xfId="0" applyNumberFormat="1" applyFont="1" applyFill="1" applyBorder="1" applyAlignment="1">
      <alignment horizontal="center" vertical="center"/>
    </xf>
    <xf numFmtId="2" fontId="3" fillId="0" borderId="38" xfId="0" applyNumberFormat="1" applyFont="1" applyFill="1" applyBorder="1" applyAlignment="1">
      <alignment horizontal="center"/>
    </xf>
    <xf numFmtId="0" fontId="4" fillId="0" borderId="19" xfId="0" applyFont="1" applyFill="1" applyBorder="1" applyAlignment="1">
      <alignment horizontal="center" vertical="center" wrapText="1"/>
    </xf>
    <xf numFmtId="0" fontId="4" fillId="0" borderId="60" xfId="0" applyFont="1" applyFill="1" applyBorder="1" applyAlignment="1">
      <alignment horizontal="center" vertical="center" wrapText="1"/>
    </xf>
    <xf numFmtId="0" fontId="4" fillId="0" borderId="42" xfId="0" applyFont="1" applyFill="1" applyBorder="1" applyAlignment="1">
      <alignment horizontal="center" vertical="center" wrapText="1"/>
    </xf>
    <xf numFmtId="0" fontId="4" fillId="0" borderId="43" xfId="0" applyFont="1" applyFill="1" applyBorder="1" applyAlignment="1">
      <alignment horizontal="center" vertical="center" wrapText="1"/>
    </xf>
    <xf numFmtId="0" fontId="4" fillId="0" borderId="32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38" xfId="0" applyFont="1" applyFill="1" applyBorder="1" applyAlignment="1">
      <alignment horizontal="center" vertical="center"/>
    </xf>
    <xf numFmtId="165" fontId="3" fillId="0" borderId="33" xfId="0" applyNumberFormat="1" applyFont="1" applyFill="1" applyBorder="1" applyAlignment="1">
      <alignment horizontal="center" wrapText="1"/>
    </xf>
    <xf numFmtId="165" fontId="3" fillId="0" borderId="1" xfId="0" applyNumberFormat="1" applyFont="1" applyFill="1" applyBorder="1" applyAlignment="1">
      <alignment horizontal="center" wrapText="1"/>
    </xf>
    <xf numFmtId="165" fontId="3" fillId="0" borderId="36" xfId="0" applyNumberFormat="1" applyFont="1" applyFill="1" applyBorder="1" applyAlignment="1">
      <alignment horizontal="center" wrapText="1"/>
    </xf>
    <xf numFmtId="165" fontId="3" fillId="0" borderId="33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horizontal="center" vertical="center" wrapText="1"/>
    </xf>
    <xf numFmtId="165" fontId="3" fillId="0" borderId="36" xfId="0" applyNumberFormat="1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left"/>
    </xf>
    <xf numFmtId="0" fontId="3" fillId="0" borderId="38" xfId="0" applyFont="1" applyFill="1" applyBorder="1" applyAlignment="1">
      <alignment horizontal="left"/>
    </xf>
    <xf numFmtId="0" fontId="4" fillId="0" borderId="30" xfId="0" applyFont="1" applyFill="1" applyBorder="1" applyAlignment="1">
      <alignment horizontal="left" wrapText="1"/>
    </xf>
    <xf numFmtId="3" fontId="3" fillId="0" borderId="30" xfId="0" applyNumberFormat="1" applyFont="1" applyFill="1" applyBorder="1" applyAlignment="1">
      <alignment horizontal="center"/>
    </xf>
    <xf numFmtId="0" fontId="3" fillId="0" borderId="24" xfId="0" applyFont="1" applyFill="1" applyBorder="1" applyAlignment="1">
      <alignment horizontal="center"/>
    </xf>
    <xf numFmtId="0" fontId="3" fillId="0" borderId="25" xfId="0" applyFont="1" applyFill="1" applyBorder="1" applyAlignment="1">
      <alignment horizontal="center"/>
    </xf>
    <xf numFmtId="0" fontId="3" fillId="0" borderId="30" xfId="0" applyFont="1" applyFill="1" applyBorder="1" applyAlignment="1">
      <alignment horizontal="center"/>
    </xf>
    <xf numFmtId="0" fontId="9" fillId="0" borderId="0" xfId="0" applyFont="1" applyFill="1" applyAlignment="1">
      <alignment horizontal="center"/>
    </xf>
    <xf numFmtId="3" fontId="4" fillId="0" borderId="19" xfId="0" applyNumberFormat="1" applyFont="1" applyFill="1" applyBorder="1" applyAlignment="1">
      <alignment horizontal="center"/>
    </xf>
    <xf numFmtId="0" fontId="4" fillId="0" borderId="58" xfId="0" applyFont="1" applyFill="1" applyBorder="1" applyAlignment="1">
      <alignment horizontal="left" wrapText="1"/>
    </xf>
    <xf numFmtId="4" fontId="3" fillId="0" borderId="58" xfId="0" applyNumberFormat="1" applyFont="1" applyFill="1" applyBorder="1" applyAlignment="1">
      <alignment horizontal="center"/>
    </xf>
    <xf numFmtId="4" fontId="3" fillId="0" borderId="45" xfId="0" applyNumberFormat="1" applyFont="1" applyFill="1" applyBorder="1" applyAlignment="1">
      <alignment horizontal="center"/>
    </xf>
    <xf numFmtId="4" fontId="3" fillId="0" borderId="39" xfId="0" applyNumberFormat="1" applyFont="1" applyFill="1" applyBorder="1" applyAlignment="1">
      <alignment horizontal="center"/>
    </xf>
    <xf numFmtId="0" fontId="3" fillId="0" borderId="58" xfId="0" applyFont="1" applyFill="1" applyBorder="1" applyAlignment="1">
      <alignment horizontal="center"/>
    </xf>
    <xf numFmtId="0" fontId="3" fillId="0" borderId="45" xfId="0" applyFont="1" applyFill="1" applyBorder="1" applyAlignment="1">
      <alignment horizontal="center"/>
    </xf>
    <xf numFmtId="0" fontId="3" fillId="0" borderId="39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0" fillId="0" borderId="1" xfId="0" applyBorder="1" applyAlignment="1"/>
    <xf numFmtId="0" fontId="3" fillId="0" borderId="41" xfId="0" applyFont="1" applyFill="1" applyBorder="1" applyAlignment="1">
      <alignment horizontal="left" vertical="center"/>
    </xf>
    <xf numFmtId="0" fontId="0" fillId="0" borderId="42" xfId="0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0" fillId="0" borderId="42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42" xfId="0" applyFill="1" applyBorder="1" applyAlignment="1">
      <alignment horizontal="center" vertical="center"/>
    </xf>
    <xf numFmtId="0" fontId="0" fillId="0" borderId="43" xfId="0" applyFill="1" applyBorder="1" applyAlignment="1">
      <alignment horizontal="center" vertical="center"/>
    </xf>
    <xf numFmtId="2" fontId="3" fillId="0" borderId="0" xfId="0" applyNumberFormat="1" applyFont="1" applyFill="1" applyAlignment="1"/>
    <xf numFmtId="2" fontId="0" fillId="0" borderId="0" xfId="0" applyNumberFormat="1" applyAlignment="1"/>
    <xf numFmtId="0" fontId="3" fillId="0" borderId="70" xfId="0" applyFont="1" applyFill="1" applyBorder="1" applyAlignment="1">
      <alignment horizontal="center" vertical="center" wrapText="1"/>
    </xf>
    <xf numFmtId="0" fontId="3" fillId="0" borderId="62" xfId="0" applyFont="1" applyFill="1" applyBorder="1" applyAlignment="1">
      <alignment horizontal="center" vertical="center" wrapText="1"/>
    </xf>
    <xf numFmtId="0" fontId="3" fillId="0" borderId="71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67" xfId="0" applyFont="1" applyFill="1" applyBorder="1" applyAlignment="1">
      <alignment horizontal="center" vertical="center" wrapText="1"/>
    </xf>
    <xf numFmtId="0" fontId="3" fillId="0" borderId="68" xfId="0" applyFont="1" applyFill="1" applyBorder="1" applyAlignment="1">
      <alignment horizontal="center" vertical="center" wrapText="1"/>
    </xf>
    <xf numFmtId="165" fontId="3" fillId="0" borderId="62" xfId="0" applyNumberFormat="1" applyFont="1" applyFill="1" applyBorder="1" applyAlignment="1">
      <alignment horizontal="center" vertical="center"/>
    </xf>
    <xf numFmtId="165" fontId="3" fillId="0" borderId="46" xfId="0" applyNumberFormat="1" applyFont="1" applyFill="1" applyBorder="1" applyAlignment="1">
      <alignment horizontal="center" vertical="center"/>
    </xf>
    <xf numFmtId="165" fontId="3" fillId="0" borderId="68" xfId="0" applyNumberFormat="1" applyFont="1" applyFill="1" applyBorder="1" applyAlignment="1">
      <alignment horizontal="center" vertical="center"/>
    </xf>
    <xf numFmtId="165" fontId="3" fillId="0" borderId="13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3" fillId="0" borderId="41" xfId="0" applyFont="1" applyFill="1" applyBorder="1" applyAlignment="1">
      <alignment horizontal="left" vertical="center" wrapText="1"/>
    </xf>
    <xf numFmtId="0" fontId="3" fillId="0" borderId="42" xfId="0" applyFont="1" applyFill="1" applyBorder="1" applyAlignment="1">
      <alignment horizontal="left" vertical="center" wrapText="1"/>
    </xf>
    <xf numFmtId="0" fontId="3" fillId="0" borderId="43" xfId="0" applyFont="1" applyFill="1" applyBorder="1" applyAlignment="1">
      <alignment horizontal="left" vertical="center" wrapText="1"/>
    </xf>
    <xf numFmtId="0" fontId="3" fillId="0" borderId="53" xfId="0" applyFont="1" applyFill="1" applyBorder="1" applyAlignment="1">
      <alignment horizontal="left" vertical="center"/>
    </xf>
    <xf numFmtId="0" fontId="3" fillId="0" borderId="54" xfId="0" applyFont="1" applyFill="1" applyBorder="1" applyAlignment="1">
      <alignment horizontal="left" vertical="center"/>
    </xf>
    <xf numFmtId="0" fontId="3" fillId="0" borderId="55" xfId="0" applyFont="1" applyFill="1" applyBorder="1" applyAlignment="1">
      <alignment horizontal="left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42" xfId="0" applyFont="1" applyFill="1" applyBorder="1" applyAlignment="1">
      <alignment horizontal="left" vertical="center"/>
    </xf>
    <xf numFmtId="0" fontId="3" fillId="0" borderId="43" xfId="0" applyFont="1" applyFill="1" applyBorder="1" applyAlignment="1">
      <alignment horizontal="left" vertical="center"/>
    </xf>
    <xf numFmtId="0" fontId="3" fillId="0" borderId="3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2" fontId="3" fillId="0" borderId="26" xfId="0" applyNumberFormat="1" applyFont="1" applyFill="1" applyBorder="1" applyAlignment="1">
      <alignment horizontal="center"/>
    </xf>
    <xf numFmtId="2" fontId="3" fillId="0" borderId="27" xfId="0" applyNumberFormat="1" applyFont="1" applyFill="1" applyBorder="1" applyAlignment="1">
      <alignment horizontal="center"/>
    </xf>
    <xf numFmtId="0" fontId="4" fillId="0" borderId="65" xfId="0" applyFont="1" applyFill="1" applyBorder="1" applyAlignment="1">
      <alignment horizontal="left"/>
    </xf>
    <xf numFmtId="165" fontId="4" fillId="0" borderId="65" xfId="0" applyNumberFormat="1" applyFont="1" applyFill="1" applyBorder="1" applyAlignment="1">
      <alignment horizontal="center"/>
    </xf>
    <xf numFmtId="0" fontId="4" fillId="0" borderId="65" xfId="0" applyFont="1" applyFill="1" applyBorder="1" applyAlignment="1">
      <alignment horizontal="center"/>
    </xf>
    <xf numFmtId="0" fontId="4" fillId="0" borderId="65" xfId="0" applyFont="1" applyFill="1" applyBorder="1" applyAlignment="1">
      <alignment horizontal="center" vertical="center"/>
    </xf>
    <xf numFmtId="2" fontId="4" fillId="0" borderId="65" xfId="0" applyNumberFormat="1" applyFont="1" applyFill="1" applyBorder="1" applyAlignment="1">
      <alignment horizontal="center"/>
    </xf>
    <xf numFmtId="0" fontId="4" fillId="0" borderId="65" xfId="0" applyFont="1" applyFill="1" applyBorder="1" applyAlignment="1">
      <alignment horizontal="center" vertical="center" wrapText="1"/>
    </xf>
    <xf numFmtId="165" fontId="3" fillId="0" borderId="46" xfId="0" applyNumberFormat="1" applyFont="1" applyFill="1" applyBorder="1" applyAlignment="1">
      <alignment horizontal="center"/>
    </xf>
    <xf numFmtId="165" fontId="3" fillId="0" borderId="66" xfId="0" applyNumberFormat="1" applyFont="1" applyFill="1" applyBorder="1" applyAlignment="1">
      <alignment horizontal="center"/>
    </xf>
    <xf numFmtId="164" fontId="4" fillId="0" borderId="26" xfId="1" applyFont="1" applyFill="1" applyBorder="1" applyAlignment="1">
      <alignment horizontal="center"/>
    </xf>
    <xf numFmtId="164" fontId="4" fillId="0" borderId="27" xfId="1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4" fontId="1" fillId="0" borderId="0" xfId="0" applyNumberFormat="1" applyFont="1" applyFill="1" applyAlignment="1">
      <alignment horizontal="center"/>
    </xf>
    <xf numFmtId="0" fontId="9" fillId="0" borderId="0" xfId="0" applyFont="1" applyFill="1" applyAlignment="1"/>
    <xf numFmtId="0" fontId="17" fillId="0" borderId="0" xfId="0" applyFont="1" applyAlignment="1"/>
    <xf numFmtId="4" fontId="15" fillId="0" borderId="0" xfId="0" applyNumberFormat="1" applyFont="1" applyFill="1" applyAlignment="1">
      <alignment horizontal="center"/>
    </xf>
    <xf numFmtId="9" fontId="1" fillId="0" borderId="0" xfId="0" applyNumberFormat="1" applyFont="1" applyFill="1" applyAlignment="1">
      <alignment horizontal="center"/>
    </xf>
    <xf numFmtId="2" fontId="9" fillId="0" borderId="0" xfId="0" applyNumberFormat="1" applyFont="1" applyFill="1" applyAlignment="1"/>
    <xf numFmtId="2" fontId="17" fillId="0" borderId="0" xfId="0" applyNumberFormat="1" applyFont="1" applyAlignment="1"/>
    <xf numFmtId="0" fontId="10" fillId="0" borderId="0" xfId="0" applyFont="1" applyFill="1" applyAlignment="1">
      <alignment horizontal="center"/>
    </xf>
    <xf numFmtId="0" fontId="4" fillId="0" borderId="35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68" xfId="0" applyFont="1" applyFill="1" applyBorder="1" applyAlignment="1">
      <alignment horizontal="center"/>
    </xf>
    <xf numFmtId="0" fontId="4" fillId="0" borderId="69" xfId="0" applyFont="1" applyFill="1" applyBorder="1" applyAlignment="1">
      <alignment horizontal="center"/>
    </xf>
    <xf numFmtId="0" fontId="4" fillId="0" borderId="67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 vertical="center" wrapText="1"/>
    </xf>
    <xf numFmtId="0" fontId="4" fillId="0" borderId="58" xfId="0" applyFont="1" applyFill="1" applyBorder="1" applyAlignment="1">
      <alignment horizontal="center" vertical="center" wrapText="1"/>
    </xf>
    <xf numFmtId="0" fontId="4" fillId="0" borderId="45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 vertical="center"/>
    </xf>
    <xf numFmtId="0" fontId="4" fillId="0" borderId="50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center" vertical="center" wrapText="1"/>
    </xf>
    <xf numFmtId="0" fontId="4" fillId="0" borderId="51" xfId="0" applyFont="1" applyFill="1" applyBorder="1" applyAlignment="1">
      <alignment horizontal="center" vertical="center" wrapText="1"/>
    </xf>
    <xf numFmtId="165" fontId="3" fillId="0" borderId="58" xfId="0" applyNumberFormat="1" applyFont="1" applyFill="1" applyBorder="1" applyAlignment="1">
      <alignment horizontal="center" vertical="center"/>
    </xf>
    <xf numFmtId="165" fontId="3" fillId="0" borderId="45" xfId="0" applyNumberFormat="1" applyFont="1" applyFill="1" applyBorder="1" applyAlignment="1">
      <alignment horizontal="center" vertical="center"/>
    </xf>
    <xf numFmtId="165" fontId="3" fillId="0" borderId="39" xfId="0" applyNumberFormat="1" applyFont="1" applyFill="1" applyBorder="1" applyAlignment="1">
      <alignment horizontal="center" vertical="center"/>
    </xf>
    <xf numFmtId="165" fontId="3" fillId="0" borderId="1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4" fontId="3" fillId="6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4" fontId="10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6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left"/>
    </xf>
    <xf numFmtId="0" fontId="3" fillId="7" borderId="0" xfId="0" applyFont="1" applyFill="1" applyAlignment="1">
      <alignment horizontal="center"/>
    </xf>
    <xf numFmtId="4" fontId="4" fillId="3" borderId="26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65" fontId="4" fillId="3" borderId="28" xfId="0" applyNumberFormat="1" applyFont="1" applyFill="1" applyBorder="1" applyAlignment="1">
      <alignment horizontal="center"/>
    </xf>
    <xf numFmtId="165" fontId="4" fillId="3" borderId="29" xfId="0" applyNumberFormat="1" applyFont="1" applyFill="1" applyBorder="1" applyAlignment="1">
      <alignment horizontal="center"/>
    </xf>
    <xf numFmtId="4" fontId="4" fillId="3" borderId="19" xfId="0" applyNumberFormat="1" applyFont="1" applyFill="1" applyBorder="1" applyAlignment="1">
      <alignment horizontal="center"/>
    </xf>
    <xf numFmtId="4" fontId="4" fillId="3" borderId="22" xfId="0" applyNumberFormat="1" applyFont="1" applyFill="1" applyBorder="1" applyAlignment="1">
      <alignment horizontal="center"/>
    </xf>
    <xf numFmtId="4" fontId="4" fillId="3" borderId="27" xfId="0" applyNumberFormat="1" applyFont="1" applyFill="1" applyBorder="1" applyAlignment="1">
      <alignment horizontal="center"/>
    </xf>
    <xf numFmtId="0" fontId="4" fillId="3" borderId="23" xfId="0" applyFont="1" applyFill="1" applyBorder="1" applyAlignment="1">
      <alignment horizontal="left" wrapText="1"/>
    </xf>
    <xf numFmtId="0" fontId="4" fillId="3" borderId="24" xfId="0" applyFont="1" applyFill="1" applyBorder="1" applyAlignment="1">
      <alignment horizontal="left" wrapText="1"/>
    </xf>
    <xf numFmtId="4" fontId="4" fillId="0" borderId="38" xfId="0" applyNumberFormat="1" applyFont="1" applyBorder="1" applyAlignment="1">
      <alignment horizontal="center"/>
    </xf>
    <xf numFmtId="3" fontId="3" fillId="0" borderId="30" xfId="0" applyNumberFormat="1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4" fillId="3" borderId="44" xfId="0" applyFont="1" applyFill="1" applyBorder="1" applyAlignment="1">
      <alignment horizontal="left" wrapText="1"/>
    </xf>
    <xf numFmtId="0" fontId="4" fillId="3" borderId="45" xfId="0" applyFont="1" applyFill="1" applyBorder="1" applyAlignment="1">
      <alignment horizontal="left" wrapText="1"/>
    </xf>
    <xf numFmtId="0" fontId="4" fillId="3" borderId="39" xfId="0" applyFont="1" applyFill="1" applyBorder="1" applyAlignment="1">
      <alignment horizontal="left" wrapText="1"/>
    </xf>
    <xf numFmtId="4" fontId="3" fillId="0" borderId="58" xfId="0" applyNumberFormat="1" applyFont="1" applyBorder="1" applyAlignment="1">
      <alignment horizontal="center"/>
    </xf>
    <xf numFmtId="4" fontId="3" fillId="0" borderId="45" xfId="0" applyNumberFormat="1" applyFont="1" applyBorder="1" applyAlignment="1">
      <alignment horizontal="center"/>
    </xf>
    <xf numFmtId="4" fontId="3" fillId="0" borderId="39" xfId="0" applyNumberFormat="1" applyFont="1" applyBorder="1" applyAlignment="1">
      <alignment horizontal="center"/>
    </xf>
    <xf numFmtId="0" fontId="3" fillId="0" borderId="58" xfId="0" applyFont="1" applyBorder="1" applyAlignment="1">
      <alignment horizontal="center"/>
    </xf>
    <xf numFmtId="0" fontId="3" fillId="0" borderId="45" xfId="0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165" fontId="3" fillId="0" borderId="20" xfId="0" applyNumberFormat="1" applyFont="1" applyBorder="1" applyAlignment="1">
      <alignment horizontal="center"/>
    </xf>
    <xf numFmtId="165" fontId="3" fillId="0" borderId="60" xfId="0" applyNumberFormat="1" applyFont="1" applyBorder="1" applyAlignment="1">
      <alignment horizontal="center"/>
    </xf>
    <xf numFmtId="165" fontId="3" fillId="0" borderId="42" xfId="0" applyNumberFormat="1" applyFont="1" applyBorder="1" applyAlignment="1">
      <alignment horizontal="center"/>
    </xf>
    <xf numFmtId="165" fontId="3" fillId="0" borderId="43" xfId="0" applyNumberFormat="1" applyFont="1" applyBorder="1" applyAlignment="1">
      <alignment horizontal="center"/>
    </xf>
    <xf numFmtId="165" fontId="3" fillId="3" borderId="20" xfId="0" applyNumberFormat="1" applyFont="1" applyFill="1" applyBorder="1" applyAlignment="1">
      <alignment horizontal="center"/>
    </xf>
    <xf numFmtId="165" fontId="3" fillId="3" borderId="21" xfId="0" applyNumberFormat="1" applyFont="1" applyFill="1" applyBorder="1" applyAlignment="1">
      <alignment horizontal="center"/>
    </xf>
    <xf numFmtId="165" fontId="3" fillId="3" borderId="68" xfId="0" applyNumberFormat="1" applyFont="1" applyFill="1" applyBorder="1" applyAlignment="1">
      <alignment horizontal="center"/>
    </xf>
    <xf numFmtId="165" fontId="3" fillId="3" borderId="26" xfId="0" applyNumberFormat="1" applyFont="1" applyFill="1" applyBorder="1" applyAlignment="1">
      <alignment horizontal="center"/>
    </xf>
    <xf numFmtId="165" fontId="3" fillId="3" borderId="27" xfId="0" applyNumberFormat="1" applyFont="1" applyFill="1" applyBorder="1" applyAlignment="1">
      <alignment horizontal="center"/>
    </xf>
    <xf numFmtId="2" fontId="4" fillId="0" borderId="2" xfId="0" applyNumberFormat="1" applyFont="1" applyBorder="1" applyAlignment="1">
      <alignment horizontal="left" wrapText="1"/>
    </xf>
    <xf numFmtId="2" fontId="4" fillId="0" borderId="3" xfId="0" applyNumberFormat="1" applyFont="1" applyBorder="1" applyAlignment="1">
      <alignment horizontal="left" wrapText="1"/>
    </xf>
    <xf numFmtId="2" fontId="4" fillId="0" borderId="5" xfId="0" applyNumberFormat="1" applyFont="1" applyBorder="1" applyAlignment="1">
      <alignment horizontal="left" wrapText="1"/>
    </xf>
    <xf numFmtId="165" fontId="4" fillId="0" borderId="62" xfId="0" applyNumberFormat="1" applyFont="1" applyBorder="1" applyAlignment="1">
      <alignment horizontal="center"/>
    </xf>
    <xf numFmtId="3" fontId="4" fillId="0" borderId="62" xfId="0" applyNumberFormat="1" applyFont="1" applyBorder="1" applyAlignment="1">
      <alignment horizontal="center"/>
    </xf>
    <xf numFmtId="0" fontId="4" fillId="0" borderId="62" xfId="0" applyFont="1" applyBorder="1" applyAlignment="1">
      <alignment horizontal="center"/>
    </xf>
    <xf numFmtId="0" fontId="3" fillId="0" borderId="35" xfId="0" applyFont="1" applyBorder="1" applyAlignment="1">
      <alignment horizontal="left"/>
    </xf>
    <xf numFmtId="0" fontId="3" fillId="0" borderId="26" xfId="0" applyFont="1" applyBorder="1" applyAlignment="1">
      <alignment horizontal="left"/>
    </xf>
    <xf numFmtId="165" fontId="3" fillId="0" borderId="26" xfId="0" applyNumberFormat="1" applyFont="1" applyBorder="1" applyAlignment="1">
      <alignment horizontal="center"/>
    </xf>
    <xf numFmtId="165" fontId="3" fillId="0" borderId="68" xfId="0" applyNumberFormat="1" applyFont="1" applyBorder="1" applyAlignment="1">
      <alignment horizontal="center"/>
    </xf>
    <xf numFmtId="0" fontId="4" fillId="0" borderId="31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3" borderId="68" xfId="0" applyFont="1" applyFill="1" applyBorder="1" applyAlignment="1">
      <alignment horizontal="center"/>
    </xf>
    <xf numFmtId="0" fontId="4" fillId="3" borderId="69" xfId="0" applyFont="1" applyFill="1" applyBorder="1" applyAlignment="1">
      <alignment horizontal="center"/>
    </xf>
    <xf numFmtId="0" fontId="3" fillId="0" borderId="31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165" fontId="3" fillId="3" borderId="28" xfId="0" applyNumberFormat="1" applyFont="1" applyFill="1" applyBorder="1" applyAlignment="1">
      <alignment horizontal="center"/>
    </xf>
    <xf numFmtId="165" fontId="3" fillId="0" borderId="28" xfId="0" applyNumberFormat="1" applyFont="1" applyBorder="1" applyAlignment="1">
      <alignment horizontal="center"/>
    </xf>
    <xf numFmtId="3" fontId="3" fillId="0" borderId="6" xfId="0" applyNumberFormat="1" applyFont="1" applyBorder="1" applyAlignment="1">
      <alignment horizontal="center" vertical="center"/>
    </xf>
    <xf numFmtId="3" fontId="3" fillId="0" borderId="3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3" fontId="3" fillId="0" borderId="9" xfId="0" applyNumberFormat="1" applyFont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 vertical="center"/>
    </xf>
    <xf numFmtId="3" fontId="3" fillId="0" borderId="8" xfId="0" applyNumberFormat="1" applyFont="1" applyBorder="1" applyAlignment="1">
      <alignment horizontal="center" vertical="center"/>
    </xf>
    <xf numFmtId="3" fontId="3" fillId="0" borderId="14" xfId="0" applyNumberFormat="1" applyFont="1" applyBorder="1" applyAlignment="1">
      <alignment horizontal="center" vertical="center"/>
    </xf>
    <xf numFmtId="3" fontId="3" fillId="0" borderId="12" xfId="0" applyNumberFormat="1" applyFont="1" applyBorder="1" applyAlignment="1">
      <alignment horizontal="center" vertical="center"/>
    </xf>
    <xf numFmtId="3" fontId="3" fillId="0" borderId="13" xfId="0" applyNumberFormat="1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165" fontId="3" fillId="0" borderId="56" xfId="0" applyNumberFormat="1" applyFont="1" applyBorder="1" applyAlignment="1">
      <alignment horizontal="center" wrapText="1"/>
    </xf>
    <xf numFmtId="165" fontId="3" fillId="0" borderId="54" xfId="0" applyNumberFormat="1" applyFont="1" applyBorder="1" applyAlignment="1">
      <alignment horizontal="center" wrapText="1"/>
    </xf>
    <xf numFmtId="165" fontId="3" fillId="0" borderId="55" xfId="0" applyNumberFormat="1" applyFont="1" applyBorder="1" applyAlignment="1">
      <alignment horizontal="center" wrapText="1"/>
    </xf>
    <xf numFmtId="165" fontId="3" fillId="0" borderId="56" xfId="0" applyNumberFormat="1" applyFont="1" applyBorder="1" applyAlignment="1">
      <alignment horizontal="center" vertical="center" wrapText="1"/>
    </xf>
    <xf numFmtId="165" fontId="3" fillId="0" borderId="54" xfId="0" applyNumberFormat="1" applyFont="1" applyBorder="1" applyAlignment="1">
      <alignment horizontal="center" vertical="center" wrapText="1"/>
    </xf>
    <xf numFmtId="165" fontId="3" fillId="0" borderId="55" xfId="0" applyNumberFormat="1" applyFont="1" applyBorder="1" applyAlignment="1">
      <alignment horizontal="center" vertical="center" wrapText="1"/>
    </xf>
    <xf numFmtId="165" fontId="3" fillId="3" borderId="29" xfId="0" applyNumberFormat="1" applyFont="1" applyFill="1" applyBorder="1" applyAlignment="1">
      <alignment horizontal="center"/>
    </xf>
    <xf numFmtId="0" fontId="3" fillId="0" borderId="32" xfId="0" applyFont="1" applyBorder="1" applyAlignment="1">
      <alignment horizontal="left"/>
    </xf>
    <xf numFmtId="0" fontId="3" fillId="0" borderId="19" xfId="0" applyFont="1" applyBorder="1" applyAlignment="1">
      <alignment horizontal="left"/>
    </xf>
    <xf numFmtId="165" fontId="3" fillId="0" borderId="19" xfId="0" applyNumberFormat="1" applyFont="1" applyBorder="1" applyAlignment="1">
      <alignment horizontal="center"/>
    </xf>
    <xf numFmtId="0" fontId="4" fillId="0" borderId="67" xfId="0" applyFont="1" applyBorder="1" applyAlignment="1">
      <alignment horizontal="center"/>
    </xf>
    <xf numFmtId="0" fontId="4" fillId="0" borderId="68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28" xfId="0" applyFont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0" fontId="4" fillId="3" borderId="56" xfId="0" applyFont="1" applyFill="1" applyBorder="1" applyAlignment="1">
      <alignment horizontal="center" vertical="center" wrapText="1"/>
    </xf>
    <xf numFmtId="0" fontId="4" fillId="3" borderId="54" xfId="0" applyFont="1" applyFill="1" applyBorder="1" applyAlignment="1">
      <alignment horizontal="center" vertical="center" wrapText="1"/>
    </xf>
    <xf numFmtId="0" fontId="4" fillId="3" borderId="55" xfId="0" applyFont="1" applyFill="1" applyBorder="1" applyAlignment="1">
      <alignment horizontal="center" vertical="center" wrapText="1"/>
    </xf>
    <xf numFmtId="0" fontId="4" fillId="3" borderId="57" xfId="0" applyFont="1" applyFill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58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left"/>
    </xf>
    <xf numFmtId="0" fontId="4" fillId="0" borderId="17" xfId="0" applyFont="1" applyBorder="1" applyAlignment="1">
      <alignment horizontal="left"/>
    </xf>
    <xf numFmtId="0" fontId="4" fillId="0" borderId="51" xfId="0" applyFont="1" applyBorder="1" applyAlignment="1">
      <alignment horizontal="left"/>
    </xf>
    <xf numFmtId="4" fontId="4" fillId="0" borderId="50" xfId="0" applyNumberFormat="1" applyFont="1" applyBorder="1" applyAlignment="1">
      <alignment horizontal="center"/>
    </xf>
    <xf numFmtId="4" fontId="4" fillId="0" borderId="17" xfId="0" applyNumberFormat="1" applyFont="1" applyBorder="1" applyAlignment="1">
      <alignment horizontal="center"/>
    </xf>
    <xf numFmtId="4" fontId="4" fillId="0" borderId="51" xfId="0" applyNumberFormat="1" applyFont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0" fontId="4" fillId="0" borderId="5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/>
    </xf>
    <xf numFmtId="2" fontId="4" fillId="0" borderId="50" xfId="0" applyNumberFormat="1" applyFont="1" applyBorder="1" applyAlignment="1">
      <alignment horizontal="center"/>
    </xf>
    <xf numFmtId="2" fontId="4" fillId="0" borderId="17" xfId="0" applyNumberFormat="1" applyFont="1" applyBorder="1" applyAlignment="1">
      <alignment horizontal="center"/>
    </xf>
    <xf numFmtId="2" fontId="4" fillId="0" borderId="18" xfId="0" applyNumberFormat="1" applyFont="1" applyBorder="1" applyAlignment="1">
      <alignment horizontal="center"/>
    </xf>
    <xf numFmtId="0" fontId="3" fillId="0" borderId="41" xfId="0" applyFont="1" applyBorder="1" applyAlignment="1">
      <alignment horizontal="left"/>
    </xf>
    <xf numFmtId="0" fontId="3" fillId="0" borderId="42" xfId="0" applyFont="1" applyBorder="1" applyAlignment="1">
      <alignment horizontal="left"/>
    </xf>
    <xf numFmtId="0" fontId="3" fillId="0" borderId="43" xfId="0" applyFont="1" applyBorder="1" applyAlignment="1">
      <alignment horizontal="left"/>
    </xf>
    <xf numFmtId="4" fontId="3" fillId="3" borderId="19" xfId="0" applyNumberFormat="1" applyFont="1" applyFill="1" applyBorder="1" applyAlignment="1">
      <alignment horizontal="center" vertical="center"/>
    </xf>
    <xf numFmtId="2" fontId="3" fillId="0" borderId="33" xfId="0" applyNumberFormat="1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2" fontId="3" fillId="0" borderId="34" xfId="0" applyNumberFormat="1" applyFont="1" applyBorder="1" applyAlignment="1">
      <alignment horizontal="center"/>
    </xf>
    <xf numFmtId="4" fontId="3" fillId="4" borderId="19" xfId="0" applyNumberFormat="1" applyFont="1" applyFill="1" applyBorder="1" applyAlignment="1">
      <alignment horizontal="center" vertical="center"/>
    </xf>
    <xf numFmtId="0" fontId="3" fillId="0" borderId="41" xfId="0" applyFont="1" applyBorder="1" applyAlignment="1">
      <alignment horizontal="center"/>
    </xf>
    <xf numFmtId="0" fontId="3" fillId="0" borderId="42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4" fontId="3" fillId="0" borderId="19" xfId="0" applyNumberFormat="1" applyFont="1" applyBorder="1" applyAlignment="1">
      <alignment horizontal="center" vertical="center"/>
    </xf>
    <xf numFmtId="0" fontId="4" fillId="0" borderId="44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58" xfId="0" applyFont="1" applyBorder="1" applyAlignment="1">
      <alignment horizontal="center"/>
    </xf>
    <xf numFmtId="0" fontId="4" fillId="0" borderId="59" xfId="0" applyFont="1" applyBorder="1" applyAlignment="1">
      <alignment horizontal="center"/>
    </xf>
    <xf numFmtId="0" fontId="3" fillId="0" borderId="53" xfId="0" applyFont="1" applyBorder="1" applyAlignment="1">
      <alignment horizontal="left"/>
    </xf>
    <xf numFmtId="0" fontId="3" fillId="0" borderId="54" xfId="0" applyFont="1" applyBorder="1" applyAlignment="1">
      <alignment horizontal="left"/>
    </xf>
    <xf numFmtId="0" fontId="3" fillId="0" borderId="55" xfId="0" applyFont="1" applyBorder="1" applyAlignment="1">
      <alignment horizontal="left"/>
    </xf>
    <xf numFmtId="0" fontId="3" fillId="0" borderId="6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23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25" xfId="0" applyFont="1" applyBorder="1" applyAlignment="1">
      <alignment horizontal="left"/>
    </xf>
    <xf numFmtId="4" fontId="3" fillId="4" borderId="38" xfId="0" applyNumberFormat="1" applyFont="1" applyFill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center"/>
    </xf>
    <xf numFmtId="2" fontId="3" fillId="0" borderId="10" xfId="0" applyNumberFormat="1" applyFont="1" applyBorder="1" applyAlignment="1">
      <alignment horizontal="center"/>
    </xf>
    <xf numFmtId="0" fontId="4" fillId="3" borderId="16" xfId="0" applyFont="1" applyFill="1" applyBorder="1" applyAlignment="1">
      <alignment horizontal="left"/>
    </xf>
    <xf numFmtId="0" fontId="4" fillId="3" borderId="17" xfId="0" applyFont="1" applyFill="1" applyBorder="1" applyAlignment="1">
      <alignment horizontal="left"/>
    </xf>
    <xf numFmtId="0" fontId="4" fillId="3" borderId="51" xfId="0" applyFont="1" applyFill="1" applyBorder="1" applyAlignment="1">
      <alignment horizontal="left"/>
    </xf>
    <xf numFmtId="165" fontId="4" fillId="3" borderId="50" xfId="0" applyNumberFormat="1" applyFont="1" applyFill="1" applyBorder="1" applyAlignment="1">
      <alignment horizontal="center"/>
    </xf>
    <xf numFmtId="165" fontId="4" fillId="3" borderId="17" xfId="0" applyNumberFormat="1" applyFont="1" applyFill="1" applyBorder="1" applyAlignment="1">
      <alignment horizontal="center"/>
    </xf>
    <xf numFmtId="0" fontId="4" fillId="3" borderId="16" xfId="0" applyFont="1" applyFill="1" applyBorder="1" applyAlignment="1">
      <alignment horizontal="center"/>
    </xf>
    <xf numFmtId="0" fontId="4" fillId="3" borderId="17" xfId="0" applyFont="1" applyFill="1" applyBorder="1" applyAlignment="1">
      <alignment horizontal="center"/>
    </xf>
    <xf numFmtId="0" fontId="4" fillId="3" borderId="51" xfId="0" applyFont="1" applyFill="1" applyBorder="1" applyAlignment="1">
      <alignment horizontal="center"/>
    </xf>
    <xf numFmtId="0" fontId="4" fillId="3" borderId="50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 vertical="center"/>
    </xf>
    <xf numFmtId="2" fontId="4" fillId="3" borderId="17" xfId="0" applyNumberFormat="1" applyFont="1" applyFill="1" applyBorder="1" applyAlignment="1">
      <alignment horizontal="center"/>
    </xf>
    <xf numFmtId="2" fontId="4" fillId="3" borderId="18" xfId="0" applyNumberFormat="1" applyFont="1" applyFill="1" applyBorder="1" applyAlignment="1">
      <alignment horizontal="center"/>
    </xf>
    <xf numFmtId="0" fontId="4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55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6" xfId="0" applyFont="1" applyBorder="1" applyAlignment="1">
      <alignment horizontal="center" vertical="center"/>
    </xf>
    <xf numFmtId="0" fontId="4" fillId="0" borderId="57" xfId="0" applyFont="1" applyBorder="1" applyAlignment="1">
      <alignment horizontal="center" vertical="center"/>
    </xf>
    <xf numFmtId="0" fontId="3" fillId="3" borderId="32" xfId="0" applyFont="1" applyFill="1" applyBorder="1" applyAlignment="1">
      <alignment horizontal="left" wrapText="1"/>
    </xf>
    <xf numFmtId="0" fontId="3" fillId="3" borderId="19" xfId="0" applyFont="1" applyFill="1" applyBorder="1" applyAlignment="1">
      <alignment horizontal="left" wrapText="1"/>
    </xf>
    <xf numFmtId="165" fontId="3" fillId="3" borderId="19" xfId="0" applyNumberFormat="1" applyFont="1" applyFill="1" applyBorder="1" applyAlignment="1">
      <alignment horizontal="center" vertical="center"/>
    </xf>
    <xf numFmtId="2" fontId="3" fillId="3" borderId="19" xfId="0" applyNumberFormat="1" applyFont="1" applyFill="1" applyBorder="1" applyAlignment="1">
      <alignment horizontal="center"/>
    </xf>
    <xf numFmtId="2" fontId="3" fillId="3" borderId="22" xfId="0" applyNumberFormat="1" applyFont="1" applyFill="1" applyBorder="1" applyAlignment="1">
      <alignment horizontal="center"/>
    </xf>
    <xf numFmtId="0" fontId="3" fillId="3" borderId="37" xfId="0" applyFont="1" applyFill="1" applyBorder="1" applyAlignment="1">
      <alignment horizontal="left" wrapText="1"/>
    </xf>
    <xf numFmtId="0" fontId="3" fillId="3" borderId="38" xfId="0" applyFont="1" applyFill="1" applyBorder="1" applyAlignment="1">
      <alignment horizontal="left" wrapText="1"/>
    </xf>
    <xf numFmtId="165" fontId="3" fillId="3" borderId="38" xfId="0" applyNumberFormat="1" applyFont="1" applyFill="1" applyBorder="1" applyAlignment="1">
      <alignment horizontal="center" vertical="center"/>
    </xf>
    <xf numFmtId="2" fontId="3" fillId="3" borderId="38" xfId="0" applyNumberFormat="1" applyFont="1" applyFill="1" applyBorder="1" applyAlignment="1">
      <alignment horizontal="center"/>
    </xf>
    <xf numFmtId="2" fontId="3" fillId="3" borderId="66" xfId="0" applyNumberFormat="1" applyFont="1" applyFill="1" applyBorder="1" applyAlignment="1">
      <alignment horizontal="center"/>
    </xf>
    <xf numFmtId="0" fontId="3" fillId="3" borderId="41" xfId="0" applyFont="1" applyFill="1" applyBorder="1" applyAlignment="1">
      <alignment horizontal="left" wrapText="1"/>
    </xf>
    <xf numFmtId="0" fontId="3" fillId="3" borderId="42" xfId="0" applyFont="1" applyFill="1" applyBorder="1" applyAlignment="1">
      <alignment horizontal="left" wrapText="1"/>
    </xf>
    <xf numFmtId="0" fontId="3" fillId="3" borderId="43" xfId="0" applyFont="1" applyFill="1" applyBorder="1" applyAlignment="1">
      <alignment horizontal="left" wrapText="1"/>
    </xf>
    <xf numFmtId="165" fontId="3" fillId="3" borderId="60" xfId="0" applyNumberFormat="1" applyFont="1" applyFill="1" applyBorder="1" applyAlignment="1">
      <alignment horizontal="center" vertical="center"/>
    </xf>
    <xf numFmtId="165" fontId="3" fillId="3" borderId="42" xfId="0" applyNumberFormat="1" applyFont="1" applyFill="1" applyBorder="1" applyAlignment="1">
      <alignment horizontal="center" vertical="center"/>
    </xf>
    <xf numFmtId="165" fontId="3" fillId="3" borderId="43" xfId="0" applyNumberFormat="1" applyFont="1" applyFill="1" applyBorder="1" applyAlignment="1">
      <alignment horizontal="center" vertical="center"/>
    </xf>
    <xf numFmtId="2" fontId="3" fillId="3" borderId="60" xfId="0" applyNumberFormat="1" applyFont="1" applyFill="1" applyBorder="1" applyAlignment="1">
      <alignment horizontal="center"/>
    </xf>
    <xf numFmtId="2" fontId="3" fillId="3" borderId="42" xfId="0" applyNumberFormat="1" applyFont="1" applyFill="1" applyBorder="1" applyAlignment="1">
      <alignment horizontal="center"/>
    </xf>
    <xf numFmtId="2" fontId="3" fillId="3" borderId="61" xfId="0" applyNumberFormat="1" applyFont="1" applyFill="1" applyBorder="1" applyAlignment="1">
      <alignment horizontal="center"/>
    </xf>
    <xf numFmtId="0" fontId="3" fillId="3" borderId="41" xfId="0" applyFont="1" applyFill="1" applyBorder="1" applyAlignment="1">
      <alignment horizontal="left" vertical="center" wrapText="1"/>
    </xf>
    <xf numFmtId="0" fontId="3" fillId="3" borderId="42" xfId="0" applyFont="1" applyFill="1" applyBorder="1" applyAlignment="1">
      <alignment horizontal="left" vertical="center" wrapText="1"/>
    </xf>
    <xf numFmtId="0" fontId="3" fillId="3" borderId="43" xfId="0" applyFont="1" applyFill="1" applyBorder="1" applyAlignment="1">
      <alignment horizontal="left" vertical="center" wrapText="1"/>
    </xf>
    <xf numFmtId="2" fontId="3" fillId="3" borderId="60" xfId="0" applyNumberFormat="1" applyFont="1" applyFill="1" applyBorder="1" applyAlignment="1">
      <alignment horizontal="center" vertical="center"/>
    </xf>
    <xf numFmtId="2" fontId="3" fillId="3" borderId="42" xfId="0" applyNumberFormat="1" applyFont="1" applyFill="1" applyBorder="1" applyAlignment="1">
      <alignment horizontal="center" vertical="center"/>
    </xf>
    <xf numFmtId="2" fontId="3" fillId="3" borderId="61" xfId="0" applyNumberFormat="1" applyFont="1" applyFill="1" applyBorder="1" applyAlignment="1">
      <alignment horizontal="center" vertical="center"/>
    </xf>
    <xf numFmtId="0" fontId="3" fillId="3" borderId="53" xfId="0" applyFont="1" applyFill="1" applyBorder="1" applyAlignment="1">
      <alignment horizontal="left"/>
    </xf>
    <xf numFmtId="0" fontId="3" fillId="3" borderId="54" xfId="0" applyFont="1" applyFill="1" applyBorder="1" applyAlignment="1">
      <alignment horizontal="left"/>
    </xf>
    <xf numFmtId="0" fontId="3" fillId="3" borderId="55" xfId="0" applyFont="1" applyFill="1" applyBorder="1" applyAlignment="1">
      <alignment horizontal="left"/>
    </xf>
    <xf numFmtId="165" fontId="3" fillId="3" borderId="56" xfId="0" applyNumberFormat="1" applyFont="1" applyFill="1" applyBorder="1" applyAlignment="1">
      <alignment horizontal="center" vertical="center"/>
    </xf>
    <xf numFmtId="165" fontId="3" fillId="3" borderId="54" xfId="0" applyNumberFormat="1" applyFont="1" applyFill="1" applyBorder="1" applyAlignment="1">
      <alignment horizontal="center" vertical="center"/>
    </xf>
    <xf numFmtId="165" fontId="3" fillId="3" borderId="55" xfId="0" applyNumberFormat="1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2" fontId="3" fillId="3" borderId="56" xfId="0" applyNumberFormat="1" applyFont="1" applyFill="1" applyBorder="1" applyAlignment="1">
      <alignment horizontal="center"/>
    </xf>
    <xf numFmtId="2" fontId="3" fillId="3" borderId="54" xfId="0" applyNumberFormat="1" applyFont="1" applyFill="1" applyBorder="1" applyAlignment="1">
      <alignment horizontal="center"/>
    </xf>
    <xf numFmtId="2" fontId="3" fillId="3" borderId="57" xfId="0" applyNumberFormat="1" applyFont="1" applyFill="1" applyBorder="1" applyAlignment="1">
      <alignment horizontal="center"/>
    </xf>
    <xf numFmtId="0" fontId="3" fillId="3" borderId="41" xfId="0" applyFont="1" applyFill="1" applyBorder="1" applyAlignment="1">
      <alignment horizontal="left"/>
    </xf>
    <xf numFmtId="0" fontId="3" fillId="3" borderId="42" xfId="0" applyFont="1" applyFill="1" applyBorder="1" applyAlignment="1">
      <alignment horizontal="left"/>
    </xf>
    <xf numFmtId="0" fontId="3" fillId="3" borderId="43" xfId="0" applyFont="1" applyFill="1" applyBorder="1" applyAlignment="1">
      <alignment horizontal="left"/>
    </xf>
    <xf numFmtId="0" fontId="4" fillId="3" borderId="44" xfId="0" applyFont="1" applyFill="1" applyBorder="1" applyAlignment="1">
      <alignment horizontal="center"/>
    </xf>
    <xf numFmtId="0" fontId="4" fillId="3" borderId="45" xfId="0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/>
    </xf>
    <xf numFmtId="0" fontId="4" fillId="3" borderId="58" xfId="0" applyFont="1" applyFill="1" applyBorder="1" applyAlignment="1">
      <alignment horizontal="center"/>
    </xf>
    <xf numFmtId="0" fontId="4" fillId="3" borderId="59" xfId="0" applyFont="1" applyFill="1" applyBorder="1" applyAlignment="1">
      <alignment horizontal="center"/>
    </xf>
    <xf numFmtId="0" fontId="4" fillId="3" borderId="48" xfId="0" applyFont="1" applyFill="1" applyBorder="1" applyAlignment="1">
      <alignment horizontal="left"/>
    </xf>
    <xf numFmtId="0" fontId="4" fillId="3" borderId="49" xfId="0" applyFont="1" applyFill="1" applyBorder="1" applyAlignment="1">
      <alignment horizontal="left"/>
    </xf>
    <xf numFmtId="0" fontId="4" fillId="3" borderId="50" xfId="0" applyFont="1" applyFill="1" applyBorder="1" applyAlignment="1">
      <alignment horizontal="center"/>
    </xf>
    <xf numFmtId="2" fontId="4" fillId="3" borderId="49" xfId="0" applyNumberFormat="1" applyFont="1" applyFill="1" applyBorder="1" applyAlignment="1">
      <alignment horizontal="center"/>
    </xf>
    <xf numFmtId="2" fontId="4" fillId="3" borderId="52" xfId="0" applyNumberFormat="1" applyFont="1" applyFill="1" applyBorder="1" applyAlignment="1">
      <alignment horizontal="center"/>
    </xf>
    <xf numFmtId="0" fontId="4" fillId="3" borderId="53" xfId="0" applyFont="1" applyFill="1" applyBorder="1" applyAlignment="1">
      <alignment horizontal="center" vertical="center"/>
    </xf>
    <xf numFmtId="0" fontId="4" fillId="3" borderId="54" xfId="0" applyFont="1" applyFill="1" applyBorder="1" applyAlignment="1">
      <alignment horizontal="center" vertical="center"/>
    </xf>
    <xf numFmtId="0" fontId="4" fillId="3" borderId="55" xfId="0" applyFont="1" applyFill="1" applyBorder="1" applyAlignment="1">
      <alignment horizontal="center" vertical="center"/>
    </xf>
    <xf numFmtId="0" fontId="4" fillId="3" borderId="56" xfId="0" applyFont="1" applyFill="1" applyBorder="1" applyAlignment="1">
      <alignment horizontal="center" vertical="center"/>
    </xf>
    <xf numFmtId="0" fontId="4" fillId="3" borderId="57" xfId="0" applyFont="1" applyFill="1" applyBorder="1" applyAlignment="1">
      <alignment horizontal="center" vertical="center"/>
    </xf>
    <xf numFmtId="2" fontId="3" fillId="3" borderId="20" xfId="0" applyNumberFormat="1" applyFont="1" applyFill="1" applyBorder="1" applyAlignment="1">
      <alignment horizontal="center"/>
    </xf>
    <xf numFmtId="2" fontId="3" fillId="3" borderId="21" xfId="0" applyNumberFormat="1" applyFont="1" applyFill="1" applyBorder="1" applyAlignment="1">
      <alignment horizontal="center"/>
    </xf>
    <xf numFmtId="0" fontId="3" fillId="3" borderId="42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left"/>
    </xf>
    <xf numFmtId="0" fontId="3" fillId="3" borderId="40" xfId="0" applyFont="1" applyFill="1" applyBorder="1" applyAlignment="1">
      <alignment horizontal="left"/>
    </xf>
    <xf numFmtId="0" fontId="3" fillId="3" borderId="20" xfId="0" applyFont="1" applyFill="1" applyBorder="1" applyAlignment="1">
      <alignment horizontal="left"/>
    </xf>
    <xf numFmtId="0" fontId="3" fillId="3" borderId="9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3" borderId="44" xfId="0" applyFont="1" applyFill="1" applyBorder="1" applyAlignment="1">
      <alignment horizontal="left"/>
    </xf>
    <xf numFmtId="0" fontId="3" fillId="3" borderId="45" xfId="0" applyFont="1" applyFill="1" applyBorder="1" applyAlignment="1">
      <alignment horizontal="left"/>
    </xf>
    <xf numFmtId="0" fontId="3" fillId="3" borderId="39" xfId="0" applyFont="1" applyFill="1" applyBorder="1" applyAlignment="1">
      <alignment horizontal="left"/>
    </xf>
    <xf numFmtId="2" fontId="3" fillId="3" borderId="46" xfId="0" applyNumberFormat="1" applyFont="1" applyFill="1" applyBorder="1" applyAlignment="1">
      <alignment horizontal="center"/>
    </xf>
    <xf numFmtId="2" fontId="3" fillId="3" borderId="47" xfId="0" applyNumberFormat="1" applyFont="1" applyFill="1" applyBorder="1" applyAlignment="1">
      <alignment horizontal="center"/>
    </xf>
    <xf numFmtId="10" fontId="4" fillId="0" borderId="12" xfId="0" applyNumberFormat="1" applyFont="1" applyBorder="1" applyAlignment="1">
      <alignment horizontal="center"/>
    </xf>
    <xf numFmtId="165" fontId="4" fillId="0" borderId="26" xfId="0" applyNumberFormat="1" applyFont="1" applyBorder="1" applyAlignment="1">
      <alignment horizontal="center"/>
    </xf>
    <xf numFmtId="165" fontId="4" fillId="0" borderId="27" xfId="0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31" xfId="0" applyFont="1" applyBorder="1" applyAlignment="1">
      <alignment horizontal="left"/>
    </xf>
    <xf numFmtId="0" fontId="2" fillId="0" borderId="28" xfId="0" applyFont="1" applyBorder="1" applyAlignment="1">
      <alignment horizontal="left"/>
    </xf>
    <xf numFmtId="165" fontId="2" fillId="0" borderId="28" xfId="0" applyNumberFormat="1" applyFont="1" applyBorder="1" applyAlignment="1">
      <alignment horizontal="center"/>
    </xf>
    <xf numFmtId="165" fontId="2" fillId="0" borderId="29" xfId="0" applyNumberFormat="1" applyFont="1" applyBorder="1" applyAlignment="1">
      <alignment horizontal="center"/>
    </xf>
    <xf numFmtId="0" fontId="4" fillId="3" borderId="28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horizontal="center" vertical="center"/>
    </xf>
    <xf numFmtId="0" fontId="4" fillId="3" borderId="35" xfId="0" applyFont="1" applyFill="1" applyBorder="1" applyAlignment="1">
      <alignment horizontal="center"/>
    </xf>
    <xf numFmtId="0" fontId="4" fillId="3" borderId="26" xfId="0" applyFont="1" applyFill="1" applyBorder="1" applyAlignment="1">
      <alignment horizontal="center"/>
    </xf>
    <xf numFmtId="0" fontId="4" fillId="3" borderId="27" xfId="0" applyFont="1" applyFill="1" applyBorder="1" applyAlignment="1">
      <alignment horizontal="center"/>
    </xf>
    <xf numFmtId="0" fontId="2" fillId="0" borderId="37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165" fontId="2" fillId="0" borderId="19" xfId="0" applyNumberFormat="1" applyFont="1" applyBorder="1" applyAlignment="1">
      <alignment horizontal="center"/>
    </xf>
    <xf numFmtId="165" fontId="2" fillId="0" borderId="22" xfId="0" applyNumberFormat="1" applyFont="1" applyBorder="1" applyAlignment="1">
      <alignment horizontal="center"/>
    </xf>
    <xf numFmtId="165" fontId="2" fillId="0" borderId="39" xfId="0" applyNumberFormat="1" applyFont="1" applyBorder="1" applyAlignment="1">
      <alignment horizontal="center"/>
    </xf>
    <xf numFmtId="165" fontId="2" fillId="0" borderId="26" xfId="0" applyNumberFormat="1" applyFont="1" applyBorder="1" applyAlignment="1">
      <alignment horizontal="center"/>
    </xf>
    <xf numFmtId="165" fontId="2" fillId="0" borderId="27" xfId="0" applyNumberFormat="1" applyFont="1" applyBorder="1" applyAlignment="1">
      <alignment horizontal="center"/>
    </xf>
    <xf numFmtId="0" fontId="4" fillId="3" borderId="31" xfId="0" applyFont="1" applyFill="1" applyBorder="1" applyAlignment="1">
      <alignment horizontal="center" vertical="center"/>
    </xf>
    <xf numFmtId="165" fontId="3" fillId="0" borderId="9" xfId="0" applyNumberFormat="1" applyFont="1" applyBorder="1" applyAlignment="1">
      <alignment horizontal="center"/>
    </xf>
    <xf numFmtId="165" fontId="3" fillId="0" borderId="0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165" fontId="3" fillId="0" borderId="1" xfId="0" applyNumberFormat="1" applyFont="1" applyBorder="1" applyAlignment="1"/>
    <xf numFmtId="165" fontId="4" fillId="0" borderId="28" xfId="0" applyNumberFormat="1" applyFont="1" applyBorder="1" applyAlignment="1">
      <alignment horizontal="center"/>
    </xf>
    <xf numFmtId="165" fontId="4" fillId="0" borderId="29" xfId="0" applyNumberFormat="1" applyFont="1" applyBorder="1" applyAlignment="1">
      <alignment horizontal="center"/>
    </xf>
    <xf numFmtId="0" fontId="3" fillId="0" borderId="31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165" fontId="3" fillId="0" borderId="28" xfId="0" applyNumberFormat="1" applyFont="1" applyBorder="1" applyAlignment="1">
      <alignment horizontal="center" vertical="center"/>
    </xf>
    <xf numFmtId="165" fontId="3" fillId="0" borderId="19" xfId="0" applyNumberFormat="1" applyFont="1" applyBorder="1" applyAlignment="1">
      <alignment horizontal="center" vertical="center"/>
    </xf>
    <xf numFmtId="165" fontId="3" fillId="0" borderId="36" xfId="0" applyNumberFormat="1" applyFont="1" applyBorder="1" applyAlignment="1">
      <alignment horizontal="center"/>
    </xf>
    <xf numFmtId="165" fontId="3" fillId="0" borderId="26" xfId="0" applyNumberFormat="1" applyFont="1" applyBorder="1" applyAlignment="1">
      <alignment horizontal="center" vertical="center"/>
    </xf>
    <xf numFmtId="3" fontId="3" fillId="5" borderId="28" xfId="0" applyNumberFormat="1" applyFont="1" applyFill="1" applyBorder="1" applyAlignment="1">
      <alignment horizontal="center" vertical="center"/>
    </xf>
    <xf numFmtId="3" fontId="3" fillId="5" borderId="19" xfId="0" applyNumberFormat="1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/>
    </xf>
    <xf numFmtId="165" fontId="4" fillId="0" borderId="20" xfId="0" applyNumberFormat="1" applyFont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165" fontId="3" fillId="3" borderId="2" xfId="0" applyNumberFormat="1" applyFont="1" applyFill="1" applyBorder="1" applyAlignment="1">
      <alignment horizontal="center" vertical="center"/>
    </xf>
    <xf numFmtId="165" fontId="3" fillId="3" borderId="3" xfId="0" applyNumberFormat="1" applyFont="1" applyFill="1" applyBorder="1" applyAlignment="1">
      <alignment horizontal="center" vertical="center"/>
    </xf>
    <xf numFmtId="165" fontId="3" fillId="3" borderId="7" xfId="0" applyNumberFormat="1" applyFont="1" applyFill="1" applyBorder="1" applyAlignment="1">
      <alignment horizontal="center" vertical="center"/>
    </xf>
    <xf numFmtId="165" fontId="3" fillId="3" borderId="0" xfId="0" applyNumberFormat="1" applyFont="1" applyFill="1" applyBorder="1" applyAlignment="1">
      <alignment horizontal="center" vertical="center"/>
    </xf>
    <xf numFmtId="165" fontId="3" fillId="3" borderId="11" xfId="0" applyNumberFormat="1" applyFont="1" applyFill="1" applyBorder="1" applyAlignment="1">
      <alignment horizontal="center" vertical="center"/>
    </xf>
    <xf numFmtId="165" fontId="3" fillId="3" borderId="12" xfId="0" applyNumberFormat="1" applyFont="1" applyFill="1" applyBorder="1" applyAlignment="1">
      <alignment horizontal="center" vertical="center"/>
    </xf>
    <xf numFmtId="9" fontId="3" fillId="3" borderId="31" xfId="0" applyNumberFormat="1" applyFont="1" applyFill="1" applyBorder="1" applyAlignment="1">
      <alignment horizontal="center" vertical="center"/>
    </xf>
    <xf numFmtId="9" fontId="3" fillId="3" borderId="28" xfId="0" applyNumberFormat="1" applyFont="1" applyFill="1" applyBorder="1" applyAlignment="1">
      <alignment horizontal="center" vertical="center"/>
    </xf>
    <xf numFmtId="9" fontId="3" fillId="3" borderId="29" xfId="0" applyNumberFormat="1" applyFont="1" applyFill="1" applyBorder="1" applyAlignment="1">
      <alignment horizontal="center" vertical="center"/>
    </xf>
    <xf numFmtId="9" fontId="3" fillId="3" borderId="32" xfId="0" applyNumberFormat="1" applyFont="1" applyFill="1" applyBorder="1" applyAlignment="1">
      <alignment horizontal="center" vertical="center"/>
    </xf>
    <xf numFmtId="9" fontId="3" fillId="3" borderId="19" xfId="0" applyNumberFormat="1" applyFont="1" applyFill="1" applyBorder="1" applyAlignment="1">
      <alignment horizontal="center" vertical="center"/>
    </xf>
    <xf numFmtId="9" fontId="3" fillId="3" borderId="22" xfId="0" applyNumberFormat="1" applyFont="1" applyFill="1" applyBorder="1" applyAlignment="1">
      <alignment horizontal="center" vertical="center"/>
    </xf>
    <xf numFmtId="9" fontId="3" fillId="3" borderId="35" xfId="0" applyNumberFormat="1" applyFont="1" applyFill="1" applyBorder="1" applyAlignment="1">
      <alignment horizontal="center" vertical="center"/>
    </xf>
    <xf numFmtId="9" fontId="3" fillId="3" borderId="26" xfId="0" applyNumberFormat="1" applyFont="1" applyFill="1" applyBorder="1" applyAlignment="1">
      <alignment horizontal="center" vertical="center"/>
    </xf>
    <xf numFmtId="9" fontId="3" fillId="3" borderId="27" xfId="0" applyNumberFormat="1" applyFont="1" applyFill="1" applyBorder="1" applyAlignment="1">
      <alignment horizontal="center" vertical="center"/>
    </xf>
    <xf numFmtId="165" fontId="3" fillId="3" borderId="5" xfId="0" applyNumberFormat="1" applyFont="1" applyFill="1" applyBorder="1" applyAlignment="1">
      <alignment horizontal="center" vertical="center"/>
    </xf>
    <xf numFmtId="165" fontId="3" fillId="3" borderId="8" xfId="0" applyNumberFormat="1" applyFont="1" applyFill="1" applyBorder="1" applyAlignment="1">
      <alignment horizontal="center" vertical="center"/>
    </xf>
    <xf numFmtId="165" fontId="3" fillId="3" borderId="1" xfId="0" applyNumberFormat="1" applyFont="1" applyFill="1" applyBorder="1" applyAlignment="1">
      <alignment horizontal="center" vertical="center"/>
    </xf>
    <xf numFmtId="165" fontId="3" fillId="3" borderId="36" xfId="0" applyNumberFormat="1" applyFont="1" applyFill="1" applyBorder="1" applyAlignment="1">
      <alignment horizontal="center" vertical="center"/>
    </xf>
    <xf numFmtId="3" fontId="3" fillId="3" borderId="6" xfId="0" applyNumberFormat="1" applyFont="1" applyFill="1" applyBorder="1" applyAlignment="1">
      <alignment horizontal="center" vertical="center"/>
    </xf>
    <xf numFmtId="3" fontId="3" fillId="3" borderId="3" xfId="0" applyNumberFormat="1" applyFont="1" applyFill="1" applyBorder="1" applyAlignment="1">
      <alignment horizontal="center" vertical="center"/>
    </xf>
    <xf numFmtId="3" fontId="3" fillId="3" borderId="5" xfId="0" applyNumberFormat="1" applyFont="1" applyFill="1" applyBorder="1" applyAlignment="1">
      <alignment horizontal="center" vertical="center"/>
    </xf>
    <xf numFmtId="3" fontId="3" fillId="3" borderId="9" xfId="0" applyNumberFormat="1" applyFont="1" applyFill="1" applyBorder="1" applyAlignment="1">
      <alignment horizontal="center" vertical="center"/>
    </xf>
    <xf numFmtId="3" fontId="3" fillId="3" borderId="0" xfId="0" applyNumberFormat="1" applyFont="1" applyFill="1" applyBorder="1" applyAlignment="1">
      <alignment horizontal="center" vertical="center"/>
    </xf>
    <xf numFmtId="3" fontId="3" fillId="3" borderId="8" xfId="0" applyNumberFormat="1" applyFont="1" applyFill="1" applyBorder="1" applyAlignment="1">
      <alignment horizontal="center" vertical="center"/>
    </xf>
    <xf numFmtId="3" fontId="3" fillId="3" borderId="33" xfId="0" applyNumberFormat="1" applyFont="1" applyFill="1" applyBorder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3" fontId="3" fillId="3" borderId="36" xfId="0" applyNumberFormat="1" applyFont="1" applyFill="1" applyBorder="1" applyAlignment="1">
      <alignment horizontal="center" vertical="center"/>
    </xf>
    <xf numFmtId="165" fontId="3" fillId="3" borderId="6" xfId="0" applyNumberFormat="1" applyFont="1" applyFill="1" applyBorder="1" applyAlignment="1">
      <alignment horizontal="center" vertical="center"/>
    </xf>
    <xf numFmtId="165" fontId="3" fillId="3" borderId="9" xfId="0" applyNumberFormat="1" applyFont="1" applyFill="1" applyBorder="1" applyAlignment="1">
      <alignment horizontal="center" vertical="center"/>
    </xf>
    <xf numFmtId="165" fontId="3" fillId="3" borderId="33" xfId="0" applyNumberFormat="1" applyFont="1" applyFill="1" applyBorder="1" applyAlignment="1">
      <alignment horizontal="center" vertical="center"/>
    </xf>
    <xf numFmtId="165" fontId="3" fillId="3" borderId="4" xfId="0" applyNumberFormat="1" applyFont="1" applyFill="1" applyBorder="1" applyAlignment="1">
      <alignment horizontal="center" vertical="center"/>
    </xf>
    <xf numFmtId="165" fontId="3" fillId="3" borderId="10" xfId="0" applyNumberFormat="1" applyFont="1" applyFill="1" applyBorder="1" applyAlignment="1">
      <alignment horizontal="center" vertical="center"/>
    </xf>
    <xf numFmtId="165" fontId="3" fillId="3" borderId="34" xfId="0" applyNumberFormat="1" applyFont="1" applyFill="1" applyBorder="1" applyAlignment="1">
      <alignment horizontal="center" vertical="center"/>
    </xf>
    <xf numFmtId="0" fontId="0" fillId="0" borderId="3" xfId="0" applyBorder="1"/>
    <xf numFmtId="0" fontId="0" fillId="0" borderId="5" xfId="0" applyBorder="1"/>
    <xf numFmtId="0" fontId="0" fillId="0" borderId="9" xfId="0" applyBorder="1"/>
    <xf numFmtId="0" fontId="0" fillId="0" borderId="0" xfId="0"/>
    <xf numFmtId="0" fontId="0" fillId="0" borderId="8" xfId="0" applyBorder="1"/>
    <xf numFmtId="0" fontId="0" fillId="0" borderId="14" xfId="0" applyBorder="1"/>
    <xf numFmtId="0" fontId="0" fillId="0" borderId="12" xfId="0" applyBorder="1"/>
    <xf numFmtId="0" fontId="0" fillId="0" borderId="13" xfId="0" applyBorder="1"/>
    <xf numFmtId="165" fontId="3" fillId="0" borderId="0" xfId="0" applyNumberFormat="1" applyFont="1" applyBorder="1" applyAlignment="1">
      <alignment horizontal="left"/>
    </xf>
    <xf numFmtId="0" fontId="4" fillId="0" borderId="16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3" fillId="0" borderId="2" xfId="0" applyNumberFormat="1" applyFont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 wrapText="1"/>
    </xf>
    <xf numFmtId="0" fontId="3" fillId="0" borderId="5" xfId="0" applyNumberFormat="1" applyFont="1" applyBorder="1" applyAlignment="1">
      <alignment horizontal="center" vertical="center" wrapText="1"/>
    </xf>
    <xf numFmtId="0" fontId="3" fillId="0" borderId="63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36" xfId="0" applyNumberFormat="1" applyFont="1" applyBorder="1" applyAlignment="1">
      <alignment horizontal="center" vertical="center" wrapText="1"/>
    </xf>
    <xf numFmtId="165" fontId="3" fillId="0" borderId="9" xfId="0" applyNumberFormat="1" applyFont="1" applyBorder="1" applyAlignment="1">
      <alignment horizontal="center" vertical="center"/>
    </xf>
    <xf numFmtId="165" fontId="3" fillId="0" borderId="0" xfId="0" applyNumberFormat="1" applyFont="1" applyBorder="1" applyAlignment="1">
      <alignment horizontal="center" vertical="center"/>
    </xf>
    <xf numFmtId="165" fontId="3" fillId="0" borderId="14" xfId="0" applyNumberFormat="1" applyFont="1" applyBorder="1" applyAlignment="1">
      <alignment horizontal="center" vertical="center"/>
    </xf>
    <xf numFmtId="165" fontId="3" fillId="0" borderId="12" xfId="0" applyNumberFormat="1" applyFont="1" applyBorder="1" applyAlignment="1">
      <alignment horizontal="center" vertical="center"/>
    </xf>
    <xf numFmtId="165" fontId="3" fillId="0" borderId="20" xfId="0" applyNumberFormat="1" applyFont="1" applyBorder="1" applyAlignment="1">
      <alignment horizontal="center" vertical="center"/>
    </xf>
    <xf numFmtId="3" fontId="3" fillId="0" borderId="20" xfId="0" applyNumberFormat="1" applyFont="1" applyBorder="1" applyAlignment="1">
      <alignment horizontal="center" vertical="center"/>
    </xf>
    <xf numFmtId="3" fontId="3" fillId="0" borderId="19" xfId="0" applyNumberFormat="1" applyFont="1" applyBorder="1" applyAlignment="1">
      <alignment horizontal="center" vertical="center"/>
    </xf>
    <xf numFmtId="3" fontId="3" fillId="0" borderId="26" xfId="0" applyNumberFormat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3" borderId="0" xfId="0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2" fillId="3" borderId="1" xfId="0" applyFont="1" applyFill="1" applyBorder="1" applyAlignment="1">
      <alignment horizontal="center"/>
    </xf>
    <xf numFmtId="4" fontId="4" fillId="3" borderId="2" xfId="0" applyNumberFormat="1" applyFont="1" applyFill="1" applyBorder="1" applyAlignment="1">
      <alignment horizontal="center"/>
    </xf>
    <xf numFmtId="4" fontId="4" fillId="3" borderId="3" xfId="0" applyNumberFormat="1" applyFont="1" applyFill="1" applyBorder="1" applyAlignment="1">
      <alignment horizontal="center"/>
    </xf>
    <xf numFmtId="4" fontId="4" fillId="3" borderId="4" xfId="0" applyNumberFormat="1" applyFont="1" applyFill="1" applyBorder="1" applyAlignment="1">
      <alignment horizontal="center"/>
    </xf>
    <xf numFmtId="0" fontId="3" fillId="3" borderId="31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2" fontId="6" fillId="0" borderId="0" xfId="0" applyNumberFormat="1" applyFont="1" applyFill="1" applyAlignment="1"/>
    <xf numFmtId="0" fontId="19" fillId="0" borderId="0" xfId="0" applyFont="1" applyAlignment="1"/>
    <xf numFmtId="0" fontId="16" fillId="0" borderId="31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>
      <alignment horizontal="center" vertical="center" wrapText="1"/>
    </xf>
    <xf numFmtId="0" fontId="16" fillId="0" borderId="32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16" fillId="0" borderId="3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0" xfId="0" applyFont="1" applyFill="1" applyBorder="1" applyAlignment="1"/>
    <xf numFmtId="165" fontId="3" fillId="0" borderId="0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vertical="center"/>
    </xf>
    <xf numFmtId="3" fontId="3" fillId="0" borderId="62" xfId="0" applyNumberFormat="1" applyFont="1" applyFill="1" applyBorder="1" applyAlignment="1">
      <alignment horizontal="center" vertical="center"/>
    </xf>
    <xf numFmtId="3" fontId="3" fillId="0" borderId="46" xfId="0" applyNumberFormat="1" applyFont="1" applyFill="1" applyBorder="1" applyAlignment="1">
      <alignment horizontal="center" vertical="center"/>
    </xf>
    <xf numFmtId="3" fontId="3" fillId="0" borderId="68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/>
    </xf>
    <xf numFmtId="165" fontId="4" fillId="0" borderId="19" xfId="0" applyNumberFormat="1" applyFont="1" applyFill="1" applyBorder="1" applyAlignment="1">
      <alignment horizontal="center"/>
    </xf>
    <xf numFmtId="165" fontId="4" fillId="0" borderId="22" xfId="0" applyNumberFormat="1" applyFont="1" applyFill="1" applyBorder="1" applyAlignment="1">
      <alignment horizontal="center"/>
    </xf>
    <xf numFmtId="3" fontId="3" fillId="0" borderId="58" xfId="0" applyNumberFormat="1" applyFont="1" applyFill="1" applyBorder="1" applyAlignment="1">
      <alignment horizontal="center"/>
    </xf>
    <xf numFmtId="3" fontId="3" fillId="0" borderId="45" xfId="0" applyNumberFormat="1" applyFont="1" applyFill="1" applyBorder="1" applyAlignment="1">
      <alignment horizontal="center"/>
    </xf>
    <xf numFmtId="3" fontId="3" fillId="0" borderId="39" xfId="0" applyNumberFormat="1" applyFont="1" applyFill="1" applyBorder="1" applyAlignment="1">
      <alignment horizontal="center"/>
    </xf>
    <xf numFmtId="165" fontId="4" fillId="0" borderId="0" xfId="0" applyNumberFormat="1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165" fontId="3" fillId="0" borderId="28" xfId="0" applyNumberFormat="1" applyFont="1" applyFill="1" applyBorder="1" applyAlignment="1">
      <alignment horizontal="center" vertical="center" wrapText="1"/>
    </xf>
    <xf numFmtId="165" fontId="3" fillId="0" borderId="29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0" fontId="3" fillId="0" borderId="56" xfId="0" applyFont="1" applyFill="1" applyBorder="1" applyAlignment="1">
      <alignment horizontal="center" vertical="center"/>
    </xf>
    <xf numFmtId="0" fontId="3" fillId="0" borderId="60" xfId="0" applyFont="1" applyFill="1" applyBorder="1" applyAlignment="1">
      <alignment horizontal="center" vertical="center"/>
    </xf>
    <xf numFmtId="0" fontId="3" fillId="0" borderId="58" xfId="0" applyFont="1" applyFill="1" applyBorder="1" applyAlignment="1">
      <alignment horizontal="center" vertical="center"/>
    </xf>
    <xf numFmtId="165" fontId="3" fillId="0" borderId="28" xfId="0" applyNumberFormat="1" applyFont="1" applyFill="1" applyBorder="1" applyAlignment="1">
      <alignment horizontal="center" wrapText="1"/>
    </xf>
    <xf numFmtId="0" fontId="4" fillId="0" borderId="29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left" wrapText="1"/>
    </xf>
    <xf numFmtId="2" fontId="3" fillId="0" borderId="66" xfId="0" applyNumberFormat="1" applyFont="1" applyFill="1" applyBorder="1" applyAlignment="1">
      <alignment horizontal="center"/>
    </xf>
    <xf numFmtId="0" fontId="3" fillId="0" borderId="63" xfId="0" applyFont="1" applyFill="1" applyBorder="1" applyAlignment="1">
      <alignment horizontal="left"/>
    </xf>
    <xf numFmtId="0" fontId="3" fillId="0" borderId="36" xfId="0" applyFont="1" applyFill="1" applyBorder="1" applyAlignment="1">
      <alignment horizontal="left"/>
    </xf>
    <xf numFmtId="0" fontId="6" fillId="0" borderId="31" xfId="0" applyFont="1" applyFill="1" applyBorder="1" applyAlignment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49" xfId="0" applyFont="1" applyFill="1" applyBorder="1" applyAlignment="1">
      <alignment horizontal="center" vertical="center"/>
    </xf>
    <xf numFmtId="0" fontId="4" fillId="0" borderId="52" xfId="0" applyFont="1" applyFill="1" applyBorder="1" applyAlignment="1">
      <alignment horizontal="center" vertical="center"/>
    </xf>
    <xf numFmtId="0" fontId="4" fillId="0" borderId="48" xfId="0" applyFont="1" applyFill="1" applyBorder="1" applyAlignment="1">
      <alignment horizontal="center" vertical="center"/>
    </xf>
    <xf numFmtId="0" fontId="4" fillId="0" borderId="49" xfId="0" applyFont="1" applyFill="1" applyBorder="1" applyAlignment="1">
      <alignment horizontal="center" vertical="center" wrapText="1"/>
    </xf>
    <xf numFmtId="2" fontId="3" fillId="0" borderId="60" xfId="0" applyNumberFormat="1" applyFont="1" applyFill="1" applyBorder="1" applyAlignment="1">
      <alignment horizontal="center" vertical="center"/>
    </xf>
    <xf numFmtId="2" fontId="3" fillId="0" borderId="42" xfId="0" applyNumberFormat="1" applyFont="1" applyFill="1" applyBorder="1" applyAlignment="1">
      <alignment horizontal="center" vertical="center"/>
    </xf>
    <xf numFmtId="2" fontId="3" fillId="0" borderId="61" xfId="0" applyNumberFormat="1" applyFont="1" applyFill="1" applyBorder="1" applyAlignment="1">
      <alignment horizontal="center" vertical="center"/>
    </xf>
    <xf numFmtId="2" fontId="3" fillId="0" borderId="56" xfId="0" applyNumberFormat="1" applyFont="1" applyFill="1" applyBorder="1" applyAlignment="1">
      <alignment horizontal="center" vertical="center"/>
    </xf>
    <xf numFmtId="2" fontId="3" fillId="0" borderId="54" xfId="0" applyNumberFormat="1" applyFont="1" applyFill="1" applyBorder="1" applyAlignment="1">
      <alignment horizontal="center" vertical="center"/>
    </xf>
    <xf numFmtId="2" fontId="3" fillId="0" borderId="57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165" fontId="3" fillId="0" borderId="64" xfId="0" applyNumberFormat="1" applyFont="1" applyFill="1" applyBorder="1" applyAlignment="1">
      <alignment horizontal="center" vertical="center"/>
    </xf>
    <xf numFmtId="4" fontId="3" fillId="0" borderId="26" xfId="0" applyNumberFormat="1" applyFont="1" applyFill="1" applyBorder="1" applyAlignment="1">
      <alignment horizontal="center" vertical="center"/>
    </xf>
    <xf numFmtId="2" fontId="3" fillId="0" borderId="14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2" fontId="3" fillId="0" borderId="15" xfId="0" applyNumberFormat="1" applyFont="1" applyFill="1" applyBorder="1" applyAlignment="1">
      <alignment horizontal="center"/>
    </xf>
    <xf numFmtId="0" fontId="0" fillId="0" borderId="42" xfId="0" applyBorder="1" applyAlignment="1">
      <alignment horizontal="left" vertical="center" wrapText="1"/>
    </xf>
    <xf numFmtId="0" fontId="0" fillId="0" borderId="43" xfId="0" applyBorder="1" applyAlignment="1">
      <alignment horizontal="left" vertical="center" wrapText="1"/>
    </xf>
    <xf numFmtId="164" fontId="0" fillId="0" borderId="0" xfId="1" applyFont="1" applyFill="1" applyAlignment="1"/>
    <xf numFmtId="0" fontId="3" fillId="0" borderId="0" xfId="0" applyFont="1" applyFill="1" applyAlignment="1">
      <alignment horizontal="left" wrapText="1"/>
    </xf>
    <xf numFmtId="0" fontId="4" fillId="0" borderId="0" xfId="0" applyFont="1" applyBorder="1" applyAlignment="1">
      <alignment horizontal="center"/>
    </xf>
    <xf numFmtId="0" fontId="10" fillId="3" borderId="0" xfId="0" applyFont="1" applyFill="1" applyAlignment="1">
      <alignment horizontal="left"/>
    </xf>
    <xf numFmtId="4" fontId="3" fillId="3" borderId="58" xfId="0" applyNumberFormat="1" applyFont="1" applyFill="1" applyBorder="1" applyAlignment="1">
      <alignment horizontal="center"/>
    </xf>
    <xf numFmtId="4" fontId="3" fillId="3" borderId="45" xfId="0" applyNumberFormat="1" applyFont="1" applyFill="1" applyBorder="1" applyAlignment="1">
      <alignment horizontal="center"/>
    </xf>
    <xf numFmtId="4" fontId="3" fillId="3" borderId="39" xfId="0" applyNumberFormat="1" applyFont="1" applyFill="1" applyBorder="1" applyAlignment="1">
      <alignment horizontal="center"/>
    </xf>
    <xf numFmtId="0" fontId="3" fillId="3" borderId="58" xfId="0" applyFont="1" applyFill="1" applyBorder="1" applyAlignment="1">
      <alignment horizontal="center"/>
    </xf>
    <xf numFmtId="0" fontId="3" fillId="3" borderId="45" xfId="0" applyFont="1" applyFill="1" applyBorder="1" applyAlignment="1">
      <alignment horizontal="center"/>
    </xf>
    <xf numFmtId="0" fontId="3" fillId="3" borderId="39" xfId="0" applyFont="1" applyFill="1" applyBorder="1" applyAlignment="1">
      <alignment horizontal="center"/>
    </xf>
    <xf numFmtId="165" fontId="4" fillId="3" borderId="26" xfId="0" applyNumberFormat="1" applyFont="1" applyFill="1" applyBorder="1" applyAlignment="1">
      <alignment horizontal="center"/>
    </xf>
    <xf numFmtId="165" fontId="3" fillId="3" borderId="58" xfId="0" applyNumberFormat="1" applyFont="1" applyFill="1" applyBorder="1" applyAlignment="1">
      <alignment horizontal="center"/>
    </xf>
    <xf numFmtId="165" fontId="3" fillId="3" borderId="45" xfId="0" applyNumberFormat="1" applyFont="1" applyFill="1" applyBorder="1" applyAlignment="1">
      <alignment horizontal="center"/>
    </xf>
    <xf numFmtId="165" fontId="3" fillId="3" borderId="39" xfId="0" applyNumberFormat="1" applyFont="1" applyFill="1" applyBorder="1" applyAlignment="1">
      <alignment horizontal="center"/>
    </xf>
    <xf numFmtId="165" fontId="3" fillId="3" borderId="69" xfId="0" applyNumberFormat="1" applyFont="1" applyFill="1" applyBorder="1" applyAlignment="1">
      <alignment horizontal="center"/>
    </xf>
    <xf numFmtId="165" fontId="4" fillId="3" borderId="62" xfId="0" applyNumberFormat="1" applyFont="1" applyFill="1" applyBorder="1" applyAlignment="1">
      <alignment horizontal="center"/>
    </xf>
    <xf numFmtId="165" fontId="4" fillId="3" borderId="72" xfId="0" applyNumberFormat="1" applyFont="1" applyFill="1" applyBorder="1" applyAlignment="1">
      <alignment horizontal="center"/>
    </xf>
    <xf numFmtId="4" fontId="4" fillId="3" borderId="58" xfId="0" applyNumberFormat="1" applyFont="1" applyFill="1" applyBorder="1" applyAlignment="1">
      <alignment horizontal="center"/>
    </xf>
    <xf numFmtId="4" fontId="4" fillId="3" borderId="45" xfId="0" applyNumberFormat="1" applyFont="1" applyFill="1" applyBorder="1" applyAlignment="1">
      <alignment horizontal="center"/>
    </xf>
    <xf numFmtId="4" fontId="4" fillId="3" borderId="39" xfId="0" applyNumberFormat="1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165" fontId="3" fillId="3" borderId="19" xfId="0" applyNumberFormat="1" applyFont="1" applyFill="1" applyBorder="1" applyAlignment="1">
      <alignment horizontal="center"/>
    </xf>
    <xf numFmtId="165" fontId="3" fillId="3" borderId="38" xfId="0" applyNumberFormat="1" applyFont="1" applyFill="1" applyBorder="1" applyAlignment="1">
      <alignment horizontal="center"/>
    </xf>
    <xf numFmtId="165" fontId="3" fillId="3" borderId="9" xfId="0" applyNumberFormat="1" applyFont="1" applyFill="1" applyBorder="1" applyAlignment="1">
      <alignment horizontal="center"/>
    </xf>
    <xf numFmtId="165" fontId="3" fillId="3" borderId="0" xfId="0" applyNumberFormat="1" applyFont="1" applyFill="1" applyBorder="1" applyAlignment="1">
      <alignment horizontal="center"/>
    </xf>
    <xf numFmtId="165" fontId="3" fillId="3" borderId="8" xfId="0" applyNumberFormat="1" applyFont="1" applyFill="1" applyBorder="1" applyAlignment="1">
      <alignment horizontal="center"/>
    </xf>
    <xf numFmtId="0" fontId="4" fillId="3" borderId="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/>
    </xf>
    <xf numFmtId="3" fontId="3" fillId="0" borderId="19" xfId="0" applyNumberFormat="1" applyFont="1" applyFill="1" applyBorder="1" applyAlignment="1">
      <alignment horizontal="center"/>
    </xf>
    <xf numFmtId="165" fontId="3" fillId="0" borderId="31" xfId="0" applyNumberFormat="1" applyFont="1" applyBorder="1" applyAlignment="1">
      <alignment horizontal="center" vertical="center"/>
    </xf>
    <xf numFmtId="165" fontId="3" fillId="0" borderId="32" xfId="0" applyNumberFormat="1" applyFont="1" applyBorder="1" applyAlignment="1">
      <alignment horizontal="center" vertical="center"/>
    </xf>
    <xf numFmtId="165" fontId="3" fillId="0" borderId="35" xfId="0" applyNumberFormat="1" applyFont="1" applyBorder="1" applyAlignment="1">
      <alignment horizontal="center" vertical="center"/>
    </xf>
    <xf numFmtId="3" fontId="3" fillId="3" borderId="28" xfId="0" applyNumberFormat="1" applyFont="1" applyFill="1" applyBorder="1" applyAlignment="1">
      <alignment horizontal="center" vertical="center"/>
    </xf>
    <xf numFmtId="3" fontId="3" fillId="3" borderId="19" xfId="0" applyNumberFormat="1" applyFont="1" applyFill="1" applyBorder="1" applyAlignment="1">
      <alignment horizontal="center" vertical="center"/>
    </xf>
    <xf numFmtId="3" fontId="3" fillId="3" borderId="26" xfId="0" applyNumberFormat="1" applyFont="1" applyFill="1" applyBorder="1" applyAlignment="1">
      <alignment horizontal="center" vertical="center"/>
    </xf>
    <xf numFmtId="3" fontId="3" fillId="0" borderId="28" xfId="0" applyNumberFormat="1" applyFont="1" applyBorder="1" applyAlignment="1">
      <alignment horizontal="center" vertical="center"/>
    </xf>
    <xf numFmtId="165" fontId="3" fillId="0" borderId="29" xfId="0" applyNumberFormat="1" applyFont="1" applyBorder="1" applyAlignment="1">
      <alignment horizontal="center" vertical="center"/>
    </xf>
    <xf numFmtId="165" fontId="3" fillId="0" borderId="22" xfId="0" applyNumberFormat="1" applyFont="1" applyBorder="1" applyAlignment="1">
      <alignment horizontal="center" vertical="center"/>
    </xf>
    <xf numFmtId="165" fontId="3" fillId="0" borderId="27" xfId="0" applyNumberFormat="1" applyFont="1" applyBorder="1" applyAlignment="1">
      <alignment horizontal="center" vertical="center"/>
    </xf>
    <xf numFmtId="0" fontId="1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" fillId="0" borderId="0" xfId="0" applyFont="1" applyFill="1" applyAlignment="1">
      <alignment horizontal="left"/>
    </xf>
    <xf numFmtId="0" fontId="1" fillId="3" borderId="0" xfId="0" applyFont="1" applyFill="1" applyBorder="1" applyAlignment="1">
      <alignment horizontal="right"/>
    </xf>
    <xf numFmtId="3" fontId="3" fillId="3" borderId="30" xfId="0" applyNumberFormat="1" applyFont="1" applyFill="1" applyBorder="1" applyAlignment="1">
      <alignment horizontal="center"/>
    </xf>
    <xf numFmtId="0" fontId="3" fillId="3" borderId="24" xfId="0" applyFont="1" applyFill="1" applyBorder="1" applyAlignment="1">
      <alignment horizontal="center"/>
    </xf>
    <xf numFmtId="0" fontId="3" fillId="3" borderId="25" xfId="0" applyFont="1" applyFill="1" applyBorder="1" applyAlignment="1">
      <alignment horizontal="center"/>
    </xf>
    <xf numFmtId="0" fontId="3" fillId="3" borderId="30" xfId="0" applyFont="1" applyFill="1" applyBorder="1" applyAlignment="1">
      <alignment horizontal="center"/>
    </xf>
    <xf numFmtId="165" fontId="4" fillId="3" borderId="38" xfId="0" applyNumberFormat="1" applyFont="1" applyFill="1" applyBorder="1" applyAlignment="1">
      <alignment horizontal="center"/>
    </xf>
    <xf numFmtId="4" fontId="4" fillId="3" borderId="38" xfId="0" applyNumberFormat="1" applyFont="1" applyFill="1" applyBorder="1" applyAlignment="1">
      <alignment horizontal="center"/>
    </xf>
    <xf numFmtId="4" fontId="4" fillId="3" borderId="30" xfId="0" applyNumberFormat="1" applyFont="1" applyFill="1" applyBorder="1" applyAlignment="1">
      <alignment horizontal="center"/>
    </xf>
    <xf numFmtId="4" fontId="4" fillId="3" borderId="24" xfId="0" applyNumberFormat="1" applyFont="1" applyFill="1" applyBorder="1" applyAlignment="1">
      <alignment horizontal="center"/>
    </xf>
    <xf numFmtId="4" fontId="4" fillId="3" borderId="25" xfId="0" applyNumberFormat="1" applyFont="1" applyFill="1" applyBorder="1" applyAlignment="1">
      <alignment horizontal="center"/>
    </xf>
    <xf numFmtId="4" fontId="4" fillId="3" borderId="64" xfId="0" applyNumberFormat="1" applyFont="1" applyFill="1" applyBorder="1" applyAlignment="1">
      <alignment horizontal="center"/>
    </xf>
    <xf numFmtId="165" fontId="3" fillId="3" borderId="60" xfId="0" applyNumberFormat="1" applyFont="1" applyFill="1" applyBorder="1" applyAlignment="1">
      <alignment horizontal="center"/>
    </xf>
    <xf numFmtId="165" fontId="3" fillId="3" borderId="42" xfId="0" applyNumberFormat="1" applyFont="1" applyFill="1" applyBorder="1" applyAlignment="1">
      <alignment horizontal="center"/>
    </xf>
    <xf numFmtId="165" fontId="3" fillId="3" borderId="43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left" wrapText="1"/>
    </xf>
    <xf numFmtId="2" fontId="4" fillId="3" borderId="3" xfId="0" applyNumberFormat="1" applyFont="1" applyFill="1" applyBorder="1" applyAlignment="1">
      <alignment horizontal="left" wrapText="1"/>
    </xf>
    <xf numFmtId="2" fontId="4" fillId="3" borderId="5" xfId="0" applyNumberFormat="1" applyFont="1" applyFill="1" applyBorder="1" applyAlignment="1">
      <alignment horizontal="left" wrapText="1"/>
    </xf>
    <xf numFmtId="3" fontId="4" fillId="3" borderId="62" xfId="0" applyNumberFormat="1" applyFont="1" applyFill="1" applyBorder="1" applyAlignment="1">
      <alignment horizontal="center"/>
    </xf>
    <xf numFmtId="0" fontId="4" fillId="3" borderId="62" xfId="0" applyFont="1" applyFill="1" applyBorder="1" applyAlignment="1">
      <alignment horizontal="center"/>
    </xf>
    <xf numFmtId="165" fontId="4" fillId="3" borderId="6" xfId="0" applyNumberFormat="1" applyFont="1" applyFill="1" applyBorder="1" applyAlignment="1">
      <alignment horizontal="center"/>
    </xf>
    <xf numFmtId="165" fontId="4" fillId="3" borderId="3" xfId="0" applyNumberFormat="1" applyFont="1" applyFill="1" applyBorder="1" applyAlignment="1">
      <alignment horizontal="center"/>
    </xf>
    <xf numFmtId="165" fontId="4" fillId="3" borderId="5" xfId="0" applyNumberFormat="1" applyFont="1" applyFill="1" applyBorder="1" applyAlignment="1">
      <alignment horizontal="center"/>
    </xf>
    <xf numFmtId="0" fontId="3" fillId="3" borderId="35" xfId="0" applyFont="1" applyFill="1" applyBorder="1" applyAlignment="1">
      <alignment horizontal="left"/>
    </xf>
    <xf numFmtId="0" fontId="3" fillId="3" borderId="26" xfId="0" applyFont="1" applyFill="1" applyBorder="1" applyAlignment="1">
      <alignment horizontal="left"/>
    </xf>
    <xf numFmtId="0" fontId="4" fillId="3" borderId="58" xfId="0" applyFont="1" applyFill="1" applyBorder="1" applyAlignment="1">
      <alignment horizontal="center" vertical="center" wrapText="1"/>
    </xf>
    <xf numFmtId="0" fontId="4" fillId="3" borderId="45" xfId="0" applyFont="1" applyFill="1" applyBorder="1" applyAlignment="1">
      <alignment horizontal="center" vertical="center" wrapText="1"/>
    </xf>
    <xf numFmtId="0" fontId="4" fillId="3" borderId="39" xfId="0" applyFont="1" applyFill="1" applyBorder="1" applyAlignment="1">
      <alignment horizontal="center" vertical="center" wrapText="1"/>
    </xf>
    <xf numFmtId="0" fontId="4" fillId="3" borderId="67" xfId="0" applyFont="1" applyFill="1" applyBorder="1" applyAlignment="1">
      <alignment horizontal="center"/>
    </xf>
    <xf numFmtId="0" fontId="4" fillId="3" borderId="35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left"/>
    </xf>
    <xf numFmtId="0" fontId="3" fillId="3" borderId="28" xfId="0" applyFont="1" applyFill="1" applyBorder="1" applyAlignment="1">
      <alignment horizontal="left"/>
    </xf>
    <xf numFmtId="3" fontId="3" fillId="3" borderId="14" xfId="0" applyNumberFormat="1" applyFont="1" applyFill="1" applyBorder="1" applyAlignment="1">
      <alignment horizontal="center" vertical="center"/>
    </xf>
    <xf numFmtId="3" fontId="3" fillId="3" borderId="12" xfId="0" applyNumberFormat="1" applyFont="1" applyFill="1" applyBorder="1" applyAlignment="1">
      <alignment horizontal="center" vertical="center"/>
    </xf>
    <xf numFmtId="3" fontId="3" fillId="3" borderId="13" xfId="0" applyNumberFormat="1" applyFont="1" applyFill="1" applyBorder="1" applyAlignment="1">
      <alignment horizontal="center" vertical="center"/>
    </xf>
    <xf numFmtId="0" fontId="3" fillId="3" borderId="28" xfId="0" applyFont="1" applyFill="1" applyBorder="1" applyAlignment="1">
      <alignment horizontal="center" vertical="center"/>
    </xf>
    <xf numFmtId="0" fontId="3" fillId="3" borderId="19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165" fontId="3" fillId="3" borderId="56" xfId="0" applyNumberFormat="1" applyFont="1" applyFill="1" applyBorder="1" applyAlignment="1">
      <alignment horizontal="center" wrapText="1"/>
    </xf>
    <xf numFmtId="165" fontId="3" fillId="3" borderId="54" xfId="0" applyNumberFormat="1" applyFont="1" applyFill="1" applyBorder="1" applyAlignment="1">
      <alignment horizontal="center" wrapText="1"/>
    </xf>
    <xf numFmtId="165" fontId="3" fillId="3" borderId="55" xfId="0" applyNumberFormat="1" applyFont="1" applyFill="1" applyBorder="1" applyAlignment="1">
      <alignment horizontal="center" wrapText="1"/>
    </xf>
    <xf numFmtId="165" fontId="3" fillId="3" borderId="56" xfId="0" applyNumberFormat="1" applyFont="1" applyFill="1" applyBorder="1" applyAlignment="1">
      <alignment horizontal="center" vertical="center" wrapText="1"/>
    </xf>
    <xf numFmtId="165" fontId="3" fillId="3" borderId="54" xfId="0" applyNumberFormat="1" applyFont="1" applyFill="1" applyBorder="1" applyAlignment="1">
      <alignment horizontal="center" vertical="center" wrapText="1"/>
    </xf>
    <xf numFmtId="165" fontId="3" fillId="3" borderId="55" xfId="0" applyNumberFormat="1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left"/>
    </xf>
    <xf numFmtId="0" fontId="3" fillId="3" borderId="19" xfId="0" applyFont="1" applyFill="1" applyBorder="1" applyAlignment="1">
      <alignment horizontal="left"/>
    </xf>
    <xf numFmtId="2" fontId="3" fillId="0" borderId="33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2" fontId="3" fillId="0" borderId="34" xfId="0" applyNumberFormat="1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4" fillId="3" borderId="29" xfId="0" applyFont="1" applyFill="1" applyBorder="1" applyAlignment="1">
      <alignment horizontal="center" vertical="center" wrapText="1"/>
    </xf>
    <xf numFmtId="4" fontId="3" fillId="0" borderId="6" xfId="0" applyNumberFormat="1" applyFont="1" applyFill="1" applyBorder="1" applyAlignment="1">
      <alignment horizontal="center" vertical="center"/>
    </xf>
    <xf numFmtId="4" fontId="3" fillId="0" borderId="3" xfId="0" applyNumberFormat="1" applyFont="1" applyFill="1" applyBorder="1" applyAlignment="1">
      <alignment horizontal="center" vertical="center"/>
    </xf>
    <xf numFmtId="4" fontId="3" fillId="0" borderId="5" xfId="0" applyNumberFormat="1" applyFont="1" applyFill="1" applyBorder="1" applyAlignment="1">
      <alignment horizontal="center" vertical="center"/>
    </xf>
    <xf numFmtId="4" fontId="3" fillId="0" borderId="33" xfId="0" applyNumberFormat="1" applyFont="1" applyFill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4" fontId="3" fillId="0" borderId="34" xfId="0" applyNumberFormat="1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4" fontId="3" fillId="3" borderId="38" xfId="0" applyNumberFormat="1" applyFont="1" applyFill="1" applyBorder="1" applyAlignment="1">
      <alignment horizontal="center" vertical="center"/>
    </xf>
    <xf numFmtId="2" fontId="3" fillId="0" borderId="9" xfId="0" applyNumberFormat="1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center" vertical="center"/>
    </xf>
    <xf numFmtId="2" fontId="3" fillId="0" borderId="10" xfId="0" applyNumberFormat="1" applyFont="1" applyBorder="1" applyAlignment="1">
      <alignment horizontal="center" vertical="center"/>
    </xf>
    <xf numFmtId="0" fontId="3" fillId="3" borderId="44" xfId="0" applyFont="1" applyFill="1" applyBorder="1" applyAlignment="1">
      <alignment horizontal="left" wrapText="1"/>
    </xf>
    <xf numFmtId="0" fontId="3" fillId="3" borderId="45" xfId="0" applyFont="1" applyFill="1" applyBorder="1" applyAlignment="1">
      <alignment horizontal="left" wrapText="1"/>
    </xf>
    <xf numFmtId="0" fontId="3" fillId="3" borderId="39" xfId="0" applyFont="1" applyFill="1" applyBorder="1" applyAlignment="1">
      <alignment horizontal="left" wrapText="1"/>
    </xf>
    <xf numFmtId="165" fontId="3" fillId="3" borderId="58" xfId="0" applyNumberFormat="1" applyFont="1" applyFill="1" applyBorder="1" applyAlignment="1">
      <alignment horizontal="center" vertical="center"/>
    </xf>
    <xf numFmtId="165" fontId="3" fillId="3" borderId="45" xfId="0" applyNumberFormat="1" applyFont="1" applyFill="1" applyBorder="1" applyAlignment="1">
      <alignment horizontal="center" vertical="center"/>
    </xf>
    <xf numFmtId="165" fontId="3" fillId="3" borderId="39" xfId="0" applyNumberFormat="1" applyFont="1" applyFill="1" applyBorder="1" applyAlignment="1">
      <alignment horizontal="center" vertical="center"/>
    </xf>
    <xf numFmtId="2" fontId="3" fillId="3" borderId="58" xfId="0" applyNumberFormat="1" applyFont="1" applyFill="1" applyBorder="1" applyAlignment="1">
      <alignment horizontal="center"/>
    </xf>
    <xf numFmtId="2" fontId="3" fillId="3" borderId="45" xfId="0" applyNumberFormat="1" applyFont="1" applyFill="1" applyBorder="1" applyAlignment="1">
      <alignment horizontal="center"/>
    </xf>
    <xf numFmtId="2" fontId="3" fillId="3" borderId="59" xfId="0" applyNumberFormat="1" applyFont="1" applyFill="1" applyBorder="1" applyAlignment="1">
      <alignment horizontal="center"/>
    </xf>
    <xf numFmtId="165" fontId="4" fillId="3" borderId="18" xfId="0" applyNumberFormat="1" applyFont="1" applyFill="1" applyBorder="1" applyAlignment="1">
      <alignment horizontal="center"/>
    </xf>
    <xf numFmtId="2" fontId="4" fillId="3" borderId="16" xfId="0" applyNumberFormat="1" applyFont="1" applyFill="1" applyBorder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0" fillId="0" borderId="42" xfId="0" applyBorder="1" applyAlignment="1">
      <alignment horizontal="left" wrapText="1"/>
    </xf>
    <xf numFmtId="0" fontId="0" fillId="0" borderId="43" xfId="0" applyBorder="1" applyAlignment="1">
      <alignment horizontal="left" wrapText="1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4" fillId="3" borderId="48" xfId="0" applyFont="1" applyFill="1" applyBorder="1" applyAlignment="1">
      <alignment horizontal="center" vertical="center"/>
    </xf>
    <xf numFmtId="0" fontId="4" fillId="3" borderId="49" xfId="0" applyFont="1" applyFill="1" applyBorder="1" applyAlignment="1">
      <alignment horizontal="center" vertical="center"/>
    </xf>
    <xf numFmtId="0" fontId="4" fillId="3" borderId="49" xfId="0" applyFont="1" applyFill="1" applyBorder="1" applyAlignment="1">
      <alignment horizontal="center" vertical="center" wrapText="1"/>
    </xf>
    <xf numFmtId="0" fontId="4" fillId="3" borderId="52" xfId="0" applyFont="1" applyFill="1" applyBorder="1" applyAlignment="1">
      <alignment horizontal="center" vertical="center"/>
    </xf>
    <xf numFmtId="3" fontId="3" fillId="0" borderId="26" xfId="0" applyNumberFormat="1" applyFont="1" applyFill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165" fontId="3" fillId="0" borderId="6" xfId="0" applyNumberFormat="1" applyFont="1" applyBorder="1" applyAlignment="1">
      <alignment vertical="center"/>
    </xf>
    <xf numFmtId="165" fontId="3" fillId="0" borderId="3" xfId="0" applyNumberFormat="1" applyFont="1" applyBorder="1" applyAlignment="1">
      <alignment vertical="center"/>
    </xf>
    <xf numFmtId="165" fontId="3" fillId="0" borderId="5" xfId="0" applyNumberFormat="1" applyFont="1" applyBorder="1" applyAlignment="1">
      <alignment vertical="center"/>
    </xf>
    <xf numFmtId="165" fontId="3" fillId="0" borderId="9" xfId="0" applyNumberFormat="1" applyFont="1" applyBorder="1" applyAlignment="1">
      <alignment vertical="center"/>
    </xf>
    <xf numFmtId="165" fontId="3" fillId="0" borderId="0" xfId="0" applyNumberFormat="1" applyFont="1" applyBorder="1" applyAlignment="1">
      <alignment vertical="center"/>
    </xf>
    <xf numFmtId="165" fontId="3" fillId="0" borderId="8" xfId="0" applyNumberFormat="1" applyFont="1" applyBorder="1" applyAlignment="1">
      <alignment vertical="center"/>
    </xf>
    <xf numFmtId="165" fontId="3" fillId="0" borderId="14" xfId="0" applyNumberFormat="1" applyFont="1" applyBorder="1" applyAlignment="1">
      <alignment vertical="center"/>
    </xf>
    <xf numFmtId="165" fontId="3" fillId="0" borderId="12" xfId="0" applyNumberFormat="1" applyFont="1" applyBorder="1" applyAlignment="1">
      <alignment vertical="center"/>
    </xf>
    <xf numFmtId="165" fontId="3" fillId="0" borderId="13" xfId="0" applyNumberFormat="1" applyFont="1" applyBorder="1" applyAlignment="1">
      <alignment vertical="center"/>
    </xf>
    <xf numFmtId="165" fontId="3" fillId="3" borderId="28" xfId="0" applyNumberFormat="1" applyFont="1" applyFill="1" applyBorder="1" applyAlignment="1">
      <alignment horizontal="center" vertical="center"/>
    </xf>
    <xf numFmtId="165" fontId="3" fillId="3" borderId="26" xfId="0" applyNumberFormat="1" applyFont="1" applyFill="1" applyBorder="1" applyAlignment="1">
      <alignment horizontal="center" vertical="center"/>
    </xf>
    <xf numFmtId="165" fontId="3" fillId="0" borderId="6" xfId="0" applyNumberFormat="1" applyFont="1" applyFill="1" applyBorder="1" applyAlignment="1">
      <alignment vertical="center"/>
    </xf>
    <xf numFmtId="165" fontId="3" fillId="0" borderId="3" xfId="0" applyNumberFormat="1" applyFont="1" applyFill="1" applyBorder="1" applyAlignment="1">
      <alignment vertical="center"/>
    </xf>
    <xf numFmtId="165" fontId="3" fillId="0" borderId="5" xfId="0" applyNumberFormat="1" applyFont="1" applyFill="1" applyBorder="1" applyAlignment="1">
      <alignment vertical="center"/>
    </xf>
    <xf numFmtId="165" fontId="3" fillId="0" borderId="9" xfId="0" applyNumberFormat="1" applyFont="1" applyFill="1" applyBorder="1" applyAlignment="1">
      <alignment vertical="center"/>
    </xf>
    <xf numFmtId="165" fontId="3" fillId="0" borderId="0" xfId="0" applyNumberFormat="1" applyFont="1" applyFill="1" applyBorder="1" applyAlignment="1">
      <alignment vertical="center"/>
    </xf>
    <xf numFmtId="165" fontId="3" fillId="0" borderId="8" xfId="0" applyNumberFormat="1" applyFont="1" applyFill="1" applyBorder="1" applyAlignment="1">
      <alignment vertical="center"/>
    </xf>
    <xf numFmtId="165" fontId="3" fillId="0" borderId="14" xfId="0" applyNumberFormat="1" applyFont="1" applyFill="1" applyBorder="1" applyAlignment="1">
      <alignment vertical="center"/>
    </xf>
    <xf numFmtId="165" fontId="3" fillId="0" borderId="12" xfId="0" applyNumberFormat="1" applyFont="1" applyFill="1" applyBorder="1" applyAlignment="1">
      <alignment vertical="center"/>
    </xf>
    <xf numFmtId="165" fontId="3" fillId="0" borderId="13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165" fontId="3" fillId="5" borderId="60" xfId="0" applyNumberFormat="1" applyFont="1" applyFill="1" applyBorder="1" applyAlignment="1">
      <alignment horizontal="center" vertical="center"/>
    </xf>
    <xf numFmtId="165" fontId="3" fillId="5" borderId="42" xfId="0" applyNumberFormat="1" applyFont="1" applyFill="1" applyBorder="1" applyAlignment="1">
      <alignment horizontal="center" vertical="center"/>
    </xf>
    <xf numFmtId="165" fontId="3" fillId="5" borderId="43" xfId="0" applyNumberFormat="1" applyFont="1" applyFill="1" applyBorder="1" applyAlignment="1">
      <alignment horizontal="center" vertical="center"/>
    </xf>
    <xf numFmtId="0" fontId="3" fillId="9" borderId="0" xfId="0" applyFont="1" applyFill="1" applyAlignment="1">
      <alignment horizontal="center"/>
    </xf>
    <xf numFmtId="4" fontId="3" fillId="9" borderId="0" xfId="0" applyNumberFormat="1" applyFont="1" applyFill="1" applyAlignment="1">
      <alignment horizontal="center"/>
    </xf>
    <xf numFmtId="4" fontId="10" fillId="9" borderId="0" xfId="0" applyNumberFormat="1" applyFont="1" applyFill="1" applyAlignment="1">
      <alignment horizontal="center"/>
    </xf>
    <xf numFmtId="9" fontId="3" fillId="9" borderId="0" xfId="0" applyNumberFormat="1" applyFont="1" applyFill="1" applyAlignment="1">
      <alignment horizontal="center"/>
    </xf>
    <xf numFmtId="2" fontId="3" fillId="0" borderId="0" xfId="0" applyNumberFormat="1" applyFont="1" applyAlignment="1">
      <alignment horizontal="center"/>
    </xf>
    <xf numFmtId="4" fontId="3" fillId="10" borderId="0" xfId="0" applyNumberFormat="1" applyFont="1" applyFill="1" applyAlignment="1">
      <alignment horizontal="center"/>
    </xf>
    <xf numFmtId="0" fontId="9" fillId="0" borderId="0" xfId="0" applyFont="1" applyAlignment="1">
      <alignment horizontal="center"/>
    </xf>
    <xf numFmtId="3" fontId="4" fillId="3" borderId="19" xfId="0" applyNumberFormat="1" applyFont="1" applyFill="1" applyBorder="1" applyAlignment="1">
      <alignment horizontal="center"/>
    </xf>
    <xf numFmtId="165" fontId="4" fillId="3" borderId="20" xfId="0" applyNumberFormat="1" applyFont="1" applyFill="1" applyBorder="1" applyAlignment="1">
      <alignment horizontal="center"/>
    </xf>
    <xf numFmtId="0" fontId="4" fillId="3" borderId="30" xfId="0" applyFont="1" applyFill="1" applyBorder="1" applyAlignment="1">
      <alignment horizontal="left" wrapText="1"/>
    </xf>
    <xf numFmtId="0" fontId="4" fillId="3" borderId="58" xfId="0" applyFont="1" applyFill="1" applyBorder="1" applyAlignment="1">
      <alignment horizontal="left" wrapText="1"/>
    </xf>
    <xf numFmtId="4" fontId="4" fillId="0" borderId="26" xfId="0" applyNumberFormat="1" applyFont="1" applyBorder="1" applyAlignment="1">
      <alignment horizontal="center"/>
    </xf>
    <xf numFmtId="0" fontId="3" fillId="0" borderId="37" xfId="0" applyFont="1" applyBorder="1" applyAlignment="1">
      <alignment horizontal="left"/>
    </xf>
    <xf numFmtId="0" fontId="3" fillId="0" borderId="38" xfId="0" applyFont="1" applyBorder="1" applyAlignment="1">
      <alignment horizontal="left"/>
    </xf>
    <xf numFmtId="165" fontId="3" fillId="0" borderId="38" xfId="0" applyNumberFormat="1" applyFont="1" applyBorder="1" applyAlignment="1">
      <alignment horizontal="center"/>
    </xf>
    <xf numFmtId="0" fontId="4" fillId="0" borderId="32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3" fillId="0" borderId="40" xfId="0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3" fillId="0" borderId="20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165" fontId="3" fillId="0" borderId="33" xfId="0" applyNumberFormat="1" applyFont="1" applyBorder="1" applyAlignment="1">
      <alignment horizontal="center" wrapText="1"/>
    </xf>
    <xf numFmtId="165" fontId="3" fillId="0" borderId="1" xfId="0" applyNumberFormat="1" applyFont="1" applyBorder="1" applyAlignment="1">
      <alignment horizontal="center" wrapText="1"/>
    </xf>
    <xf numFmtId="165" fontId="3" fillId="0" borderId="36" xfId="0" applyNumberFormat="1" applyFont="1" applyBorder="1" applyAlignment="1">
      <alignment horizontal="center" wrapText="1"/>
    </xf>
    <xf numFmtId="165" fontId="3" fillId="0" borderId="33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65" fontId="3" fillId="0" borderId="36" xfId="0" applyNumberFormat="1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4" fillId="0" borderId="48" xfId="0" applyFont="1" applyBorder="1" applyAlignment="1">
      <alignment horizontal="center"/>
    </xf>
    <xf numFmtId="0" fontId="4" fillId="3" borderId="19" xfId="0" applyFont="1" applyFill="1" applyBorder="1" applyAlignment="1">
      <alignment horizontal="center" vertical="center" wrapText="1"/>
    </xf>
    <xf numFmtId="0" fontId="4" fillId="3" borderId="60" xfId="0" applyFont="1" applyFill="1" applyBorder="1" applyAlignment="1">
      <alignment horizontal="center" vertical="center" wrapText="1"/>
    </xf>
    <xf numFmtId="0" fontId="4" fillId="3" borderId="42" xfId="0" applyFont="1" applyFill="1" applyBorder="1" applyAlignment="1">
      <alignment horizontal="center" vertical="center" wrapText="1"/>
    </xf>
    <xf numFmtId="0" fontId="4" fillId="3" borderId="43" xfId="0" applyFont="1" applyFill="1" applyBorder="1" applyAlignment="1">
      <alignment horizontal="center" vertical="center" wrapText="1"/>
    </xf>
    <xf numFmtId="0" fontId="4" fillId="0" borderId="38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3" fillId="3" borderId="60" xfId="0" applyFont="1" applyFill="1" applyBorder="1" applyAlignment="1">
      <alignment horizontal="left" wrapText="1"/>
    </xf>
    <xf numFmtId="2" fontId="3" fillId="3" borderId="43" xfId="0" applyNumberFormat="1" applyFont="1" applyFill="1" applyBorder="1" applyAlignment="1">
      <alignment horizontal="center"/>
    </xf>
    <xf numFmtId="165" fontId="4" fillId="3" borderId="49" xfId="0" applyNumberFormat="1" applyFont="1" applyFill="1" applyBorder="1" applyAlignment="1">
      <alignment horizontal="center"/>
    </xf>
    <xf numFmtId="0" fontId="3" fillId="3" borderId="24" xfId="0" applyFont="1" applyFill="1" applyBorder="1" applyAlignment="1">
      <alignment horizontal="center" vertical="center" wrapText="1"/>
    </xf>
    <xf numFmtId="0" fontId="3" fillId="3" borderId="6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165" fontId="3" fillId="3" borderId="24" xfId="0" applyNumberFormat="1" applyFont="1" applyFill="1" applyBorder="1" applyAlignment="1">
      <alignment horizontal="center" vertical="center"/>
    </xf>
    <xf numFmtId="165" fontId="3" fillId="3" borderId="25" xfId="0" applyNumberFormat="1" applyFont="1" applyFill="1" applyBorder="1" applyAlignment="1">
      <alignment horizontal="center" vertical="center"/>
    </xf>
    <xf numFmtId="3" fontId="3" fillId="3" borderId="30" xfId="0" applyNumberFormat="1" applyFont="1" applyFill="1" applyBorder="1" applyAlignment="1">
      <alignment horizontal="center" vertical="center"/>
    </xf>
    <xf numFmtId="3" fontId="3" fillId="3" borderId="24" xfId="0" applyNumberFormat="1" applyFont="1" applyFill="1" applyBorder="1" applyAlignment="1">
      <alignment horizontal="center" vertical="center"/>
    </xf>
    <xf numFmtId="3" fontId="3" fillId="3" borderId="25" xfId="0" applyNumberFormat="1" applyFont="1" applyFill="1" applyBorder="1" applyAlignment="1">
      <alignment horizontal="center" vertical="center"/>
    </xf>
    <xf numFmtId="165" fontId="3" fillId="3" borderId="30" xfId="0" applyNumberFormat="1" applyFont="1" applyFill="1" applyBorder="1" applyAlignment="1">
      <alignment horizontal="center" vertical="center"/>
    </xf>
    <xf numFmtId="9" fontId="3" fillId="3" borderId="20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/>
    </xf>
    <xf numFmtId="0" fontId="3" fillId="8" borderId="0" xfId="0" applyFont="1" applyFill="1" applyAlignment="1">
      <alignment horizontal="center"/>
    </xf>
    <xf numFmtId="4" fontId="3" fillId="8" borderId="0" xfId="0" applyNumberFormat="1" applyFont="1" applyFill="1" applyAlignment="1">
      <alignment horizontal="center"/>
    </xf>
    <xf numFmtId="4" fontId="10" fillId="8" borderId="0" xfId="0" applyNumberFormat="1" applyFont="1" applyFill="1" applyAlignment="1">
      <alignment horizontal="center"/>
    </xf>
    <xf numFmtId="9" fontId="3" fillId="8" borderId="0" xfId="0" applyNumberFormat="1" applyFont="1" applyFill="1" applyAlignment="1">
      <alignment horizontal="center"/>
    </xf>
    <xf numFmtId="165" fontId="3" fillId="0" borderId="30" xfId="0" applyNumberFormat="1" applyFont="1" applyBorder="1" applyAlignment="1">
      <alignment horizontal="center" vertical="center"/>
    </xf>
    <xf numFmtId="165" fontId="3" fillId="0" borderId="24" xfId="0" applyNumberFormat="1" applyFont="1" applyBorder="1" applyAlignment="1">
      <alignment horizontal="center" vertical="center"/>
    </xf>
    <xf numFmtId="165" fontId="3" fillId="0" borderId="33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23" xfId="0" applyNumberFormat="1" applyFont="1" applyBorder="1" applyAlignment="1">
      <alignment horizontal="center" vertical="center"/>
    </xf>
    <xf numFmtId="165" fontId="3" fillId="0" borderId="25" xfId="0" applyNumberFormat="1" applyFont="1" applyBorder="1" applyAlignment="1">
      <alignment horizontal="center" vertical="center"/>
    </xf>
    <xf numFmtId="165" fontId="3" fillId="0" borderId="7" xfId="0" applyNumberFormat="1" applyFont="1" applyBorder="1" applyAlignment="1">
      <alignment horizontal="center" vertical="center"/>
    </xf>
    <xf numFmtId="165" fontId="3" fillId="0" borderId="8" xfId="0" applyNumberFormat="1" applyFont="1" applyBorder="1" applyAlignment="1">
      <alignment horizontal="center" vertical="center"/>
    </xf>
    <xf numFmtId="165" fontId="3" fillId="0" borderId="63" xfId="0" applyNumberFormat="1" applyFont="1" applyBorder="1" applyAlignment="1">
      <alignment horizontal="center" vertical="center"/>
    </xf>
    <xf numFmtId="165" fontId="3" fillId="0" borderId="36" xfId="0" applyNumberFormat="1" applyFont="1" applyBorder="1" applyAlignment="1">
      <alignment horizontal="center" vertical="center"/>
    </xf>
    <xf numFmtId="3" fontId="3" fillId="0" borderId="30" xfId="0" applyNumberFormat="1" applyFont="1" applyBorder="1" applyAlignment="1">
      <alignment horizontal="center" vertical="center"/>
    </xf>
    <xf numFmtId="3" fontId="3" fillId="0" borderId="24" xfId="0" applyNumberFormat="1" applyFont="1" applyBorder="1" applyAlignment="1">
      <alignment horizontal="center" vertical="center"/>
    </xf>
    <xf numFmtId="3" fontId="3" fillId="0" borderId="25" xfId="0" applyNumberFormat="1" applyFont="1" applyBorder="1" applyAlignment="1">
      <alignment horizontal="center" vertical="center"/>
    </xf>
    <xf numFmtId="3" fontId="3" fillId="0" borderId="33" xfId="0" applyNumberFormat="1" applyFont="1" applyBorder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3" fontId="3" fillId="0" borderId="36" xfId="0" applyNumberFormat="1" applyFont="1" applyBorder="1" applyAlignment="1">
      <alignment horizontal="center" vertical="center"/>
    </xf>
    <xf numFmtId="165" fontId="3" fillId="3" borderId="1" xfId="0" applyNumberFormat="1" applyFont="1" applyFill="1" applyBorder="1" applyAlignment="1">
      <alignment vertical="center"/>
    </xf>
    <xf numFmtId="0" fontId="4" fillId="0" borderId="20" xfId="0" applyFont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0" borderId="60" xfId="0" applyFont="1" applyBorder="1" applyAlignment="1">
      <alignment horizontal="center" vertical="center" wrapText="1"/>
    </xf>
    <xf numFmtId="165" fontId="3" fillId="0" borderId="20" xfId="0" applyNumberFormat="1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165" fontId="3" fillId="0" borderId="20" xfId="0" applyNumberFormat="1" applyFont="1" applyBorder="1" applyAlignment="1">
      <alignment horizontal="center" wrapText="1"/>
    </xf>
    <xf numFmtId="0" fontId="4" fillId="0" borderId="6" xfId="0" applyFont="1" applyBorder="1" applyAlignment="1">
      <alignment horizontal="center"/>
    </xf>
    <xf numFmtId="165" fontId="4" fillId="0" borderId="0" xfId="0" applyNumberFormat="1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3" fontId="3" fillId="0" borderId="58" xfId="0" applyNumberFormat="1" applyFont="1" applyBorder="1" applyAlignment="1">
      <alignment horizontal="center"/>
    </xf>
    <xf numFmtId="3" fontId="3" fillId="0" borderId="45" xfId="0" applyNumberFormat="1" applyFont="1" applyBorder="1" applyAlignment="1">
      <alignment horizontal="center"/>
    </xf>
    <xf numFmtId="3" fontId="3" fillId="0" borderId="39" xfId="0" applyNumberFormat="1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2" fontId="14" fillId="0" borderId="38" xfId="0" applyNumberFormat="1" applyFont="1" applyBorder="1" applyAlignment="1">
      <alignment horizontal="center" vertical="center"/>
    </xf>
    <xf numFmtId="2" fontId="14" fillId="0" borderId="20" xfId="0" applyNumberFormat="1" applyFont="1" applyBorder="1" applyAlignment="1">
      <alignment horizontal="center" vertical="center"/>
    </xf>
    <xf numFmtId="0" fontId="14" fillId="0" borderId="38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4" fontId="14" fillId="0" borderId="38" xfId="0" applyNumberFormat="1" applyFont="1" applyBorder="1" applyAlignment="1">
      <alignment horizontal="center"/>
    </xf>
    <xf numFmtId="4" fontId="14" fillId="0" borderId="20" xfId="0" applyNumberFormat="1" applyFont="1" applyBorder="1" applyAlignment="1">
      <alignment horizontal="center"/>
    </xf>
    <xf numFmtId="4" fontId="14" fillId="3" borderId="38" xfId="0" applyNumberFormat="1" applyFont="1" applyFill="1" applyBorder="1" applyAlignment="1">
      <alignment horizontal="center"/>
    </xf>
    <xf numFmtId="4" fontId="14" fillId="3" borderId="20" xfId="0" applyNumberFormat="1" applyFont="1" applyFill="1" applyBorder="1" applyAlignment="1">
      <alignment horizontal="center"/>
    </xf>
    <xf numFmtId="2" fontId="14" fillId="0" borderId="19" xfId="0" applyNumberFormat="1" applyFont="1" applyBorder="1" applyAlignment="1">
      <alignment horizontal="center" vertical="center"/>
    </xf>
    <xf numFmtId="4" fontId="14" fillId="0" borderId="19" xfId="0" applyNumberFormat="1" applyFont="1" applyBorder="1" applyAlignment="1">
      <alignment horizontal="center"/>
    </xf>
    <xf numFmtId="0" fontId="14" fillId="0" borderId="19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14" fillId="0" borderId="38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4" fontId="14" fillId="0" borderId="38" xfId="0" applyNumberFormat="1" applyFont="1" applyBorder="1" applyAlignment="1">
      <alignment horizontal="center" vertical="center" wrapText="1"/>
    </xf>
    <xf numFmtId="4" fontId="14" fillId="0" borderId="20" xfId="0" applyNumberFormat="1" applyFont="1" applyBorder="1" applyAlignment="1">
      <alignment horizontal="center" vertical="center" wrapText="1"/>
    </xf>
    <xf numFmtId="0" fontId="15" fillId="3" borderId="38" xfId="0" applyFont="1" applyFill="1" applyBorder="1" applyAlignment="1">
      <alignment horizontal="center"/>
    </xf>
    <xf numFmtId="0" fontId="15" fillId="3" borderId="20" xfId="0" applyFont="1" applyFill="1" applyBorder="1" applyAlignment="1">
      <alignment horizontal="center"/>
    </xf>
    <xf numFmtId="0" fontId="15" fillId="3" borderId="19" xfId="0" applyFont="1" applyFill="1" applyBorder="1" applyAlignment="1">
      <alignment horizontal="center"/>
    </xf>
    <xf numFmtId="0" fontId="14" fillId="0" borderId="38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4" fontId="14" fillId="0" borderId="38" xfId="0" applyNumberFormat="1" applyFont="1" applyBorder="1" applyAlignment="1">
      <alignment horizontal="center" vertical="center"/>
    </xf>
    <xf numFmtId="4" fontId="14" fillId="0" borderId="20" xfId="0" applyNumberFormat="1" applyFont="1" applyBorder="1" applyAlignment="1">
      <alignment horizontal="center" vertical="center"/>
    </xf>
    <xf numFmtId="4" fontId="14" fillId="3" borderId="38" xfId="0" applyNumberFormat="1" applyFont="1" applyFill="1" applyBorder="1" applyAlignment="1">
      <alignment horizontal="center" vertical="center"/>
    </xf>
    <xf numFmtId="4" fontId="14" fillId="3" borderId="20" xfId="0" applyNumberFormat="1" applyFont="1" applyFill="1" applyBorder="1" applyAlignment="1">
      <alignment horizontal="center" vertical="center"/>
    </xf>
    <xf numFmtId="0" fontId="14" fillId="0" borderId="38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14" fillId="0" borderId="19" xfId="0" applyFont="1" applyBorder="1" applyAlignment="1">
      <alignment horizontal="center" vertical="center"/>
    </xf>
    <xf numFmtId="4" fontId="14" fillId="0" borderId="19" xfId="0" applyNumberFormat="1" applyFont="1" applyBorder="1" applyAlignment="1">
      <alignment horizontal="center" vertical="center"/>
    </xf>
    <xf numFmtId="0" fontId="15" fillId="3" borderId="19" xfId="0" applyFont="1" applyFill="1" applyBorder="1" applyAlignment="1">
      <alignment horizontal="center" vertical="center"/>
    </xf>
    <xf numFmtId="0" fontId="15" fillId="0" borderId="19" xfId="0" applyFont="1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DC530"/>
  <sheetViews>
    <sheetView topLeftCell="A377" zoomScaleNormal="100" workbookViewId="0">
      <selection activeCell="CG530" sqref="CG530:CJ530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5" width="1.85546875" style="117"/>
    <col min="26" max="26" width="9.85546875" style="117" bestFit="1" customWidth="1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4.42578125" style="117" customWidth="1"/>
    <col min="55" max="55" width="4.5703125" style="117" customWidth="1"/>
    <col min="56" max="57" width="11.140625" style="117" customWidth="1"/>
    <col min="58" max="58" width="9.7109375" style="117" customWidth="1"/>
    <col min="59" max="59" width="4" style="117" customWidth="1"/>
    <col min="60" max="60" width="10.42578125" style="117" customWidth="1"/>
    <col min="61" max="61" width="8.140625" style="117" customWidth="1"/>
    <col min="62" max="87" width="1.85546875" style="117"/>
    <col min="88" max="88" width="8.85546875" style="117" customWidth="1"/>
    <col min="89" max="16384" width="1.85546875" style="117"/>
  </cols>
  <sheetData>
    <row r="1" spans="1:55" s="100" customFormat="1" ht="15" customHeight="1" x14ac:dyDescent="0.25">
      <c r="AW1" s="100" t="s">
        <v>83</v>
      </c>
    </row>
    <row r="2" spans="1:55" s="100" customFormat="1" ht="17.45" customHeight="1" x14ac:dyDescent="0.25">
      <c r="AS2" s="440" t="s">
        <v>679</v>
      </c>
      <c r="AT2" s="441"/>
      <c r="AU2" s="441"/>
      <c r="AV2" s="441"/>
      <c r="AW2" s="441"/>
      <c r="AX2" s="441"/>
      <c r="AY2" s="441"/>
      <c r="AZ2" s="441"/>
      <c r="BA2" s="441"/>
      <c r="BB2" s="441"/>
      <c r="BC2" s="441"/>
    </row>
    <row r="3" spans="1:55" s="100" customFormat="1" ht="9" customHeight="1" x14ac:dyDescent="0.25"/>
    <row r="4" spans="1:55" s="100" customFormat="1" ht="15" customHeight="1" x14ac:dyDescent="0.25">
      <c r="AS4" s="100" t="s">
        <v>91</v>
      </c>
    </row>
    <row r="5" spans="1:55" s="100" customFormat="1" ht="5.0999999999999996" customHeight="1" x14ac:dyDescent="0.25"/>
    <row r="6" spans="1:55" s="100" customFormat="1" ht="15" customHeight="1" x14ac:dyDescent="0.25">
      <c r="AM6" s="157"/>
      <c r="AN6" s="157"/>
      <c r="AO6" s="157"/>
      <c r="AP6" s="157"/>
      <c r="AQ6" s="157"/>
      <c r="AR6" s="157"/>
      <c r="AS6" s="156"/>
      <c r="AT6" s="156"/>
      <c r="AU6" s="156"/>
      <c r="AV6" s="156"/>
      <c r="AW6" s="100" t="s">
        <v>222</v>
      </c>
    </row>
    <row r="7" spans="1:55" s="100" customFormat="1" ht="9.9499999999999993" customHeight="1" x14ac:dyDescent="0.25">
      <c r="AK7" s="157"/>
      <c r="AL7" s="157"/>
      <c r="AM7" s="157"/>
      <c r="AN7" s="157"/>
      <c r="AO7" s="157"/>
      <c r="AP7" s="157"/>
      <c r="AQ7" s="157"/>
      <c r="AR7" s="157"/>
    </row>
    <row r="8" spans="1:55" s="100" customFormat="1" ht="15" customHeight="1" x14ac:dyDescent="0.25">
      <c r="A8" s="756" t="s">
        <v>0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5" s="100" customFormat="1" ht="15" customHeight="1" x14ac:dyDescent="0.25">
      <c r="A9" s="756" t="s">
        <v>108</v>
      </c>
      <c r="B9" s="756"/>
      <c r="C9" s="756"/>
      <c r="D9" s="756"/>
      <c r="E9" s="756"/>
      <c r="F9" s="756"/>
      <c r="G9" s="756"/>
      <c r="H9" s="756"/>
      <c r="I9" s="756"/>
      <c r="J9" s="756"/>
      <c r="K9" s="756"/>
      <c r="L9" s="756"/>
      <c r="M9" s="756"/>
      <c r="N9" s="756"/>
      <c r="O9" s="756"/>
      <c r="P9" s="756"/>
      <c r="Q9" s="756"/>
      <c r="R9" s="756"/>
      <c r="S9" s="756"/>
      <c r="T9" s="756"/>
      <c r="U9" s="756"/>
      <c r="V9" s="756"/>
      <c r="W9" s="756"/>
      <c r="X9" s="756"/>
      <c r="Y9" s="756"/>
      <c r="Z9" s="756"/>
      <c r="AA9" s="756"/>
      <c r="AB9" s="756"/>
      <c r="AC9" s="756"/>
      <c r="AD9" s="756"/>
      <c r="AE9" s="756"/>
      <c r="AF9" s="756"/>
      <c r="AG9" s="756"/>
      <c r="AH9" s="756"/>
      <c r="AI9" s="756"/>
      <c r="AJ9" s="756"/>
      <c r="AK9" s="756"/>
      <c r="AL9" s="756"/>
      <c r="AM9" s="756"/>
      <c r="AN9" s="756"/>
      <c r="AO9" s="756"/>
      <c r="AP9" s="756"/>
      <c r="AQ9" s="756"/>
      <c r="AR9" s="756"/>
      <c r="AS9" s="756"/>
      <c r="AT9" s="756"/>
      <c r="AU9" s="756"/>
      <c r="AV9" s="756"/>
      <c r="AW9" s="756"/>
      <c r="AX9" s="756"/>
      <c r="AY9" s="756"/>
      <c r="AZ9" s="756"/>
      <c r="BA9" s="756"/>
    </row>
    <row r="10" spans="1:55" s="100" customFormat="1" ht="10.5" customHeight="1" x14ac:dyDescent="0.25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</row>
    <row r="11" spans="1:55" s="100" customFormat="1" ht="15" customHeight="1" x14ac:dyDescent="0.25">
      <c r="A11" s="158"/>
      <c r="B11" s="158" t="s">
        <v>113</v>
      </c>
      <c r="C11" s="757">
        <v>1</v>
      </c>
      <c r="D11" s="757"/>
      <c r="E11" s="757"/>
      <c r="F11" s="158"/>
      <c r="G11" s="757" t="s">
        <v>675</v>
      </c>
      <c r="H11" s="757"/>
      <c r="I11" s="757"/>
      <c r="J11" s="757"/>
      <c r="K11" s="757"/>
      <c r="L11" s="757"/>
      <c r="M11" s="158"/>
      <c r="N11" s="756">
        <v>2021</v>
      </c>
      <c r="O11" s="756"/>
      <c r="P11" s="756"/>
      <c r="Q11" s="756"/>
      <c r="R11" s="158"/>
      <c r="S11" s="158" t="s">
        <v>114</v>
      </c>
      <c r="T11" s="158"/>
      <c r="U11" s="756" t="s">
        <v>115</v>
      </c>
      <c r="V11" s="443"/>
      <c r="W11" s="443"/>
      <c r="X11" s="443"/>
      <c r="Y11" s="443"/>
      <c r="Z11" s="443"/>
      <c r="AA11" s="443"/>
      <c r="AB11" s="443"/>
      <c r="AC11" s="443"/>
      <c r="AD11" s="443"/>
      <c r="AE11" s="443"/>
      <c r="AF11" s="443"/>
      <c r="AG11" s="158"/>
      <c r="AH11" s="758"/>
      <c r="AI11" s="758"/>
      <c r="AJ11" s="759">
        <v>31</v>
      </c>
      <c r="AK11" s="759"/>
      <c r="AL11" s="759"/>
      <c r="AM11" s="158"/>
      <c r="AN11" s="757" t="s">
        <v>116</v>
      </c>
      <c r="AO11" s="757"/>
      <c r="AP11" s="757"/>
      <c r="AQ11" s="757"/>
      <c r="AR11" s="757"/>
      <c r="AS11" s="757"/>
      <c r="AT11" s="757"/>
      <c r="AU11" s="158"/>
      <c r="AV11" s="756">
        <v>2021</v>
      </c>
      <c r="AW11" s="756"/>
      <c r="AX11" s="756"/>
      <c r="AY11" s="756"/>
      <c r="AZ11" s="158"/>
      <c r="BA11" s="158" t="s">
        <v>114</v>
      </c>
    </row>
    <row r="12" spans="1:55" s="82" customFormat="1" ht="10.5" customHeight="1" x14ac:dyDescent="0.2"/>
    <row r="13" spans="1:55" s="100" customFormat="1" ht="12" customHeight="1" x14ac:dyDescent="0.25">
      <c r="A13" s="760" t="s">
        <v>1</v>
      </c>
      <c r="B13" s="760"/>
      <c r="C13" s="760"/>
      <c r="D13" s="760"/>
      <c r="E13" s="760"/>
      <c r="F13" s="760"/>
      <c r="G13" s="760"/>
      <c r="H13" s="760"/>
      <c r="I13" s="760"/>
      <c r="J13" s="760"/>
      <c r="K13" s="760"/>
      <c r="L13" s="760"/>
      <c r="M13" s="760"/>
      <c r="N13" s="760"/>
      <c r="O13" s="760"/>
      <c r="P13" s="760"/>
      <c r="Q13" s="760"/>
      <c r="R13" s="760"/>
      <c r="S13" s="760"/>
      <c r="U13" s="761">
        <v>28</v>
      </c>
      <c r="V13" s="761"/>
      <c r="W13" s="761"/>
    </row>
    <row r="14" spans="1:55" s="100" customFormat="1" ht="5.0999999999999996" customHeight="1" x14ac:dyDescent="0.25">
      <c r="A14" s="117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</row>
    <row r="15" spans="1:55" s="100" customFormat="1" ht="12" customHeight="1" x14ac:dyDescent="0.25">
      <c r="A15" s="760" t="s">
        <v>2</v>
      </c>
      <c r="B15" s="760"/>
      <c r="C15" s="760"/>
      <c r="D15" s="760"/>
      <c r="E15" s="760"/>
      <c r="F15" s="760"/>
      <c r="G15" s="760"/>
      <c r="H15" s="760"/>
      <c r="I15" s="760"/>
      <c r="J15" s="760"/>
      <c r="K15" s="760"/>
      <c r="L15" s="760"/>
      <c r="M15" s="760"/>
      <c r="N15" s="760"/>
      <c r="O15" s="760"/>
      <c r="P15" s="760"/>
      <c r="Q15" s="760"/>
      <c r="R15" s="760"/>
      <c r="S15" s="760"/>
      <c r="U15" s="762">
        <v>24</v>
      </c>
      <c r="V15" s="762"/>
      <c r="W15" s="762"/>
    </row>
    <row r="16" spans="1:55" s="100" customFormat="1" ht="5.0999999999999996" customHeight="1" x14ac:dyDescent="0.25">
      <c r="A16" s="117"/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</row>
    <row r="17" spans="1:54" s="100" customFormat="1" ht="12" customHeight="1" x14ac:dyDescent="0.25">
      <c r="A17" s="760" t="s">
        <v>3</v>
      </c>
      <c r="B17" s="760"/>
      <c r="C17" s="760"/>
      <c r="D17" s="760"/>
      <c r="E17" s="760"/>
      <c r="F17" s="760"/>
      <c r="G17" s="760"/>
      <c r="H17" s="760"/>
      <c r="I17" s="760"/>
      <c r="J17" s="760"/>
      <c r="K17" s="760"/>
      <c r="L17" s="760"/>
      <c r="M17" s="760"/>
      <c r="N17" s="760"/>
      <c r="O17" s="760"/>
      <c r="P17" s="760"/>
      <c r="Q17" s="760"/>
      <c r="R17" s="760"/>
      <c r="S17" s="760"/>
      <c r="U17" s="761">
        <v>2</v>
      </c>
      <c r="V17" s="761"/>
      <c r="W17" s="761"/>
      <c r="X17" s="83" t="s">
        <v>4</v>
      </c>
      <c r="Y17" s="761">
        <v>12</v>
      </c>
      <c r="Z17" s="761"/>
      <c r="AA17" s="761"/>
    </row>
    <row r="18" spans="1:54" ht="5.0999999999999996" customHeight="1" x14ac:dyDescent="0.2"/>
    <row r="19" spans="1:54" s="159" customFormat="1" ht="15" customHeight="1" thickBot="1" x14ac:dyDescent="0.25">
      <c r="A19" s="159" t="s">
        <v>5</v>
      </c>
      <c r="C19" s="159" t="s">
        <v>6</v>
      </c>
      <c r="AN19" s="160"/>
      <c r="AO19" s="160"/>
      <c r="AP19" s="160"/>
      <c r="AQ19" s="160"/>
      <c r="AR19" s="160"/>
    </row>
    <row r="20" spans="1:54" ht="12" customHeight="1" thickBot="1" x14ac:dyDescent="0.25">
      <c r="AJ20" s="161"/>
      <c r="AK20" s="161"/>
      <c r="AL20" s="161"/>
      <c r="AM20" s="161"/>
      <c r="AN20" s="162"/>
      <c r="AO20" s="162"/>
      <c r="AP20" s="163"/>
      <c r="AQ20" s="163" t="s">
        <v>530</v>
      </c>
      <c r="AR20" s="162"/>
      <c r="AS20" s="164"/>
      <c r="AX20" s="708">
        <v>15600</v>
      </c>
      <c r="AY20" s="709"/>
      <c r="AZ20" s="709"/>
      <c r="BA20" s="709"/>
      <c r="BB20" s="710"/>
    </row>
    <row r="21" spans="1:54" ht="12" customHeight="1" x14ac:dyDescent="0.2">
      <c r="A21" s="687" t="s">
        <v>8</v>
      </c>
      <c r="B21" s="688"/>
      <c r="C21" s="688"/>
      <c r="D21" s="688"/>
      <c r="E21" s="688"/>
      <c r="F21" s="688"/>
      <c r="G21" s="689"/>
      <c r="H21" s="696" t="s">
        <v>9</v>
      </c>
      <c r="I21" s="688"/>
      <c r="J21" s="688"/>
      <c r="K21" s="688"/>
      <c r="L21" s="688"/>
      <c r="M21" s="688"/>
      <c r="N21" s="688"/>
      <c r="O21" s="688"/>
      <c r="P21" s="688"/>
      <c r="Q21" s="688"/>
      <c r="R21" s="688"/>
      <c r="S21" s="688"/>
      <c r="T21" s="688"/>
      <c r="U21" s="688"/>
      <c r="V21" s="688"/>
      <c r="W21" s="688"/>
      <c r="X21" s="688"/>
      <c r="Y21" s="688"/>
      <c r="Z21" s="688"/>
      <c r="AA21" s="688"/>
      <c r="AB21" s="689"/>
      <c r="AC21" s="696" t="s">
        <v>10</v>
      </c>
      <c r="AD21" s="688"/>
      <c r="AE21" s="688"/>
      <c r="AF21" s="688"/>
      <c r="AG21" s="689"/>
      <c r="AH21" s="671" t="s">
        <v>419</v>
      </c>
      <c r="AI21" s="739"/>
      <c r="AJ21" s="739"/>
      <c r="AK21" s="739"/>
      <c r="AL21" s="739"/>
      <c r="AM21" s="740"/>
      <c r="AN21" s="671" t="s">
        <v>12</v>
      </c>
      <c r="AO21" s="672"/>
      <c r="AP21" s="672"/>
      <c r="AQ21" s="672"/>
      <c r="AR21" s="699"/>
      <c r="AS21" s="671" t="s">
        <v>13</v>
      </c>
      <c r="AT21" s="672"/>
      <c r="AU21" s="672"/>
      <c r="AV21" s="672"/>
      <c r="AW21" s="673"/>
      <c r="AX21" s="671" t="s">
        <v>14</v>
      </c>
      <c r="AY21" s="672"/>
      <c r="AZ21" s="672"/>
      <c r="BA21" s="672"/>
      <c r="BB21" s="673"/>
    </row>
    <row r="22" spans="1:54" ht="12" customHeight="1" x14ac:dyDescent="0.2">
      <c r="A22" s="690"/>
      <c r="B22" s="691"/>
      <c r="C22" s="691"/>
      <c r="D22" s="691"/>
      <c r="E22" s="691"/>
      <c r="F22" s="691"/>
      <c r="G22" s="692"/>
      <c r="H22" s="697"/>
      <c r="I22" s="691"/>
      <c r="J22" s="691"/>
      <c r="K22" s="691"/>
      <c r="L22" s="691"/>
      <c r="M22" s="691"/>
      <c r="N22" s="691"/>
      <c r="O22" s="691"/>
      <c r="P22" s="691"/>
      <c r="Q22" s="691"/>
      <c r="R22" s="691"/>
      <c r="S22" s="691"/>
      <c r="T22" s="691"/>
      <c r="U22" s="691"/>
      <c r="V22" s="691"/>
      <c r="W22" s="691"/>
      <c r="X22" s="691"/>
      <c r="Y22" s="691"/>
      <c r="Z22" s="691"/>
      <c r="AA22" s="691"/>
      <c r="AB22" s="692"/>
      <c r="AC22" s="697"/>
      <c r="AD22" s="691"/>
      <c r="AE22" s="691"/>
      <c r="AF22" s="691"/>
      <c r="AG22" s="692"/>
      <c r="AH22" s="741"/>
      <c r="AI22" s="742"/>
      <c r="AJ22" s="742"/>
      <c r="AK22" s="742"/>
      <c r="AL22" s="742"/>
      <c r="AM22" s="743"/>
      <c r="AN22" s="674"/>
      <c r="AO22" s="675"/>
      <c r="AP22" s="675"/>
      <c r="AQ22" s="675"/>
      <c r="AR22" s="700"/>
      <c r="AS22" s="674"/>
      <c r="AT22" s="675"/>
      <c r="AU22" s="675"/>
      <c r="AV22" s="675"/>
      <c r="AW22" s="676"/>
      <c r="AX22" s="674"/>
      <c r="AY22" s="675"/>
      <c r="AZ22" s="675"/>
      <c r="BA22" s="675"/>
      <c r="BB22" s="676"/>
    </row>
    <row r="23" spans="1:54" ht="12" customHeight="1" thickBot="1" x14ac:dyDescent="0.25">
      <c r="A23" s="693"/>
      <c r="B23" s="694"/>
      <c r="C23" s="694"/>
      <c r="D23" s="694"/>
      <c r="E23" s="694"/>
      <c r="F23" s="694"/>
      <c r="G23" s="695"/>
      <c r="H23" s="698"/>
      <c r="I23" s="694"/>
      <c r="J23" s="694"/>
      <c r="K23" s="694"/>
      <c r="L23" s="694"/>
      <c r="M23" s="694"/>
      <c r="N23" s="694"/>
      <c r="O23" s="694"/>
      <c r="P23" s="694"/>
      <c r="Q23" s="694"/>
      <c r="R23" s="694"/>
      <c r="S23" s="694"/>
      <c r="T23" s="694"/>
      <c r="U23" s="694"/>
      <c r="V23" s="694"/>
      <c r="W23" s="694"/>
      <c r="X23" s="694"/>
      <c r="Y23" s="694"/>
      <c r="Z23" s="694"/>
      <c r="AA23" s="694"/>
      <c r="AB23" s="695"/>
      <c r="AC23" s="698"/>
      <c r="AD23" s="694"/>
      <c r="AE23" s="694"/>
      <c r="AF23" s="694"/>
      <c r="AG23" s="695"/>
      <c r="AH23" s="744"/>
      <c r="AI23" s="745"/>
      <c r="AJ23" s="745"/>
      <c r="AK23" s="745"/>
      <c r="AL23" s="745"/>
      <c r="AM23" s="746"/>
      <c r="AN23" s="677"/>
      <c r="AO23" s="678"/>
      <c r="AP23" s="678"/>
      <c r="AQ23" s="678"/>
      <c r="AR23" s="701"/>
      <c r="AS23" s="677"/>
      <c r="AT23" s="678"/>
      <c r="AU23" s="678"/>
      <c r="AV23" s="678"/>
      <c r="AW23" s="679"/>
      <c r="AX23" s="677"/>
      <c r="AY23" s="678"/>
      <c r="AZ23" s="678"/>
      <c r="BA23" s="678"/>
      <c r="BB23" s="679"/>
    </row>
    <row r="24" spans="1:54" ht="24" customHeight="1" thickBot="1" x14ac:dyDescent="0.25">
      <c r="A24" s="532" t="s">
        <v>15</v>
      </c>
      <c r="B24" s="533"/>
      <c r="C24" s="533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33"/>
      <c r="O24" s="533"/>
      <c r="P24" s="533"/>
      <c r="Q24" s="533"/>
      <c r="R24" s="533"/>
      <c r="S24" s="533"/>
      <c r="T24" s="533"/>
      <c r="U24" s="533"/>
      <c r="V24" s="533"/>
      <c r="W24" s="533"/>
      <c r="X24" s="533"/>
      <c r="Y24" s="533"/>
      <c r="Z24" s="533"/>
      <c r="AA24" s="533"/>
      <c r="AB24" s="533"/>
      <c r="AC24" s="533"/>
      <c r="AD24" s="533"/>
      <c r="AE24" s="533"/>
      <c r="AF24" s="533"/>
      <c r="AG24" s="533"/>
      <c r="AH24" s="533"/>
      <c r="AI24" s="533"/>
      <c r="AJ24" s="533"/>
      <c r="AK24" s="533"/>
      <c r="AL24" s="533"/>
      <c r="AM24" s="533"/>
      <c r="AN24" s="533"/>
      <c r="AO24" s="533"/>
      <c r="AP24" s="533"/>
      <c r="AQ24" s="533"/>
      <c r="AR24" s="533"/>
      <c r="AS24" s="533"/>
      <c r="AT24" s="533"/>
      <c r="AU24" s="533"/>
      <c r="AV24" s="533"/>
      <c r="AW24" s="533"/>
      <c r="AX24" s="533"/>
      <c r="AY24" s="533"/>
      <c r="AZ24" s="533"/>
      <c r="BA24" s="533"/>
      <c r="BB24" s="680"/>
    </row>
    <row r="25" spans="1:54" ht="4.5" customHeight="1" x14ac:dyDescent="0.2">
      <c r="A25" s="764" t="s">
        <v>417</v>
      </c>
      <c r="B25" s="765"/>
      <c r="C25" s="765"/>
      <c r="D25" s="765"/>
      <c r="E25" s="765"/>
      <c r="F25" s="765"/>
      <c r="G25" s="766"/>
      <c r="H25" s="711" t="s">
        <v>16</v>
      </c>
      <c r="I25" s="712"/>
      <c r="J25" s="712"/>
      <c r="K25" s="712"/>
      <c r="L25" s="712"/>
      <c r="M25" s="712"/>
      <c r="N25" s="712"/>
      <c r="O25" s="712"/>
      <c r="P25" s="712"/>
      <c r="Q25" s="712"/>
      <c r="R25" s="712"/>
      <c r="S25" s="712"/>
      <c r="T25" s="712"/>
      <c r="U25" s="712"/>
      <c r="V25" s="712"/>
      <c r="W25" s="712"/>
      <c r="X25" s="712"/>
      <c r="Y25" s="712"/>
      <c r="Z25" s="723">
        <v>0.2</v>
      </c>
      <c r="AA25" s="723"/>
      <c r="AB25" s="723"/>
      <c r="AC25" s="662">
        <f>(AX52+AX84)*Z25*AH25</f>
        <v>3154.666666666667</v>
      </c>
      <c r="AD25" s="662"/>
      <c r="AE25" s="662"/>
      <c r="AF25" s="662"/>
      <c r="AG25" s="662"/>
      <c r="AH25" s="663">
        <v>2</v>
      </c>
      <c r="AI25" s="663"/>
      <c r="AJ25" s="663"/>
      <c r="AK25" s="663"/>
      <c r="AL25" s="663"/>
      <c r="AM25" s="663"/>
      <c r="AN25" s="662">
        <f>AC25/U13</f>
        <v>112.66666666666667</v>
      </c>
      <c r="AO25" s="662"/>
      <c r="AP25" s="662"/>
      <c r="AQ25" s="662"/>
      <c r="AR25" s="662"/>
      <c r="AS25" s="663" t="s">
        <v>17</v>
      </c>
      <c r="AT25" s="663"/>
      <c r="AU25" s="663"/>
      <c r="AV25" s="663"/>
      <c r="AW25" s="663"/>
      <c r="AX25" s="662" t="s">
        <v>17</v>
      </c>
      <c r="AY25" s="662"/>
      <c r="AZ25" s="662"/>
      <c r="BA25" s="662"/>
      <c r="BB25" s="684"/>
    </row>
    <row r="26" spans="1:54" s="165" customFormat="1" ht="26.25" customHeight="1" x14ac:dyDescent="0.2">
      <c r="A26" s="767"/>
      <c r="B26" s="768"/>
      <c r="C26" s="768"/>
      <c r="D26" s="768"/>
      <c r="E26" s="768"/>
      <c r="F26" s="768"/>
      <c r="G26" s="769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5.0999999999999996" customHeight="1" x14ac:dyDescent="0.2">
      <c r="A27" s="771" t="s">
        <v>89</v>
      </c>
      <c r="B27" s="772"/>
      <c r="C27" s="772"/>
      <c r="D27" s="772"/>
      <c r="E27" s="772"/>
      <c r="F27" s="772"/>
      <c r="G27" s="773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s="165" customFormat="1" ht="11.25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ht="5.0999999999999996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11.25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5.0999999999999996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s="165" customFormat="1" ht="11.25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ht="5.0999999999999996" hidden="1" customHeight="1" x14ac:dyDescent="0.2">
      <c r="A33" s="750"/>
      <c r="B33" s="751"/>
      <c r="C33" s="751"/>
      <c r="D33" s="751"/>
      <c r="E33" s="751"/>
      <c r="F33" s="751"/>
      <c r="G33" s="774"/>
      <c r="H33" s="714"/>
      <c r="I33" s="704"/>
      <c r="J33" s="704"/>
      <c r="K33" s="704"/>
      <c r="L33" s="704"/>
      <c r="M33" s="704"/>
      <c r="N33" s="704"/>
      <c r="O33" s="704"/>
      <c r="P33" s="704"/>
      <c r="Q33" s="704"/>
      <c r="R33" s="704"/>
      <c r="S33" s="704"/>
      <c r="T33" s="704"/>
      <c r="U33" s="704"/>
      <c r="V33" s="704"/>
      <c r="W33" s="704"/>
      <c r="X33" s="704"/>
      <c r="Y33" s="704"/>
      <c r="Z33" s="726"/>
      <c r="AA33" s="726"/>
      <c r="AB33" s="726"/>
      <c r="AC33" s="601"/>
      <c r="AD33" s="601"/>
      <c r="AE33" s="601"/>
      <c r="AF33" s="601"/>
      <c r="AG33" s="601"/>
      <c r="AH33" s="664"/>
      <c r="AI33" s="664"/>
      <c r="AJ33" s="664"/>
      <c r="AK33" s="664"/>
      <c r="AL33" s="664"/>
      <c r="AM33" s="664"/>
      <c r="AN33" s="601"/>
      <c r="AO33" s="601"/>
      <c r="AP33" s="601"/>
      <c r="AQ33" s="601"/>
      <c r="AR33" s="601"/>
      <c r="AS33" s="664"/>
      <c r="AT33" s="664"/>
      <c r="AU33" s="664"/>
      <c r="AV33" s="664"/>
      <c r="AW33" s="664"/>
      <c r="AX33" s="601"/>
      <c r="AY33" s="601"/>
      <c r="AZ33" s="601"/>
      <c r="BA33" s="601"/>
      <c r="BB33" s="655"/>
    </row>
    <row r="34" spans="1:54" s="165" customFormat="1" ht="17.25" customHeight="1" thickBot="1" x14ac:dyDescent="0.25">
      <c r="A34" s="753"/>
      <c r="B34" s="754"/>
      <c r="C34" s="754"/>
      <c r="D34" s="754"/>
      <c r="E34" s="754"/>
      <c r="F34" s="754"/>
      <c r="G34" s="775"/>
      <c r="H34" s="770"/>
      <c r="I34" s="721"/>
      <c r="J34" s="721"/>
      <c r="K34" s="721"/>
      <c r="L34" s="721"/>
      <c r="M34" s="721"/>
      <c r="N34" s="721"/>
      <c r="O34" s="721"/>
      <c r="P34" s="721"/>
      <c r="Q34" s="721"/>
      <c r="R34" s="721"/>
      <c r="S34" s="721"/>
      <c r="T34" s="721"/>
      <c r="U34" s="721"/>
      <c r="V34" s="721"/>
      <c r="W34" s="721"/>
      <c r="X34" s="721"/>
      <c r="Y34" s="721"/>
      <c r="Z34" s="729"/>
      <c r="AA34" s="729"/>
      <c r="AB34" s="729"/>
      <c r="AC34" s="656"/>
      <c r="AD34" s="656"/>
      <c r="AE34" s="656"/>
      <c r="AF34" s="656"/>
      <c r="AG34" s="656"/>
      <c r="AH34" s="683"/>
      <c r="AI34" s="683"/>
      <c r="AJ34" s="683"/>
      <c r="AK34" s="683"/>
      <c r="AL34" s="683"/>
      <c r="AM34" s="683"/>
      <c r="AN34" s="656"/>
      <c r="AO34" s="656"/>
      <c r="AP34" s="656"/>
      <c r="AQ34" s="656"/>
      <c r="AR34" s="656"/>
      <c r="AS34" s="683"/>
      <c r="AT34" s="683"/>
      <c r="AU34" s="683"/>
      <c r="AV34" s="683"/>
      <c r="AW34" s="683"/>
      <c r="AX34" s="656"/>
      <c r="AY34" s="656"/>
      <c r="AZ34" s="656"/>
      <c r="BA34" s="656"/>
      <c r="BB34" s="657"/>
    </row>
    <row r="35" spans="1:54" s="167" customFormat="1" ht="11.25" customHeight="1" x14ac:dyDescent="0.2">
      <c r="A35" s="166"/>
      <c r="B35" s="166"/>
      <c r="C35" s="166"/>
      <c r="D35" s="166"/>
      <c r="E35" s="166"/>
      <c r="F35" s="166"/>
      <c r="G35" s="166"/>
      <c r="H35" s="776"/>
      <c r="I35" s="776"/>
      <c r="J35" s="776"/>
      <c r="K35" s="776"/>
      <c r="L35" s="776"/>
      <c r="M35" s="776"/>
      <c r="P35" s="168"/>
      <c r="Q35" s="191"/>
      <c r="R35" s="187" t="s">
        <v>18</v>
      </c>
      <c r="S35" s="163"/>
      <c r="T35" s="163"/>
      <c r="U35" s="162"/>
      <c r="V35" s="162"/>
      <c r="W35" s="162"/>
      <c r="X35" s="162"/>
      <c r="Y35" s="162"/>
      <c r="Z35" s="162"/>
      <c r="AA35" s="162"/>
      <c r="AB35" s="162"/>
      <c r="AC35" s="162"/>
      <c r="AD35" s="162" t="s">
        <v>19</v>
      </c>
      <c r="AE35" s="162" t="s">
        <v>20</v>
      </c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88"/>
      <c r="AS35" s="702">
        <f>AN25</f>
        <v>112.66666666666667</v>
      </c>
      <c r="AT35" s="702"/>
      <c r="AU35" s="702"/>
      <c r="AV35" s="702"/>
      <c r="AW35" s="702"/>
      <c r="AX35" s="702">
        <f>AC25</f>
        <v>3154.666666666667</v>
      </c>
      <c r="AY35" s="702"/>
      <c r="AZ35" s="702"/>
      <c r="BA35" s="702"/>
      <c r="BB35" s="703"/>
    </row>
    <row r="36" spans="1:54" s="167" customFormat="1" ht="11.25" customHeight="1" thickBot="1" x14ac:dyDescent="0.25">
      <c r="A36" s="166"/>
      <c r="B36" s="166"/>
      <c r="C36" s="166"/>
      <c r="D36" s="166"/>
      <c r="E36" s="166"/>
      <c r="F36" s="166"/>
      <c r="G36" s="166"/>
      <c r="H36" s="173"/>
      <c r="I36" s="173"/>
      <c r="J36" s="173"/>
      <c r="K36" s="173"/>
      <c r="L36" s="173"/>
      <c r="M36" s="173"/>
      <c r="P36" s="168"/>
      <c r="Q36" s="174"/>
      <c r="R36" s="175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 t="s">
        <v>19</v>
      </c>
      <c r="AE36" s="176" t="s">
        <v>21</v>
      </c>
      <c r="AF36" s="176"/>
      <c r="AG36" s="176"/>
      <c r="AH36" s="176"/>
      <c r="AI36" s="176"/>
      <c r="AJ36" s="176"/>
      <c r="AK36" s="176"/>
      <c r="AL36" s="176"/>
      <c r="AM36" s="176"/>
      <c r="AN36" s="176"/>
      <c r="AO36" s="630">
        <v>0.30199999999999999</v>
      </c>
      <c r="AP36" s="631"/>
      <c r="AQ36" s="631"/>
      <c r="AR36" s="632"/>
      <c r="AS36" s="463">
        <f>AX36/U13</f>
        <v>34.025333333333336</v>
      </c>
      <c r="AT36" s="463"/>
      <c r="AU36" s="463"/>
      <c r="AV36" s="463"/>
      <c r="AW36" s="463"/>
      <c r="AX36" s="463">
        <f>AX35*AO36</f>
        <v>952.70933333333335</v>
      </c>
      <c r="AY36" s="463"/>
      <c r="AZ36" s="463"/>
      <c r="BA36" s="463"/>
      <c r="BB36" s="633"/>
    </row>
    <row r="37" spans="1:54" s="167" customFormat="1" ht="12.75" thickBot="1" x14ac:dyDescent="0.25">
      <c r="A37" s="166"/>
      <c r="B37" s="166"/>
      <c r="C37" s="166"/>
      <c r="D37" s="166"/>
      <c r="E37" s="166"/>
      <c r="F37" s="166"/>
      <c r="G37" s="166"/>
      <c r="H37" s="173"/>
      <c r="I37" s="173"/>
      <c r="J37" s="173"/>
      <c r="K37" s="173"/>
      <c r="L37" s="173"/>
      <c r="M37" s="173"/>
      <c r="P37" s="168"/>
      <c r="Q37" s="174"/>
      <c r="R37" s="174"/>
      <c r="S37" s="174"/>
      <c r="U37" s="174"/>
      <c r="V37" s="174"/>
      <c r="W37" s="174"/>
      <c r="Z37" s="162"/>
      <c r="AA37" s="162"/>
      <c r="AB37" s="162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8"/>
      <c r="AT37" s="179"/>
      <c r="AU37" s="179"/>
      <c r="AV37" s="179"/>
      <c r="AW37" s="179"/>
      <c r="AX37" s="178"/>
      <c r="AY37" s="179"/>
      <c r="AZ37" s="179"/>
      <c r="BA37" s="179"/>
      <c r="BB37" s="179"/>
    </row>
    <row r="38" spans="1:54" s="167" customFormat="1" ht="12" customHeight="1" x14ac:dyDescent="0.2">
      <c r="A38" s="687" t="s">
        <v>8</v>
      </c>
      <c r="B38" s="688"/>
      <c r="C38" s="688"/>
      <c r="D38" s="688"/>
      <c r="E38" s="688"/>
      <c r="F38" s="688"/>
      <c r="G38" s="689"/>
      <c r="H38" s="696" t="s">
        <v>9</v>
      </c>
      <c r="I38" s="688"/>
      <c r="J38" s="688"/>
      <c r="K38" s="688"/>
      <c r="L38" s="688"/>
      <c r="M38" s="688"/>
      <c r="N38" s="688"/>
      <c r="O38" s="688"/>
      <c r="P38" s="688"/>
      <c r="Q38" s="688"/>
      <c r="R38" s="688"/>
      <c r="S38" s="688"/>
      <c r="T38" s="688"/>
      <c r="U38" s="688"/>
      <c r="V38" s="688"/>
      <c r="W38" s="688"/>
      <c r="X38" s="688"/>
      <c r="Y38" s="688"/>
      <c r="Z38" s="688"/>
      <c r="AA38" s="688"/>
      <c r="AB38" s="689"/>
      <c r="AC38" s="696" t="s">
        <v>10</v>
      </c>
      <c r="AD38" s="688"/>
      <c r="AE38" s="688"/>
      <c r="AF38" s="688"/>
      <c r="AG38" s="689"/>
      <c r="AH38" s="671" t="s">
        <v>420</v>
      </c>
      <c r="AI38" s="739"/>
      <c r="AJ38" s="739"/>
      <c r="AK38" s="739"/>
      <c r="AL38" s="739"/>
      <c r="AM38" s="740"/>
      <c r="AN38" s="671" t="s">
        <v>12</v>
      </c>
      <c r="AO38" s="672"/>
      <c r="AP38" s="672"/>
      <c r="AQ38" s="672"/>
      <c r="AR38" s="699"/>
      <c r="AS38" s="671" t="s">
        <v>13</v>
      </c>
      <c r="AT38" s="672"/>
      <c r="AU38" s="672"/>
      <c r="AV38" s="672"/>
      <c r="AW38" s="673"/>
      <c r="AX38" s="671" t="s">
        <v>14</v>
      </c>
      <c r="AY38" s="672"/>
      <c r="AZ38" s="672"/>
      <c r="BA38" s="672"/>
      <c r="BB38" s="673"/>
    </row>
    <row r="39" spans="1:54" s="167" customFormat="1" ht="12" customHeight="1" x14ac:dyDescent="0.2">
      <c r="A39" s="690"/>
      <c r="B39" s="691"/>
      <c r="C39" s="691"/>
      <c r="D39" s="691"/>
      <c r="E39" s="691"/>
      <c r="F39" s="691"/>
      <c r="G39" s="692"/>
      <c r="H39" s="697"/>
      <c r="I39" s="691"/>
      <c r="J39" s="691"/>
      <c r="K39" s="691"/>
      <c r="L39" s="691"/>
      <c r="M39" s="691"/>
      <c r="N39" s="691"/>
      <c r="O39" s="691"/>
      <c r="P39" s="691"/>
      <c r="Q39" s="691"/>
      <c r="R39" s="691"/>
      <c r="S39" s="691"/>
      <c r="T39" s="691"/>
      <c r="U39" s="691"/>
      <c r="V39" s="691"/>
      <c r="W39" s="691"/>
      <c r="X39" s="691"/>
      <c r="Y39" s="691"/>
      <c r="Z39" s="691"/>
      <c r="AA39" s="691"/>
      <c r="AB39" s="692"/>
      <c r="AC39" s="697"/>
      <c r="AD39" s="691"/>
      <c r="AE39" s="691"/>
      <c r="AF39" s="691"/>
      <c r="AG39" s="692"/>
      <c r="AH39" s="741"/>
      <c r="AI39" s="742"/>
      <c r="AJ39" s="742"/>
      <c r="AK39" s="742"/>
      <c r="AL39" s="742"/>
      <c r="AM39" s="743"/>
      <c r="AN39" s="674"/>
      <c r="AO39" s="675"/>
      <c r="AP39" s="675"/>
      <c r="AQ39" s="675"/>
      <c r="AR39" s="700"/>
      <c r="AS39" s="674"/>
      <c r="AT39" s="675"/>
      <c r="AU39" s="675"/>
      <c r="AV39" s="675"/>
      <c r="AW39" s="676"/>
      <c r="AX39" s="674"/>
      <c r="AY39" s="675"/>
      <c r="AZ39" s="675"/>
      <c r="BA39" s="675"/>
      <c r="BB39" s="676"/>
    </row>
    <row r="40" spans="1:54" s="167" customFormat="1" ht="11.25" customHeight="1" thickBot="1" x14ac:dyDescent="0.25">
      <c r="A40" s="693"/>
      <c r="B40" s="694"/>
      <c r="C40" s="694"/>
      <c r="D40" s="694"/>
      <c r="E40" s="694"/>
      <c r="F40" s="694"/>
      <c r="G40" s="695"/>
      <c r="H40" s="698"/>
      <c r="I40" s="694"/>
      <c r="J40" s="694"/>
      <c r="K40" s="694"/>
      <c r="L40" s="694"/>
      <c r="M40" s="694"/>
      <c r="N40" s="694"/>
      <c r="O40" s="694"/>
      <c r="P40" s="694"/>
      <c r="Q40" s="694"/>
      <c r="R40" s="694"/>
      <c r="S40" s="694"/>
      <c r="T40" s="694"/>
      <c r="U40" s="694"/>
      <c r="V40" s="694"/>
      <c r="W40" s="694"/>
      <c r="X40" s="694"/>
      <c r="Y40" s="694"/>
      <c r="Z40" s="694"/>
      <c r="AA40" s="694"/>
      <c r="AB40" s="695"/>
      <c r="AC40" s="698"/>
      <c r="AD40" s="694"/>
      <c r="AE40" s="694"/>
      <c r="AF40" s="694"/>
      <c r="AG40" s="695"/>
      <c r="AH40" s="744"/>
      <c r="AI40" s="745"/>
      <c r="AJ40" s="745"/>
      <c r="AK40" s="745"/>
      <c r="AL40" s="745"/>
      <c r="AM40" s="746"/>
      <c r="AN40" s="677"/>
      <c r="AO40" s="678"/>
      <c r="AP40" s="678"/>
      <c r="AQ40" s="678"/>
      <c r="AR40" s="701"/>
      <c r="AS40" s="677"/>
      <c r="AT40" s="678"/>
      <c r="AU40" s="678"/>
      <c r="AV40" s="678"/>
      <c r="AW40" s="679"/>
      <c r="AX40" s="677"/>
      <c r="AY40" s="678"/>
      <c r="AZ40" s="678"/>
      <c r="BA40" s="678"/>
      <c r="BB40" s="679"/>
    </row>
    <row r="41" spans="1:54" ht="18.75" customHeight="1" thickBot="1" x14ac:dyDescent="0.25">
      <c r="A41" s="731" t="s">
        <v>23</v>
      </c>
      <c r="B41" s="732"/>
      <c r="C41" s="732"/>
      <c r="D41" s="732"/>
      <c r="E41" s="732"/>
      <c r="F41" s="732"/>
      <c r="G41" s="732"/>
      <c r="H41" s="732"/>
      <c r="I41" s="732"/>
      <c r="J41" s="732"/>
      <c r="K41" s="732"/>
      <c r="L41" s="732"/>
      <c r="M41" s="732"/>
      <c r="N41" s="732"/>
      <c r="O41" s="732"/>
      <c r="P41" s="732"/>
      <c r="Q41" s="732"/>
      <c r="R41" s="732"/>
      <c r="S41" s="732"/>
      <c r="T41" s="732"/>
      <c r="U41" s="732"/>
      <c r="V41" s="732"/>
      <c r="W41" s="732"/>
      <c r="X41" s="732"/>
      <c r="Y41" s="732"/>
      <c r="Z41" s="732"/>
      <c r="AA41" s="732"/>
      <c r="AB41" s="732"/>
      <c r="AC41" s="732"/>
      <c r="AD41" s="732"/>
      <c r="AE41" s="732"/>
      <c r="AF41" s="732"/>
      <c r="AG41" s="732"/>
      <c r="AH41" s="732"/>
      <c r="AI41" s="732"/>
      <c r="AJ41" s="732"/>
      <c r="AK41" s="732"/>
      <c r="AL41" s="732"/>
      <c r="AM41" s="732"/>
      <c r="AN41" s="732"/>
      <c r="AO41" s="732"/>
      <c r="AP41" s="732"/>
      <c r="AQ41" s="732"/>
      <c r="AR41" s="732"/>
      <c r="AS41" s="732"/>
      <c r="AT41" s="732"/>
      <c r="AU41" s="732"/>
      <c r="AV41" s="732"/>
      <c r="AW41" s="732"/>
      <c r="AX41" s="732"/>
      <c r="AY41" s="732"/>
      <c r="AZ41" s="732"/>
      <c r="BA41" s="732"/>
      <c r="BB41" s="733"/>
    </row>
    <row r="42" spans="1:54" ht="36" customHeight="1" x14ac:dyDescent="0.2">
      <c r="A42" s="747"/>
      <c r="B42" s="748"/>
      <c r="C42" s="748"/>
      <c r="D42" s="748"/>
      <c r="E42" s="748"/>
      <c r="F42" s="748"/>
      <c r="G42" s="749"/>
      <c r="H42" s="718" t="s">
        <v>16</v>
      </c>
      <c r="I42" s="712"/>
      <c r="J42" s="712"/>
      <c r="K42" s="712"/>
      <c r="L42" s="712"/>
      <c r="M42" s="712"/>
      <c r="N42" s="712"/>
      <c r="O42" s="712"/>
      <c r="P42" s="712"/>
      <c r="Q42" s="712"/>
      <c r="R42" s="712"/>
      <c r="S42" s="712"/>
      <c r="T42" s="712"/>
      <c r="U42" s="712"/>
      <c r="V42" s="712"/>
      <c r="W42" s="712"/>
      <c r="X42" s="712"/>
      <c r="Y42" s="712"/>
      <c r="Z42" s="722">
        <v>0</v>
      </c>
      <c r="AA42" s="723"/>
      <c r="AB42" s="724"/>
      <c r="AC42" s="712">
        <f>AX84*Z42*AH42</f>
        <v>0</v>
      </c>
      <c r="AD42" s="712"/>
      <c r="AE42" s="712"/>
      <c r="AF42" s="712"/>
      <c r="AG42" s="734"/>
      <c r="AH42" s="508">
        <v>0</v>
      </c>
      <c r="AI42" s="509"/>
      <c r="AJ42" s="509"/>
      <c r="AK42" s="509"/>
      <c r="AL42" s="509"/>
      <c r="AM42" s="510"/>
      <c r="AN42" s="711">
        <f>AC42/U13</f>
        <v>0</v>
      </c>
      <c r="AO42" s="712"/>
      <c r="AP42" s="712"/>
      <c r="AQ42" s="712"/>
      <c r="AR42" s="734"/>
      <c r="AS42" s="508" t="s">
        <v>17</v>
      </c>
      <c r="AT42" s="509"/>
      <c r="AU42" s="509"/>
      <c r="AV42" s="509"/>
      <c r="AW42" s="510"/>
      <c r="AX42" s="711" t="s">
        <v>17</v>
      </c>
      <c r="AY42" s="712"/>
      <c r="AZ42" s="712"/>
      <c r="BA42" s="712"/>
      <c r="BB42" s="713"/>
    </row>
    <row r="43" spans="1:54" s="165" customFormat="1" ht="0.75" hidden="1" customHeight="1" x14ac:dyDescent="0.2">
      <c r="A43" s="750"/>
      <c r="B43" s="751"/>
      <c r="C43" s="751"/>
      <c r="D43" s="751"/>
      <c r="E43" s="751"/>
      <c r="F43" s="751"/>
      <c r="G43" s="752"/>
      <c r="H43" s="719"/>
      <c r="I43" s="704"/>
      <c r="J43" s="704"/>
      <c r="K43" s="704"/>
      <c r="L43" s="704"/>
      <c r="M43" s="704"/>
      <c r="N43" s="704"/>
      <c r="O43" s="704"/>
      <c r="P43" s="704"/>
      <c r="Q43" s="704"/>
      <c r="R43" s="704"/>
      <c r="S43" s="704"/>
      <c r="T43" s="704"/>
      <c r="U43" s="704"/>
      <c r="V43" s="704"/>
      <c r="W43" s="704"/>
      <c r="X43" s="704"/>
      <c r="Y43" s="704"/>
      <c r="Z43" s="725"/>
      <c r="AA43" s="726"/>
      <c r="AB43" s="727"/>
      <c r="AC43" s="704"/>
      <c r="AD43" s="704"/>
      <c r="AE43" s="704"/>
      <c r="AF43" s="704"/>
      <c r="AG43" s="735"/>
      <c r="AH43" s="511"/>
      <c r="AI43" s="512"/>
      <c r="AJ43" s="512"/>
      <c r="AK43" s="512"/>
      <c r="AL43" s="512"/>
      <c r="AM43" s="513"/>
      <c r="AN43" s="714"/>
      <c r="AO43" s="704"/>
      <c r="AP43" s="704"/>
      <c r="AQ43" s="704"/>
      <c r="AR43" s="735"/>
      <c r="AS43" s="511"/>
      <c r="AT43" s="512"/>
      <c r="AU43" s="512"/>
      <c r="AV43" s="512"/>
      <c r="AW43" s="513"/>
      <c r="AX43" s="714"/>
      <c r="AY43" s="704"/>
      <c r="AZ43" s="704"/>
      <c r="BA43" s="704"/>
      <c r="BB43" s="715"/>
    </row>
    <row r="44" spans="1:54" ht="18" hidden="1" customHeight="1" x14ac:dyDescent="0.2">
      <c r="A44" s="750"/>
      <c r="B44" s="751"/>
      <c r="C44" s="751"/>
      <c r="D44" s="751"/>
      <c r="E44" s="751"/>
      <c r="F44" s="751"/>
      <c r="G44" s="752"/>
      <c r="H44" s="719"/>
      <c r="I44" s="704"/>
      <c r="J44" s="704"/>
      <c r="K44" s="704"/>
      <c r="L44" s="704"/>
      <c r="M44" s="704"/>
      <c r="N44" s="704"/>
      <c r="O44" s="704"/>
      <c r="P44" s="704"/>
      <c r="Q44" s="704"/>
      <c r="R44" s="704"/>
      <c r="S44" s="704"/>
      <c r="T44" s="704"/>
      <c r="U44" s="704"/>
      <c r="V44" s="704"/>
      <c r="W44" s="704"/>
      <c r="X44" s="704"/>
      <c r="Y44" s="704"/>
      <c r="Z44" s="725"/>
      <c r="AA44" s="726"/>
      <c r="AB44" s="727"/>
      <c r="AC44" s="669"/>
      <c r="AD44" s="669"/>
      <c r="AE44" s="669"/>
      <c r="AF44" s="669"/>
      <c r="AG44" s="670"/>
      <c r="AH44" s="736"/>
      <c r="AI44" s="737"/>
      <c r="AJ44" s="737"/>
      <c r="AK44" s="737"/>
      <c r="AL44" s="737"/>
      <c r="AM44" s="738"/>
      <c r="AN44" s="716"/>
      <c r="AO44" s="669"/>
      <c r="AP44" s="669"/>
      <c r="AQ44" s="669"/>
      <c r="AR44" s="670"/>
      <c r="AS44" s="736"/>
      <c r="AT44" s="737"/>
      <c r="AU44" s="737"/>
      <c r="AV44" s="737"/>
      <c r="AW44" s="738"/>
      <c r="AX44" s="716"/>
      <c r="AY44" s="669"/>
      <c r="AZ44" s="669"/>
      <c r="BA44" s="669"/>
      <c r="BB44" s="717"/>
    </row>
    <row r="45" spans="1:54" s="165" customFormat="1" ht="21" hidden="1" customHeight="1" x14ac:dyDescent="0.2">
      <c r="A45" s="750"/>
      <c r="B45" s="751"/>
      <c r="C45" s="751"/>
      <c r="D45" s="751"/>
      <c r="E45" s="751"/>
      <c r="F45" s="751"/>
      <c r="G45" s="752"/>
      <c r="H45" s="719"/>
      <c r="I45" s="704"/>
      <c r="J45" s="704"/>
      <c r="K45" s="704"/>
      <c r="L45" s="704"/>
      <c r="M45" s="704"/>
      <c r="N45" s="704"/>
      <c r="O45" s="704"/>
      <c r="P45" s="704"/>
      <c r="Q45" s="704"/>
      <c r="R45" s="704"/>
      <c r="S45" s="704"/>
      <c r="T45" s="704"/>
      <c r="U45" s="704"/>
      <c r="V45" s="704"/>
      <c r="W45" s="704"/>
      <c r="X45" s="704"/>
      <c r="Y45" s="704"/>
      <c r="Z45" s="725"/>
      <c r="AA45" s="726"/>
      <c r="AB45" s="727"/>
      <c r="AC45" s="86"/>
      <c r="AD45" s="84"/>
      <c r="AE45" s="84"/>
      <c r="AF45" s="84"/>
      <c r="AG45" s="85"/>
      <c r="AH45" s="180"/>
      <c r="AI45" s="181"/>
      <c r="AJ45" s="181"/>
      <c r="AK45" s="181"/>
      <c r="AL45" s="181"/>
      <c r="AM45" s="182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255"/>
    </row>
    <row r="46" spans="1:54" s="165" customFormat="1" ht="21.75" hidden="1" customHeight="1" x14ac:dyDescent="0.2">
      <c r="A46" s="750"/>
      <c r="B46" s="751"/>
      <c r="C46" s="751"/>
      <c r="D46" s="751"/>
      <c r="E46" s="751"/>
      <c r="F46" s="751"/>
      <c r="G46" s="752"/>
      <c r="H46" s="719"/>
      <c r="I46" s="704"/>
      <c r="J46" s="704"/>
      <c r="K46" s="704"/>
      <c r="L46" s="704"/>
      <c r="M46" s="704"/>
      <c r="N46" s="704"/>
      <c r="O46" s="704"/>
      <c r="P46" s="704"/>
      <c r="Q46" s="704"/>
      <c r="R46" s="704"/>
      <c r="S46" s="704"/>
      <c r="T46" s="704"/>
      <c r="U46" s="704"/>
      <c r="V46" s="704"/>
      <c r="W46" s="704"/>
      <c r="X46" s="704"/>
      <c r="Y46" s="704"/>
      <c r="Z46" s="725"/>
      <c r="AA46" s="726"/>
      <c r="AB46" s="727"/>
      <c r="AC46" s="86"/>
      <c r="AD46" s="84"/>
      <c r="AE46" s="84"/>
      <c r="AF46" s="84"/>
      <c r="AG46" s="85"/>
      <c r="AH46" s="180"/>
      <c r="AI46" s="181"/>
      <c r="AJ46" s="181"/>
      <c r="AK46" s="181"/>
      <c r="AL46" s="181"/>
      <c r="AM46" s="182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255"/>
    </row>
    <row r="47" spans="1:54" s="165" customFormat="1" ht="24" hidden="1" customHeight="1" x14ac:dyDescent="0.2">
      <c r="A47" s="750"/>
      <c r="B47" s="751"/>
      <c r="C47" s="751"/>
      <c r="D47" s="751"/>
      <c r="E47" s="751"/>
      <c r="F47" s="751"/>
      <c r="G47" s="752"/>
      <c r="H47" s="719"/>
      <c r="I47" s="704"/>
      <c r="J47" s="704"/>
      <c r="K47" s="704"/>
      <c r="L47" s="704"/>
      <c r="M47" s="704"/>
      <c r="N47" s="704"/>
      <c r="O47" s="704"/>
      <c r="P47" s="704"/>
      <c r="Q47" s="704"/>
      <c r="R47" s="704"/>
      <c r="S47" s="704"/>
      <c r="T47" s="704"/>
      <c r="U47" s="704"/>
      <c r="V47" s="704"/>
      <c r="W47" s="704"/>
      <c r="X47" s="704"/>
      <c r="Y47" s="704"/>
      <c r="Z47" s="725"/>
      <c r="AA47" s="726"/>
      <c r="AB47" s="727"/>
      <c r="AC47" s="86"/>
      <c r="AD47" s="84"/>
      <c r="AE47" s="84"/>
      <c r="AF47" s="84"/>
      <c r="AG47" s="85"/>
      <c r="AH47" s="180"/>
      <c r="AI47" s="181"/>
      <c r="AJ47" s="181"/>
      <c r="AK47" s="181"/>
      <c r="AL47" s="181"/>
      <c r="AM47" s="182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255"/>
    </row>
    <row r="48" spans="1:54" s="165" customFormat="1" ht="18" hidden="1" customHeight="1" x14ac:dyDescent="0.2">
      <c r="A48" s="750"/>
      <c r="B48" s="751"/>
      <c r="C48" s="751"/>
      <c r="D48" s="751"/>
      <c r="E48" s="751"/>
      <c r="F48" s="751"/>
      <c r="G48" s="752"/>
      <c r="H48" s="719"/>
      <c r="I48" s="704"/>
      <c r="J48" s="704"/>
      <c r="K48" s="704"/>
      <c r="L48" s="704"/>
      <c r="M48" s="704"/>
      <c r="N48" s="704"/>
      <c r="O48" s="704"/>
      <c r="P48" s="704"/>
      <c r="Q48" s="704"/>
      <c r="R48" s="704"/>
      <c r="S48" s="704"/>
      <c r="T48" s="704"/>
      <c r="U48" s="704"/>
      <c r="V48" s="704"/>
      <c r="W48" s="704"/>
      <c r="X48" s="704"/>
      <c r="Y48" s="704"/>
      <c r="Z48" s="725"/>
      <c r="AA48" s="726"/>
      <c r="AB48" s="727"/>
      <c r="AC48" s="86"/>
      <c r="AD48" s="84"/>
      <c r="AE48" s="84"/>
      <c r="AF48" s="84"/>
      <c r="AG48" s="85"/>
      <c r="AH48" s="180"/>
      <c r="AI48" s="181"/>
      <c r="AJ48" s="181"/>
      <c r="AK48" s="181"/>
      <c r="AL48" s="181"/>
      <c r="AM48" s="182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255"/>
    </row>
    <row r="49" spans="1:54" s="165" customFormat="1" ht="17.25" hidden="1" customHeight="1" x14ac:dyDescent="0.2">
      <c r="A49" s="750"/>
      <c r="B49" s="751"/>
      <c r="C49" s="751"/>
      <c r="D49" s="751"/>
      <c r="E49" s="751"/>
      <c r="F49" s="751"/>
      <c r="G49" s="752"/>
      <c r="H49" s="719"/>
      <c r="I49" s="704"/>
      <c r="J49" s="704"/>
      <c r="K49" s="704"/>
      <c r="L49" s="704"/>
      <c r="M49" s="704"/>
      <c r="N49" s="704"/>
      <c r="O49" s="704"/>
      <c r="P49" s="704"/>
      <c r="Q49" s="704"/>
      <c r="R49" s="704"/>
      <c r="S49" s="704"/>
      <c r="T49" s="704"/>
      <c r="U49" s="704"/>
      <c r="V49" s="704"/>
      <c r="W49" s="704"/>
      <c r="X49" s="704"/>
      <c r="Y49" s="704"/>
      <c r="Z49" s="725"/>
      <c r="AA49" s="726"/>
      <c r="AB49" s="727"/>
      <c r="AC49" s="86"/>
      <c r="AD49" s="84"/>
      <c r="AE49" s="84"/>
      <c r="AF49" s="84"/>
      <c r="AG49" s="85"/>
      <c r="AH49" s="180"/>
      <c r="AI49" s="181"/>
      <c r="AJ49" s="181"/>
      <c r="AK49" s="181"/>
      <c r="AL49" s="181"/>
      <c r="AM49" s="182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255"/>
    </row>
    <row r="50" spans="1:54" s="165" customFormat="1" ht="14.25" hidden="1" customHeight="1" x14ac:dyDescent="0.2">
      <c r="A50" s="750"/>
      <c r="B50" s="751"/>
      <c r="C50" s="751"/>
      <c r="D50" s="751"/>
      <c r="E50" s="751"/>
      <c r="F50" s="751"/>
      <c r="G50" s="752"/>
      <c r="H50" s="719"/>
      <c r="I50" s="704"/>
      <c r="J50" s="704"/>
      <c r="K50" s="704"/>
      <c r="L50" s="704"/>
      <c r="M50" s="704"/>
      <c r="N50" s="704"/>
      <c r="O50" s="704"/>
      <c r="P50" s="704"/>
      <c r="Q50" s="704"/>
      <c r="R50" s="704"/>
      <c r="S50" s="704"/>
      <c r="T50" s="704"/>
      <c r="U50" s="704"/>
      <c r="V50" s="704"/>
      <c r="W50" s="704"/>
      <c r="X50" s="704"/>
      <c r="Y50" s="704"/>
      <c r="Z50" s="725"/>
      <c r="AA50" s="726"/>
      <c r="AB50" s="727"/>
      <c r="AC50" s="86"/>
      <c r="AD50" s="84"/>
      <c r="AE50" s="84"/>
      <c r="AF50" s="84"/>
      <c r="AG50" s="85"/>
      <c r="AH50" s="180"/>
      <c r="AI50" s="181"/>
      <c r="AJ50" s="181"/>
      <c r="AK50" s="181"/>
      <c r="AL50" s="181"/>
      <c r="AM50" s="182"/>
      <c r="AN50" s="86"/>
      <c r="AO50" s="84"/>
      <c r="AP50" s="84"/>
      <c r="AQ50" s="84"/>
      <c r="AR50" s="85"/>
      <c r="AS50" s="180"/>
      <c r="AT50" s="181"/>
      <c r="AU50" s="181"/>
      <c r="AV50" s="181"/>
      <c r="AW50" s="182"/>
      <c r="AX50" s="86"/>
      <c r="AY50" s="84"/>
      <c r="AZ50" s="84"/>
      <c r="BA50" s="84"/>
      <c r="BB50" s="255"/>
    </row>
    <row r="51" spans="1:54" ht="0.75" hidden="1" customHeight="1" thickBot="1" x14ac:dyDescent="0.25">
      <c r="A51" s="753"/>
      <c r="B51" s="754"/>
      <c r="C51" s="754"/>
      <c r="D51" s="754"/>
      <c r="E51" s="754"/>
      <c r="F51" s="754"/>
      <c r="G51" s="755"/>
      <c r="H51" s="720"/>
      <c r="I51" s="721"/>
      <c r="J51" s="721"/>
      <c r="K51" s="721"/>
      <c r="L51" s="721"/>
      <c r="M51" s="721"/>
      <c r="N51" s="721"/>
      <c r="O51" s="721"/>
      <c r="P51" s="721"/>
      <c r="Q51" s="721"/>
      <c r="R51" s="721"/>
      <c r="S51" s="721"/>
      <c r="T51" s="721"/>
      <c r="U51" s="721"/>
      <c r="V51" s="721"/>
      <c r="W51" s="721"/>
      <c r="X51" s="721"/>
      <c r="Y51" s="721"/>
      <c r="Z51" s="728"/>
      <c r="AA51" s="729"/>
      <c r="AB51" s="730"/>
      <c r="AC51" s="256"/>
      <c r="AD51" s="257"/>
      <c r="AE51" s="257"/>
      <c r="AF51" s="257"/>
      <c r="AG51" s="258"/>
      <c r="AH51" s="259"/>
      <c r="AI51" s="260"/>
      <c r="AJ51" s="260"/>
      <c r="AK51" s="260"/>
      <c r="AL51" s="260"/>
      <c r="AM51" s="261"/>
      <c r="AN51" s="256"/>
      <c r="AO51" s="257"/>
      <c r="AP51" s="257"/>
      <c r="AQ51" s="257"/>
      <c r="AR51" s="258"/>
      <c r="AS51" s="259"/>
      <c r="AT51" s="260"/>
      <c r="AU51" s="260"/>
      <c r="AV51" s="260"/>
      <c r="AW51" s="261"/>
      <c r="AX51" s="256"/>
      <c r="AY51" s="257"/>
      <c r="AZ51" s="257"/>
      <c r="BA51" s="257"/>
      <c r="BB51" s="262"/>
    </row>
    <row r="52" spans="1:54" s="165" customFormat="1" ht="11.25" customHeight="1" x14ac:dyDescent="0.2">
      <c r="A52" s="166"/>
      <c r="B52" s="166"/>
      <c r="C52" s="166"/>
      <c r="D52" s="166"/>
      <c r="E52" s="166"/>
      <c r="F52" s="166"/>
      <c r="G52" s="166"/>
      <c r="H52" s="617"/>
      <c r="I52" s="617"/>
      <c r="J52" s="617"/>
      <c r="K52" s="617"/>
      <c r="L52" s="164"/>
      <c r="M52" s="164"/>
      <c r="N52" s="164"/>
      <c r="O52" s="164"/>
      <c r="P52" s="164"/>
      <c r="Q52" s="186"/>
      <c r="R52" s="187" t="s">
        <v>18</v>
      </c>
      <c r="S52" s="163"/>
      <c r="T52" s="163"/>
      <c r="U52" s="162"/>
      <c r="V52" s="162"/>
      <c r="W52" s="162"/>
      <c r="X52" s="162"/>
      <c r="Y52" s="162"/>
      <c r="Z52" s="162"/>
      <c r="AA52" s="162"/>
      <c r="AB52" s="162"/>
      <c r="AC52" s="162"/>
      <c r="AD52" s="162" t="s">
        <v>19</v>
      </c>
      <c r="AE52" s="162" t="s">
        <v>20</v>
      </c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88"/>
      <c r="AS52" s="702">
        <f>SUM(AN42:AR51)</f>
        <v>0</v>
      </c>
      <c r="AT52" s="702"/>
      <c r="AU52" s="702"/>
      <c r="AV52" s="702"/>
      <c r="AW52" s="702"/>
      <c r="AX52" s="702">
        <f>SUM(AX42:BB45)</f>
        <v>0</v>
      </c>
      <c r="AY52" s="702"/>
      <c r="AZ52" s="702"/>
      <c r="BA52" s="702"/>
      <c r="BB52" s="703"/>
    </row>
    <row r="53" spans="1:54" s="165" customFormat="1" ht="11.25" customHeight="1" thickBot="1" x14ac:dyDescent="0.25">
      <c r="A53" s="166"/>
      <c r="B53" s="166"/>
      <c r="C53" s="166"/>
      <c r="D53" s="166"/>
      <c r="E53" s="166"/>
      <c r="F53" s="166"/>
      <c r="G53" s="166"/>
      <c r="H53" s="189"/>
      <c r="I53" s="189"/>
      <c r="J53" s="189"/>
      <c r="K53" s="189"/>
      <c r="L53" s="164"/>
      <c r="M53" s="164"/>
      <c r="N53" s="164"/>
      <c r="O53" s="164"/>
      <c r="P53" s="164"/>
      <c r="Q53" s="190"/>
      <c r="R53" s="175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 t="s">
        <v>19</v>
      </c>
      <c r="AE53" s="176" t="s">
        <v>21</v>
      </c>
      <c r="AF53" s="176"/>
      <c r="AG53" s="176"/>
      <c r="AH53" s="176"/>
      <c r="AI53" s="176"/>
      <c r="AJ53" s="176"/>
      <c r="AK53" s="176"/>
      <c r="AL53" s="176"/>
      <c r="AM53" s="176"/>
      <c r="AN53" s="176"/>
      <c r="AO53" s="630">
        <v>0.30199999999999999</v>
      </c>
      <c r="AP53" s="631"/>
      <c r="AQ53" s="631"/>
      <c r="AR53" s="632"/>
      <c r="AS53" s="463">
        <f>AS52*27.1%</f>
        <v>0</v>
      </c>
      <c r="AT53" s="463"/>
      <c r="AU53" s="463"/>
      <c r="AV53" s="463"/>
      <c r="AW53" s="463"/>
      <c r="AX53" s="463">
        <f>AX52*AO53</f>
        <v>0</v>
      </c>
      <c r="AY53" s="463"/>
      <c r="AZ53" s="463"/>
      <c r="BA53" s="463"/>
      <c r="BB53" s="633"/>
    </row>
    <row r="54" spans="1:54" s="165" customFormat="1" ht="8.25" customHeight="1" thickBot="1" x14ac:dyDescent="0.25">
      <c r="A54" s="166"/>
      <c r="B54" s="166"/>
      <c r="C54" s="166"/>
      <c r="D54" s="166"/>
      <c r="E54" s="166"/>
      <c r="F54" s="166"/>
      <c r="G54" s="166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91"/>
      <c r="AA54" s="191"/>
      <c r="AB54" s="191"/>
      <c r="AC54" s="191"/>
      <c r="AD54" s="191"/>
      <c r="AE54" s="192"/>
      <c r="AF54" s="192"/>
      <c r="AG54" s="192"/>
      <c r="AH54" s="192"/>
      <c r="AI54" s="191"/>
      <c r="AJ54" s="191"/>
      <c r="AK54" s="191"/>
      <c r="AL54" s="191"/>
      <c r="AM54" s="191"/>
      <c r="AN54" s="191"/>
      <c r="AO54" s="191"/>
      <c r="AP54" s="191"/>
      <c r="AQ54" s="191"/>
      <c r="AR54" s="191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</row>
    <row r="55" spans="1:54" s="165" customFormat="1" ht="12" customHeight="1" x14ac:dyDescent="0.2">
      <c r="A55" s="687" t="s">
        <v>8</v>
      </c>
      <c r="B55" s="688"/>
      <c r="C55" s="688"/>
      <c r="D55" s="688"/>
      <c r="E55" s="688"/>
      <c r="F55" s="688"/>
      <c r="G55" s="689"/>
      <c r="H55" s="696" t="s">
        <v>9</v>
      </c>
      <c r="I55" s="688"/>
      <c r="J55" s="688"/>
      <c r="K55" s="688"/>
      <c r="L55" s="688"/>
      <c r="M55" s="688"/>
      <c r="N55" s="688"/>
      <c r="O55" s="688"/>
      <c r="P55" s="688"/>
      <c r="Q55" s="688"/>
      <c r="R55" s="688"/>
      <c r="S55" s="688"/>
      <c r="T55" s="688"/>
      <c r="U55" s="688"/>
      <c r="V55" s="688"/>
      <c r="W55" s="688"/>
      <c r="X55" s="688"/>
      <c r="Y55" s="688"/>
      <c r="Z55" s="688"/>
      <c r="AA55" s="688"/>
      <c r="AB55" s="689"/>
      <c r="AC55" s="696" t="s">
        <v>10</v>
      </c>
      <c r="AD55" s="688"/>
      <c r="AE55" s="688"/>
      <c r="AF55" s="688"/>
      <c r="AG55" s="689"/>
      <c r="AH55" s="672" t="s">
        <v>24</v>
      </c>
      <c r="AI55" s="672"/>
      <c r="AJ55" s="672"/>
      <c r="AK55" s="672"/>
      <c r="AL55" s="672"/>
      <c r="AM55" s="699"/>
      <c r="AN55" s="671" t="s">
        <v>12</v>
      </c>
      <c r="AO55" s="672"/>
      <c r="AP55" s="672"/>
      <c r="AQ55" s="672"/>
      <c r="AR55" s="699"/>
      <c r="AS55" s="671" t="s">
        <v>13</v>
      </c>
      <c r="AT55" s="672"/>
      <c r="AU55" s="672"/>
      <c r="AV55" s="672"/>
      <c r="AW55" s="673"/>
      <c r="AX55" s="671" t="s">
        <v>14</v>
      </c>
      <c r="AY55" s="672"/>
      <c r="AZ55" s="672"/>
      <c r="BA55" s="672"/>
      <c r="BB55" s="673"/>
    </row>
    <row r="56" spans="1:54" s="165" customFormat="1" ht="12" customHeight="1" x14ac:dyDescent="0.2">
      <c r="A56" s="690"/>
      <c r="B56" s="691"/>
      <c r="C56" s="691"/>
      <c r="D56" s="691"/>
      <c r="E56" s="691"/>
      <c r="F56" s="691"/>
      <c r="G56" s="692"/>
      <c r="H56" s="697"/>
      <c r="I56" s="691"/>
      <c r="J56" s="691"/>
      <c r="K56" s="691"/>
      <c r="L56" s="691"/>
      <c r="M56" s="691"/>
      <c r="N56" s="691"/>
      <c r="O56" s="691"/>
      <c r="P56" s="691"/>
      <c r="Q56" s="691"/>
      <c r="R56" s="691"/>
      <c r="S56" s="691"/>
      <c r="T56" s="691"/>
      <c r="U56" s="691"/>
      <c r="V56" s="691"/>
      <c r="W56" s="691"/>
      <c r="X56" s="691"/>
      <c r="Y56" s="691"/>
      <c r="Z56" s="691"/>
      <c r="AA56" s="691"/>
      <c r="AB56" s="692"/>
      <c r="AC56" s="697"/>
      <c r="AD56" s="691"/>
      <c r="AE56" s="691"/>
      <c r="AF56" s="691"/>
      <c r="AG56" s="692"/>
      <c r="AH56" s="675"/>
      <c r="AI56" s="675"/>
      <c r="AJ56" s="675"/>
      <c r="AK56" s="675"/>
      <c r="AL56" s="675"/>
      <c r="AM56" s="700"/>
      <c r="AN56" s="674"/>
      <c r="AO56" s="675"/>
      <c r="AP56" s="675"/>
      <c r="AQ56" s="675"/>
      <c r="AR56" s="700"/>
      <c r="AS56" s="674"/>
      <c r="AT56" s="675"/>
      <c r="AU56" s="675"/>
      <c r="AV56" s="675"/>
      <c r="AW56" s="676"/>
      <c r="AX56" s="674"/>
      <c r="AY56" s="675"/>
      <c r="AZ56" s="675"/>
      <c r="BA56" s="675"/>
      <c r="BB56" s="676"/>
    </row>
    <row r="57" spans="1:54" s="164" customFormat="1" ht="13.5" customHeight="1" thickBot="1" x14ac:dyDescent="0.25">
      <c r="A57" s="693"/>
      <c r="B57" s="694"/>
      <c r="C57" s="694"/>
      <c r="D57" s="694"/>
      <c r="E57" s="694"/>
      <c r="F57" s="694"/>
      <c r="G57" s="695"/>
      <c r="H57" s="698"/>
      <c r="I57" s="694"/>
      <c r="J57" s="694"/>
      <c r="K57" s="694"/>
      <c r="L57" s="694"/>
      <c r="M57" s="694"/>
      <c r="N57" s="694"/>
      <c r="O57" s="694"/>
      <c r="P57" s="694"/>
      <c r="Q57" s="694"/>
      <c r="R57" s="694"/>
      <c r="S57" s="694"/>
      <c r="T57" s="694"/>
      <c r="U57" s="694"/>
      <c r="V57" s="694"/>
      <c r="W57" s="694"/>
      <c r="X57" s="694"/>
      <c r="Y57" s="694"/>
      <c r="Z57" s="694"/>
      <c r="AA57" s="694"/>
      <c r="AB57" s="695"/>
      <c r="AC57" s="698"/>
      <c r="AD57" s="694"/>
      <c r="AE57" s="694"/>
      <c r="AF57" s="694"/>
      <c r="AG57" s="695"/>
      <c r="AH57" s="678"/>
      <c r="AI57" s="678"/>
      <c r="AJ57" s="678"/>
      <c r="AK57" s="678"/>
      <c r="AL57" s="678"/>
      <c r="AM57" s="701"/>
      <c r="AN57" s="677"/>
      <c r="AO57" s="678"/>
      <c r="AP57" s="678"/>
      <c r="AQ57" s="678"/>
      <c r="AR57" s="701"/>
      <c r="AS57" s="677"/>
      <c r="AT57" s="678"/>
      <c r="AU57" s="678"/>
      <c r="AV57" s="678"/>
      <c r="AW57" s="679"/>
      <c r="AX57" s="677"/>
      <c r="AY57" s="678"/>
      <c r="AZ57" s="678"/>
      <c r="BA57" s="678"/>
      <c r="BB57" s="679"/>
    </row>
    <row r="58" spans="1:54" ht="25.5" customHeight="1" thickBot="1" x14ac:dyDescent="0.25">
      <c r="A58" s="532" t="s">
        <v>25</v>
      </c>
      <c r="B58" s="533"/>
      <c r="C58" s="533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33"/>
      <c r="O58" s="533"/>
      <c r="P58" s="533"/>
      <c r="Q58" s="533"/>
      <c r="R58" s="533"/>
      <c r="S58" s="533"/>
      <c r="T58" s="533"/>
      <c r="U58" s="533"/>
      <c r="V58" s="533"/>
      <c r="W58" s="533"/>
      <c r="X58" s="533"/>
      <c r="Y58" s="533"/>
      <c r="Z58" s="533"/>
      <c r="AA58" s="533"/>
      <c r="AB58" s="533"/>
      <c r="AC58" s="533"/>
      <c r="AD58" s="533"/>
      <c r="AE58" s="533"/>
      <c r="AF58" s="533"/>
      <c r="AG58" s="533"/>
      <c r="AH58" s="533"/>
      <c r="AI58" s="533"/>
      <c r="AJ58" s="533"/>
      <c r="AK58" s="533"/>
      <c r="AL58" s="533"/>
      <c r="AM58" s="533"/>
      <c r="AN58" s="533"/>
      <c r="AO58" s="533"/>
      <c r="AP58" s="533"/>
      <c r="AQ58" s="533"/>
      <c r="AR58" s="533"/>
      <c r="AS58" s="533"/>
      <c r="AT58" s="533"/>
      <c r="AU58" s="533"/>
      <c r="AV58" s="533"/>
      <c r="AW58" s="533"/>
      <c r="AX58" s="533"/>
      <c r="AY58" s="533"/>
      <c r="AZ58" s="533"/>
      <c r="BA58" s="533"/>
      <c r="BB58" s="680"/>
    </row>
    <row r="59" spans="1:54" ht="13.5" hidden="1" customHeight="1" x14ac:dyDescent="0.2">
      <c r="A59" s="660" t="s">
        <v>136</v>
      </c>
      <c r="B59" s="661"/>
      <c r="C59" s="661"/>
      <c r="D59" s="661"/>
      <c r="E59" s="661"/>
      <c r="F59" s="661"/>
      <c r="G59" s="661"/>
      <c r="H59" s="92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4" t="e">
        <f>#REF!</f>
        <v>#REF!</v>
      </c>
      <c r="AA59" s="95"/>
      <c r="AB59" s="96"/>
      <c r="AC59" s="662">
        <f>((R60+(R60*U62)+(R60*Q62)+(R60*M62)+(R60*I62))*Z62)</f>
        <v>40560</v>
      </c>
      <c r="AD59" s="662"/>
      <c r="AE59" s="662"/>
      <c r="AF59" s="662"/>
      <c r="AG59" s="662"/>
      <c r="AH59" s="662">
        <v>144</v>
      </c>
      <c r="AI59" s="662"/>
      <c r="AJ59" s="662"/>
      <c r="AK59" s="662"/>
      <c r="AL59" s="662"/>
      <c r="AM59" s="662"/>
      <c r="AN59" s="662">
        <f>AC59/AH59</f>
        <v>281.66666666666669</v>
      </c>
      <c r="AO59" s="662"/>
      <c r="AP59" s="662"/>
      <c r="AQ59" s="662"/>
      <c r="AR59" s="662"/>
      <c r="AS59" s="663">
        <f>U13</f>
        <v>28</v>
      </c>
      <c r="AT59" s="663"/>
      <c r="AU59" s="663"/>
      <c r="AV59" s="663"/>
      <c r="AW59" s="663"/>
      <c r="AX59" s="662">
        <f>AN59*AS59</f>
        <v>7886.666666666667</v>
      </c>
      <c r="AY59" s="662"/>
      <c r="AZ59" s="662"/>
      <c r="BA59" s="662"/>
      <c r="BB59" s="684"/>
    </row>
    <row r="60" spans="1:54" s="165" customFormat="1" ht="26.45" customHeight="1" x14ac:dyDescent="0.2">
      <c r="A60" s="652"/>
      <c r="B60" s="653"/>
      <c r="C60" s="653"/>
      <c r="D60" s="653"/>
      <c r="E60" s="653"/>
      <c r="F60" s="653"/>
      <c r="G60" s="653"/>
      <c r="H60" s="685" t="s">
        <v>530</v>
      </c>
      <c r="I60" s="686"/>
      <c r="J60" s="686"/>
      <c r="K60" s="686"/>
      <c r="L60" s="686"/>
      <c r="M60" s="686"/>
      <c r="N60" s="704" t="s">
        <v>27</v>
      </c>
      <c r="O60" s="705"/>
      <c r="P60" s="705"/>
      <c r="Q60" s="705"/>
      <c r="R60" s="669">
        <v>15600</v>
      </c>
      <c r="S60" s="669"/>
      <c r="T60" s="669"/>
      <c r="U60" s="669"/>
      <c r="V60" s="669"/>
      <c r="W60" s="84" t="s">
        <v>28</v>
      </c>
      <c r="X60" s="84"/>
      <c r="Y60" s="84"/>
      <c r="Z60" s="84"/>
      <c r="AA60" s="84"/>
      <c r="AB60" s="85"/>
      <c r="AC60" s="601"/>
      <c r="AD60" s="601"/>
      <c r="AE60" s="601"/>
      <c r="AF60" s="601"/>
      <c r="AG60" s="601"/>
      <c r="AH60" s="601"/>
      <c r="AI60" s="601"/>
      <c r="AJ60" s="601"/>
      <c r="AK60" s="601"/>
      <c r="AL60" s="601"/>
      <c r="AM60" s="601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4.5" customHeight="1" x14ac:dyDescent="0.2">
      <c r="A61" s="652"/>
      <c r="B61" s="653"/>
      <c r="C61" s="653"/>
      <c r="D61" s="653"/>
      <c r="E61" s="653"/>
      <c r="F61" s="653"/>
      <c r="G61" s="653"/>
      <c r="H61" s="86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5"/>
      <c r="AC61" s="601"/>
      <c r="AD61" s="601"/>
      <c r="AE61" s="601"/>
      <c r="AF61" s="601"/>
      <c r="AG61" s="601"/>
      <c r="AH61" s="601"/>
      <c r="AI61" s="601"/>
      <c r="AJ61" s="601"/>
      <c r="AK61" s="601"/>
      <c r="AL61" s="601"/>
      <c r="AM61" s="601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8" customHeight="1" x14ac:dyDescent="0.2">
      <c r="A62" s="652"/>
      <c r="B62" s="653"/>
      <c r="C62" s="653"/>
      <c r="D62" s="653"/>
      <c r="E62" s="653"/>
      <c r="F62" s="653"/>
      <c r="G62" s="653"/>
      <c r="H62" s="706" t="s">
        <v>656</v>
      </c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  <c r="W62" s="707"/>
      <c r="X62" s="707"/>
      <c r="Y62" s="84" t="s">
        <v>28</v>
      </c>
      <c r="Z62" s="669">
        <v>2.6</v>
      </c>
      <c r="AA62" s="669"/>
      <c r="AB62" s="670"/>
      <c r="AC62" s="601"/>
      <c r="AD62" s="601"/>
      <c r="AE62" s="601"/>
      <c r="AF62" s="601"/>
      <c r="AG62" s="601"/>
      <c r="AH62" s="601"/>
      <c r="AI62" s="601"/>
      <c r="AJ62" s="601"/>
      <c r="AK62" s="601"/>
      <c r="AL62" s="601"/>
      <c r="AM62" s="601"/>
      <c r="AN62" s="601"/>
      <c r="AO62" s="601"/>
      <c r="AP62" s="601"/>
      <c r="AQ62" s="601"/>
      <c r="AR62" s="601"/>
      <c r="AS62" s="664"/>
      <c r="AT62" s="664"/>
      <c r="AU62" s="664"/>
      <c r="AV62" s="664"/>
      <c r="AW62" s="664"/>
      <c r="AX62" s="601"/>
      <c r="AY62" s="601"/>
      <c r="AZ62" s="601"/>
      <c r="BA62" s="601"/>
      <c r="BB62" s="655"/>
    </row>
    <row r="63" spans="1:54" s="165" customFormat="1" ht="15" customHeight="1" thickBot="1" x14ac:dyDescent="0.25">
      <c r="A63" s="681"/>
      <c r="B63" s="682"/>
      <c r="C63" s="682"/>
      <c r="D63" s="682"/>
      <c r="E63" s="682"/>
      <c r="F63" s="682"/>
      <c r="G63" s="682"/>
      <c r="H63" s="256"/>
      <c r="I63" s="257"/>
      <c r="J63" s="257"/>
      <c r="K63" s="257"/>
      <c r="L63" s="257"/>
      <c r="M63" s="257"/>
      <c r="N63" s="257"/>
      <c r="O63" s="257"/>
      <c r="P63" s="257"/>
      <c r="Q63" s="257"/>
      <c r="R63" s="257"/>
      <c r="S63" s="257"/>
      <c r="T63" s="257"/>
      <c r="U63" s="257"/>
      <c r="V63" s="257"/>
      <c r="W63" s="257"/>
      <c r="X63" s="257"/>
      <c r="Y63" s="257"/>
      <c r="Z63" s="257"/>
      <c r="AA63" s="257"/>
      <c r="AB63" s="258"/>
      <c r="AC63" s="656"/>
      <c r="AD63" s="656"/>
      <c r="AE63" s="656"/>
      <c r="AF63" s="656"/>
      <c r="AG63" s="656"/>
      <c r="AH63" s="656"/>
      <c r="AI63" s="656"/>
      <c r="AJ63" s="656"/>
      <c r="AK63" s="656"/>
      <c r="AL63" s="656"/>
      <c r="AM63" s="656"/>
      <c r="AN63" s="656"/>
      <c r="AO63" s="656"/>
      <c r="AP63" s="656"/>
      <c r="AQ63" s="656"/>
      <c r="AR63" s="656"/>
      <c r="AS63" s="683"/>
      <c r="AT63" s="683"/>
      <c r="AU63" s="683"/>
      <c r="AV63" s="683"/>
      <c r="AW63" s="683"/>
      <c r="AX63" s="656"/>
      <c r="AY63" s="656"/>
      <c r="AZ63" s="656"/>
      <c r="BA63" s="656"/>
      <c r="BB63" s="657"/>
    </row>
    <row r="64" spans="1:54" ht="5.0999999999999996" hidden="1" customHeight="1" x14ac:dyDescent="0.2">
      <c r="A64" s="666"/>
      <c r="B64" s="667"/>
      <c r="C64" s="667"/>
      <c r="D64" s="667"/>
      <c r="E64" s="667"/>
      <c r="F64" s="667"/>
      <c r="G64" s="667"/>
      <c r="H64" s="19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94" t="e">
        <f>#REF!</f>
        <v>#REF!</v>
      </c>
      <c r="AA64" s="191"/>
      <c r="AB64" s="195"/>
      <c r="AC64" s="477">
        <f>((R65+(R65*U67)+(R65*Q67)+(R65*M67)+(R65*I67))*Z67)*1.15</f>
        <v>0</v>
      </c>
      <c r="AD64" s="477"/>
      <c r="AE64" s="477"/>
      <c r="AF64" s="477"/>
      <c r="AG64" s="477"/>
      <c r="AH64" s="477">
        <v>1</v>
      </c>
      <c r="AI64" s="477"/>
      <c r="AJ64" s="477"/>
      <c r="AK64" s="477"/>
      <c r="AL64" s="477"/>
      <c r="AM64" s="477"/>
      <c r="AN64" s="477">
        <f>AC64/AH64</f>
        <v>0</v>
      </c>
      <c r="AO64" s="477"/>
      <c r="AP64" s="477"/>
      <c r="AQ64" s="477"/>
      <c r="AR64" s="477"/>
      <c r="AS64" s="668">
        <f t="shared" ref="AS64" si="0">U18</f>
        <v>0</v>
      </c>
      <c r="AT64" s="668"/>
      <c r="AU64" s="668"/>
      <c r="AV64" s="668"/>
      <c r="AW64" s="668"/>
      <c r="AX64" s="477">
        <f>AN64*AS64</f>
        <v>0</v>
      </c>
      <c r="AY64" s="477"/>
      <c r="AZ64" s="477"/>
      <c r="BA64" s="477"/>
      <c r="BB64" s="481"/>
    </row>
    <row r="65" spans="1:54" s="165" customFormat="1" ht="11.25" hidden="1" customHeight="1" x14ac:dyDescent="0.2">
      <c r="A65" s="652"/>
      <c r="B65" s="653"/>
      <c r="C65" s="653"/>
      <c r="D65" s="653"/>
      <c r="E65" s="653"/>
      <c r="F65" s="653"/>
      <c r="G65" s="653"/>
      <c r="H65" s="658" t="s">
        <v>26</v>
      </c>
      <c r="I65" s="659"/>
      <c r="J65" s="659"/>
      <c r="K65" s="659"/>
      <c r="L65" s="659"/>
      <c r="M65" s="659"/>
      <c r="N65" s="650">
        <v>0</v>
      </c>
      <c r="O65" s="650"/>
      <c r="P65" s="650"/>
      <c r="Q65" s="191" t="s">
        <v>27</v>
      </c>
      <c r="R65" s="650">
        <f>$AX$20*N65</f>
        <v>0</v>
      </c>
      <c r="S65" s="650"/>
      <c r="T65" s="650"/>
      <c r="U65" s="650"/>
      <c r="V65" s="650"/>
      <c r="W65" s="191" t="s">
        <v>28</v>
      </c>
      <c r="X65" s="191" t="s">
        <v>29</v>
      </c>
      <c r="Y65" s="191"/>
      <c r="Z65" s="191"/>
      <c r="AA65" s="191"/>
      <c r="AB65" s="195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65" customFormat="1" ht="5.0999999999999996" hidden="1" customHeight="1" x14ac:dyDescent="0.2">
      <c r="A66" s="652"/>
      <c r="B66" s="653"/>
      <c r="C66" s="653"/>
      <c r="D66" s="653"/>
      <c r="E66" s="653"/>
      <c r="F66" s="653"/>
      <c r="G66" s="653"/>
      <c r="H66" s="196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91"/>
      <c r="AA66" s="191"/>
      <c r="AB66" s="195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65" customFormat="1" ht="11.25" hidden="1" customHeight="1" x14ac:dyDescent="0.2">
      <c r="A67" s="652"/>
      <c r="B67" s="653"/>
      <c r="C67" s="653"/>
      <c r="D67" s="653"/>
      <c r="E67" s="653"/>
      <c r="F67" s="653"/>
      <c r="G67" s="653"/>
      <c r="H67" s="197" t="s">
        <v>30</v>
      </c>
      <c r="I67" s="654">
        <v>0</v>
      </c>
      <c r="J67" s="654"/>
      <c r="K67" s="654"/>
      <c r="L67" s="191" t="s">
        <v>28</v>
      </c>
      <c r="M67" s="654">
        <v>0</v>
      </c>
      <c r="N67" s="654"/>
      <c r="O67" s="654"/>
      <c r="P67" s="191" t="s">
        <v>28</v>
      </c>
      <c r="Q67" s="654"/>
      <c r="R67" s="654"/>
      <c r="S67" s="654"/>
      <c r="T67" s="191" t="s">
        <v>28</v>
      </c>
      <c r="U67" s="654"/>
      <c r="V67" s="654"/>
      <c r="W67" s="654"/>
      <c r="X67" s="191" t="s">
        <v>31</v>
      </c>
      <c r="Y67" s="191" t="s">
        <v>28</v>
      </c>
      <c r="Z67" s="650">
        <v>2.6</v>
      </c>
      <c r="AA67" s="650"/>
      <c r="AB67" s="651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65" customFormat="1" ht="5.0999999999999996" hidden="1" customHeight="1" thickBot="1" x14ac:dyDescent="0.25">
      <c r="A68" s="652"/>
      <c r="B68" s="653"/>
      <c r="C68" s="653"/>
      <c r="D68" s="653"/>
      <c r="E68" s="653"/>
      <c r="F68" s="653"/>
      <c r="G68" s="653"/>
      <c r="H68" s="198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200"/>
      <c r="AA68" s="200"/>
      <c r="AB68" s="201"/>
      <c r="AC68" s="529"/>
      <c r="AD68" s="529"/>
      <c r="AE68" s="529"/>
      <c r="AF68" s="529"/>
      <c r="AG68" s="529"/>
      <c r="AH68" s="529"/>
      <c r="AI68" s="529"/>
      <c r="AJ68" s="529"/>
      <c r="AK68" s="529"/>
      <c r="AL68" s="529"/>
      <c r="AM68" s="529"/>
      <c r="AN68" s="529"/>
      <c r="AO68" s="529"/>
      <c r="AP68" s="529"/>
      <c r="AQ68" s="529"/>
      <c r="AR68" s="529"/>
      <c r="AS68" s="664"/>
      <c r="AT68" s="664"/>
      <c r="AU68" s="664"/>
      <c r="AV68" s="664"/>
      <c r="AW68" s="664"/>
      <c r="AX68" s="529"/>
      <c r="AY68" s="529"/>
      <c r="AZ68" s="529"/>
      <c r="BA68" s="529"/>
      <c r="BB68" s="665"/>
    </row>
    <row r="69" spans="1:54" s="165" customFormat="1" ht="5.0999999999999996" hidden="1" customHeight="1" x14ac:dyDescent="0.2">
      <c r="A69" s="652"/>
      <c r="B69" s="653"/>
      <c r="C69" s="653"/>
      <c r="D69" s="653"/>
      <c r="E69" s="653"/>
      <c r="F69" s="653"/>
      <c r="G69" s="653"/>
      <c r="H69" s="19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94" t="e">
        <f>#REF!</f>
        <v>#REF!</v>
      </c>
      <c r="AA69" s="191"/>
      <c r="AB69" s="195"/>
      <c r="AC69" s="507">
        <f>((R70+(R70*U72)+(R70*Q72)+(R70*M72)+(R70*I72))*Z72)*1.15</f>
        <v>0</v>
      </c>
      <c r="AD69" s="507"/>
      <c r="AE69" s="507"/>
      <c r="AF69" s="507"/>
      <c r="AG69" s="507"/>
      <c r="AH69" s="529">
        <v>1</v>
      </c>
      <c r="AI69" s="529"/>
      <c r="AJ69" s="529"/>
      <c r="AK69" s="529"/>
      <c r="AL69" s="529"/>
      <c r="AM69" s="529"/>
      <c r="AN69" s="529">
        <f>AC69/AH69</f>
        <v>0</v>
      </c>
      <c r="AO69" s="529"/>
      <c r="AP69" s="529"/>
      <c r="AQ69" s="529"/>
      <c r="AR69" s="529"/>
      <c r="AS69" s="663">
        <f t="shared" ref="AS69" si="1">U23</f>
        <v>0</v>
      </c>
      <c r="AT69" s="663"/>
      <c r="AU69" s="663"/>
      <c r="AV69" s="663"/>
      <c r="AW69" s="663"/>
      <c r="AX69" s="529">
        <f>AN69*AS69</f>
        <v>0</v>
      </c>
      <c r="AY69" s="529"/>
      <c r="AZ69" s="529"/>
      <c r="BA69" s="529"/>
      <c r="BB69" s="665"/>
    </row>
    <row r="70" spans="1:54" s="165" customFormat="1" ht="11.25" hidden="1" customHeight="1" x14ac:dyDescent="0.2">
      <c r="A70" s="652"/>
      <c r="B70" s="653"/>
      <c r="C70" s="653"/>
      <c r="D70" s="653"/>
      <c r="E70" s="653"/>
      <c r="F70" s="653"/>
      <c r="G70" s="653"/>
      <c r="H70" s="658" t="s">
        <v>26</v>
      </c>
      <c r="I70" s="659"/>
      <c r="J70" s="659"/>
      <c r="K70" s="659"/>
      <c r="L70" s="659"/>
      <c r="M70" s="659"/>
      <c r="N70" s="650">
        <v>0</v>
      </c>
      <c r="O70" s="650"/>
      <c r="P70" s="650"/>
      <c r="Q70" s="191" t="s">
        <v>27</v>
      </c>
      <c r="R70" s="650">
        <f>$AX$20*N70</f>
        <v>0</v>
      </c>
      <c r="S70" s="650"/>
      <c r="T70" s="650"/>
      <c r="U70" s="650"/>
      <c r="V70" s="650"/>
      <c r="W70" s="191" t="s">
        <v>28</v>
      </c>
      <c r="X70" s="191" t="s">
        <v>29</v>
      </c>
      <c r="Y70" s="191"/>
      <c r="Z70" s="191"/>
      <c r="AA70" s="191"/>
      <c r="AB70" s="195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ht="5.0999999999999996" hidden="1" customHeight="1" x14ac:dyDescent="0.2">
      <c r="A71" s="652"/>
      <c r="B71" s="653"/>
      <c r="C71" s="653"/>
      <c r="D71" s="653"/>
      <c r="E71" s="653"/>
      <c r="F71" s="653"/>
      <c r="G71" s="653"/>
      <c r="H71" s="196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91"/>
      <c r="AA71" s="191"/>
      <c r="AB71" s="195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65" customFormat="1" ht="11.25" hidden="1" customHeight="1" x14ac:dyDescent="0.2">
      <c r="A72" s="652"/>
      <c r="B72" s="653"/>
      <c r="C72" s="653"/>
      <c r="D72" s="653"/>
      <c r="E72" s="653"/>
      <c r="F72" s="653"/>
      <c r="G72" s="653"/>
      <c r="H72" s="197" t="s">
        <v>30</v>
      </c>
      <c r="I72" s="654">
        <v>0</v>
      </c>
      <c r="J72" s="654"/>
      <c r="K72" s="654"/>
      <c r="L72" s="191" t="s">
        <v>28</v>
      </c>
      <c r="M72" s="654">
        <v>0</v>
      </c>
      <c r="N72" s="654"/>
      <c r="O72" s="654"/>
      <c r="P72" s="191" t="s">
        <v>28</v>
      </c>
      <c r="Q72" s="654"/>
      <c r="R72" s="654"/>
      <c r="S72" s="654"/>
      <c r="T72" s="191" t="s">
        <v>28</v>
      </c>
      <c r="U72" s="654"/>
      <c r="V72" s="654"/>
      <c r="W72" s="654"/>
      <c r="X72" s="191" t="s">
        <v>31</v>
      </c>
      <c r="Y72" s="191" t="s">
        <v>28</v>
      </c>
      <c r="Z72" s="650">
        <v>2.6</v>
      </c>
      <c r="AA72" s="650"/>
      <c r="AB72" s="651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65" customFormat="1" ht="11.25" hidden="1" customHeight="1" thickBot="1" x14ac:dyDescent="0.25">
      <c r="A73" s="652"/>
      <c r="B73" s="653"/>
      <c r="C73" s="653"/>
      <c r="D73" s="653"/>
      <c r="E73" s="653"/>
      <c r="F73" s="653"/>
      <c r="G73" s="653"/>
      <c r="H73" s="198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200"/>
      <c r="AA73" s="200"/>
      <c r="AB73" s="201"/>
      <c r="AC73" s="529"/>
      <c r="AD73" s="529"/>
      <c r="AE73" s="529"/>
      <c r="AF73" s="529"/>
      <c r="AG73" s="529"/>
      <c r="AH73" s="529"/>
      <c r="AI73" s="529"/>
      <c r="AJ73" s="529"/>
      <c r="AK73" s="529"/>
      <c r="AL73" s="529"/>
      <c r="AM73" s="529"/>
      <c r="AN73" s="529"/>
      <c r="AO73" s="529"/>
      <c r="AP73" s="529"/>
      <c r="AQ73" s="529"/>
      <c r="AR73" s="529"/>
      <c r="AS73" s="664"/>
      <c r="AT73" s="664"/>
      <c r="AU73" s="664"/>
      <c r="AV73" s="664"/>
      <c r="AW73" s="664"/>
      <c r="AX73" s="529"/>
      <c r="AY73" s="529"/>
      <c r="AZ73" s="529"/>
      <c r="BA73" s="529"/>
      <c r="BB73" s="665"/>
    </row>
    <row r="74" spans="1:54" s="165" customFormat="1" ht="15" hidden="1" customHeight="1" x14ac:dyDescent="0.2">
      <c r="A74" s="660" t="s">
        <v>84</v>
      </c>
      <c r="B74" s="661"/>
      <c r="C74" s="661"/>
      <c r="D74" s="661"/>
      <c r="E74" s="661"/>
      <c r="F74" s="661"/>
      <c r="G74" s="661"/>
      <c r="H74" s="193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94" t="e">
        <f>#REF!</f>
        <v>#REF!</v>
      </c>
      <c r="AA74" s="191"/>
      <c r="AB74" s="195"/>
      <c r="AC74" s="507">
        <f>((R75+(R75*U77)+(R75*Q77)+(R75*M77)+(R75*I77))*Z77)</f>
        <v>0</v>
      </c>
      <c r="AD74" s="507"/>
      <c r="AE74" s="507"/>
      <c r="AF74" s="507"/>
      <c r="AG74" s="507"/>
      <c r="AH74" s="529">
        <v>75</v>
      </c>
      <c r="AI74" s="529"/>
      <c r="AJ74" s="529"/>
      <c r="AK74" s="529"/>
      <c r="AL74" s="529"/>
      <c r="AM74" s="529"/>
      <c r="AN74" s="529">
        <f>AC74/AH74</f>
        <v>0</v>
      </c>
      <c r="AO74" s="529"/>
      <c r="AP74" s="529"/>
      <c r="AQ74" s="529"/>
      <c r="AR74" s="529"/>
      <c r="AS74" s="663">
        <f t="shared" ref="AS74" si="2">U28</f>
        <v>0</v>
      </c>
      <c r="AT74" s="663"/>
      <c r="AU74" s="663"/>
      <c r="AV74" s="663"/>
      <c r="AW74" s="663"/>
      <c r="AX74" s="529">
        <f>AN74*AS74</f>
        <v>0</v>
      </c>
      <c r="AY74" s="529"/>
      <c r="AZ74" s="529"/>
      <c r="BA74" s="529"/>
      <c r="BB74" s="665"/>
    </row>
    <row r="75" spans="1:54" s="165" customFormat="1" ht="21" hidden="1" customHeight="1" thickBot="1" x14ac:dyDescent="0.25">
      <c r="A75" s="652"/>
      <c r="B75" s="653"/>
      <c r="C75" s="653"/>
      <c r="D75" s="653"/>
      <c r="E75" s="653"/>
      <c r="F75" s="653"/>
      <c r="G75" s="653"/>
      <c r="H75" s="658" t="s">
        <v>26</v>
      </c>
      <c r="I75" s="659"/>
      <c r="J75" s="659"/>
      <c r="K75" s="659"/>
      <c r="L75" s="659"/>
      <c r="M75" s="659"/>
      <c r="N75" s="650">
        <v>0</v>
      </c>
      <c r="O75" s="650"/>
      <c r="P75" s="650"/>
      <c r="Q75" s="191" t="s">
        <v>27</v>
      </c>
      <c r="R75" s="650">
        <f>$AX$20*N75</f>
        <v>0</v>
      </c>
      <c r="S75" s="650"/>
      <c r="T75" s="650"/>
      <c r="U75" s="650"/>
      <c r="V75" s="650"/>
      <c r="W75" s="191" t="s">
        <v>28</v>
      </c>
      <c r="X75" s="191" t="s">
        <v>29</v>
      </c>
      <c r="Y75" s="191"/>
      <c r="Z75" s="191"/>
      <c r="AA75" s="191"/>
      <c r="AB75" s="195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29"/>
      <c r="AS75" s="664"/>
      <c r="AT75" s="664"/>
      <c r="AU75" s="664"/>
      <c r="AV75" s="664"/>
      <c r="AW75" s="664"/>
      <c r="AX75" s="529"/>
      <c r="AY75" s="529"/>
      <c r="AZ75" s="529"/>
      <c r="BA75" s="529"/>
      <c r="BB75" s="665"/>
    </row>
    <row r="76" spans="1:54" s="165" customFormat="1" ht="12" hidden="1" customHeight="1" thickBot="1" x14ac:dyDescent="0.25">
      <c r="A76" s="652"/>
      <c r="B76" s="653"/>
      <c r="C76" s="653"/>
      <c r="D76" s="653"/>
      <c r="E76" s="653"/>
      <c r="F76" s="653"/>
      <c r="G76" s="653"/>
      <c r="H76" s="196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91"/>
      <c r="AA76" s="191"/>
      <c r="AB76" s="195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29"/>
      <c r="AS76" s="664"/>
      <c r="AT76" s="664"/>
      <c r="AU76" s="664"/>
      <c r="AV76" s="664"/>
      <c r="AW76" s="664"/>
      <c r="AX76" s="529"/>
      <c r="AY76" s="529"/>
      <c r="AZ76" s="529"/>
      <c r="BA76" s="529"/>
      <c r="BB76" s="665"/>
    </row>
    <row r="77" spans="1:54" s="165" customFormat="1" ht="15.75" hidden="1" customHeight="1" thickBot="1" x14ac:dyDescent="0.25">
      <c r="A77" s="652"/>
      <c r="B77" s="653"/>
      <c r="C77" s="653"/>
      <c r="D77" s="653"/>
      <c r="E77" s="653"/>
      <c r="F77" s="653"/>
      <c r="G77" s="653"/>
      <c r="H77" s="197" t="s">
        <v>30</v>
      </c>
      <c r="I77" s="654">
        <v>0.2</v>
      </c>
      <c r="J77" s="654"/>
      <c r="K77" s="654"/>
      <c r="L77" s="191" t="s">
        <v>28</v>
      </c>
      <c r="M77" s="654">
        <v>0.15</v>
      </c>
      <c r="N77" s="654"/>
      <c r="O77" s="654"/>
      <c r="P77" s="191" t="s">
        <v>28</v>
      </c>
      <c r="Q77" s="654">
        <v>0.5</v>
      </c>
      <c r="R77" s="654"/>
      <c r="S77" s="654"/>
      <c r="T77" s="191" t="s">
        <v>28</v>
      </c>
      <c r="U77" s="654">
        <v>0</v>
      </c>
      <c r="V77" s="654"/>
      <c r="W77" s="654"/>
      <c r="X77" s="191" t="s">
        <v>31</v>
      </c>
      <c r="Y77" s="191" t="s">
        <v>28</v>
      </c>
      <c r="Z77" s="650">
        <v>2.6</v>
      </c>
      <c r="AA77" s="650"/>
      <c r="AB77" s="651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29"/>
      <c r="AS77" s="664"/>
      <c r="AT77" s="664"/>
      <c r="AU77" s="664"/>
      <c r="AV77" s="664"/>
      <c r="AW77" s="664"/>
      <c r="AX77" s="529"/>
      <c r="AY77" s="529"/>
      <c r="AZ77" s="529"/>
      <c r="BA77" s="529"/>
      <c r="BB77" s="665"/>
    </row>
    <row r="78" spans="1:54" ht="13.5" hidden="1" customHeight="1" thickBot="1" x14ac:dyDescent="0.25">
      <c r="A78" s="652"/>
      <c r="B78" s="653"/>
      <c r="C78" s="653"/>
      <c r="D78" s="653"/>
      <c r="E78" s="653"/>
      <c r="F78" s="653"/>
      <c r="G78" s="653"/>
      <c r="H78" s="198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200"/>
      <c r="AA78" s="200"/>
      <c r="AB78" s="201"/>
      <c r="AC78" s="529"/>
      <c r="AD78" s="529"/>
      <c r="AE78" s="529"/>
      <c r="AF78" s="529"/>
      <c r="AG78" s="529"/>
      <c r="AH78" s="529"/>
      <c r="AI78" s="529"/>
      <c r="AJ78" s="529"/>
      <c r="AK78" s="529"/>
      <c r="AL78" s="529"/>
      <c r="AM78" s="529"/>
      <c r="AN78" s="529"/>
      <c r="AO78" s="529"/>
      <c r="AP78" s="529"/>
      <c r="AQ78" s="529"/>
      <c r="AR78" s="529"/>
      <c r="AS78" s="664"/>
      <c r="AT78" s="664"/>
      <c r="AU78" s="664"/>
      <c r="AV78" s="664"/>
      <c r="AW78" s="664"/>
      <c r="AX78" s="529"/>
      <c r="AY78" s="529"/>
      <c r="AZ78" s="529"/>
      <c r="BA78" s="529"/>
      <c r="BB78" s="665"/>
    </row>
    <row r="79" spans="1:54" s="165" customFormat="1" ht="8.25" hidden="1" customHeight="1" x14ac:dyDescent="0.2">
      <c r="A79" s="660" t="s">
        <v>86</v>
      </c>
      <c r="B79" s="661"/>
      <c r="C79" s="661"/>
      <c r="D79" s="661"/>
      <c r="E79" s="661"/>
      <c r="F79" s="661"/>
      <c r="G79" s="661"/>
      <c r="H79" s="19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94" t="e">
        <f>#REF!</f>
        <v>#REF!</v>
      </c>
      <c r="AA79" s="191"/>
      <c r="AB79" s="195"/>
      <c r="AC79" s="662">
        <f>((R80+(R80*U82)+(R80*Q82)+(R80*M82)+(R80*I82))*Z82)*1.15</f>
        <v>0</v>
      </c>
      <c r="AD79" s="662"/>
      <c r="AE79" s="662"/>
      <c r="AF79" s="662"/>
      <c r="AG79" s="662"/>
      <c r="AH79" s="601">
        <v>144</v>
      </c>
      <c r="AI79" s="601"/>
      <c r="AJ79" s="601"/>
      <c r="AK79" s="601"/>
      <c r="AL79" s="601"/>
      <c r="AM79" s="601"/>
      <c r="AN79" s="601">
        <f>AC79/AH79</f>
        <v>0</v>
      </c>
      <c r="AO79" s="601"/>
      <c r="AP79" s="601"/>
      <c r="AQ79" s="601"/>
      <c r="AR79" s="601"/>
      <c r="AS79" s="663">
        <v>72</v>
      </c>
      <c r="AT79" s="663"/>
      <c r="AU79" s="663"/>
      <c r="AV79" s="663"/>
      <c r="AW79" s="663"/>
      <c r="AX79" s="601">
        <f>AN79*AS79</f>
        <v>0</v>
      </c>
      <c r="AY79" s="601"/>
      <c r="AZ79" s="601"/>
      <c r="BA79" s="601"/>
      <c r="BB79" s="655"/>
    </row>
    <row r="80" spans="1:54" s="165" customFormat="1" ht="27" hidden="1" customHeight="1" thickBot="1" x14ac:dyDescent="0.25">
      <c r="A80" s="652"/>
      <c r="B80" s="653"/>
      <c r="C80" s="653"/>
      <c r="D80" s="653"/>
      <c r="E80" s="653"/>
      <c r="F80" s="653"/>
      <c r="G80" s="653"/>
      <c r="H80" s="658" t="s">
        <v>26</v>
      </c>
      <c r="I80" s="659"/>
      <c r="J80" s="659"/>
      <c r="K80" s="659"/>
      <c r="L80" s="659"/>
      <c r="M80" s="659"/>
      <c r="N80" s="650">
        <v>0</v>
      </c>
      <c r="O80" s="650"/>
      <c r="P80" s="650"/>
      <c r="Q80" s="191" t="s">
        <v>27</v>
      </c>
      <c r="R80" s="650">
        <f>$AX$20*N80</f>
        <v>0</v>
      </c>
      <c r="S80" s="650"/>
      <c r="T80" s="650"/>
      <c r="U80" s="650"/>
      <c r="V80" s="650"/>
      <c r="W80" s="191" t="s">
        <v>28</v>
      </c>
      <c r="X80" s="191" t="s">
        <v>29</v>
      </c>
      <c r="Y80" s="191"/>
      <c r="Z80" s="191"/>
      <c r="AA80" s="191"/>
      <c r="AB80" s="195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s="165" customFormat="1" ht="6.75" hidden="1" customHeight="1" thickBot="1" x14ac:dyDescent="0.25">
      <c r="A81" s="652"/>
      <c r="B81" s="653"/>
      <c r="C81" s="653"/>
      <c r="D81" s="653"/>
      <c r="E81" s="653"/>
      <c r="F81" s="653"/>
      <c r="G81" s="653"/>
      <c r="H81" s="196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91"/>
      <c r="AA81" s="191"/>
      <c r="AB81" s="195"/>
      <c r="AC81" s="601"/>
      <c r="AD81" s="601"/>
      <c r="AE81" s="601"/>
      <c r="AF81" s="601"/>
      <c r="AG81" s="601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2" hidden="1" customHeight="1" thickBot="1" x14ac:dyDescent="0.25">
      <c r="A82" s="652"/>
      <c r="B82" s="653"/>
      <c r="C82" s="653"/>
      <c r="D82" s="653"/>
      <c r="E82" s="653"/>
      <c r="F82" s="653"/>
      <c r="G82" s="653"/>
      <c r="H82" s="197" t="s">
        <v>30</v>
      </c>
      <c r="I82" s="654">
        <v>0.2</v>
      </c>
      <c r="J82" s="654"/>
      <c r="K82" s="654"/>
      <c r="L82" s="191" t="s">
        <v>28</v>
      </c>
      <c r="M82" s="654">
        <v>0</v>
      </c>
      <c r="N82" s="654"/>
      <c r="O82" s="654"/>
      <c r="P82" s="191" t="s">
        <v>28</v>
      </c>
      <c r="Q82" s="654">
        <v>0</v>
      </c>
      <c r="R82" s="654"/>
      <c r="S82" s="654"/>
      <c r="T82" s="191" t="s">
        <v>28</v>
      </c>
      <c r="U82" s="654">
        <v>0</v>
      </c>
      <c r="V82" s="654"/>
      <c r="W82" s="654"/>
      <c r="X82" s="191" t="s">
        <v>31</v>
      </c>
      <c r="Y82" s="191" t="s">
        <v>28</v>
      </c>
      <c r="Z82" s="650">
        <v>2.6</v>
      </c>
      <c r="AA82" s="650"/>
      <c r="AB82" s="651"/>
      <c r="AC82" s="601"/>
      <c r="AD82" s="601"/>
      <c r="AE82" s="601"/>
      <c r="AF82" s="601"/>
      <c r="AG82" s="601"/>
      <c r="AH82" s="601"/>
      <c r="AI82" s="601"/>
      <c r="AJ82" s="601"/>
      <c r="AK82" s="601"/>
      <c r="AL82" s="601"/>
      <c r="AM82" s="601"/>
      <c r="AN82" s="601"/>
      <c r="AO82" s="601"/>
      <c r="AP82" s="601"/>
      <c r="AQ82" s="601"/>
      <c r="AR82" s="601"/>
      <c r="AS82" s="664"/>
      <c r="AT82" s="664"/>
      <c r="AU82" s="664"/>
      <c r="AV82" s="664"/>
      <c r="AW82" s="664"/>
      <c r="AX82" s="601"/>
      <c r="AY82" s="601"/>
      <c r="AZ82" s="601"/>
      <c r="BA82" s="601"/>
      <c r="BB82" s="655"/>
    </row>
    <row r="83" spans="1:54" ht="13.5" hidden="1" customHeight="1" thickBot="1" x14ac:dyDescent="0.25">
      <c r="A83" s="652"/>
      <c r="B83" s="653"/>
      <c r="C83" s="653"/>
      <c r="D83" s="653"/>
      <c r="E83" s="653"/>
      <c r="F83" s="653"/>
      <c r="G83" s="653"/>
      <c r="H83" s="202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4"/>
      <c r="AA83" s="204"/>
      <c r="AB83" s="205"/>
      <c r="AC83" s="601"/>
      <c r="AD83" s="601"/>
      <c r="AE83" s="601"/>
      <c r="AF83" s="601"/>
      <c r="AG83" s="601"/>
      <c r="AH83" s="656"/>
      <c r="AI83" s="656"/>
      <c r="AJ83" s="656"/>
      <c r="AK83" s="656"/>
      <c r="AL83" s="656"/>
      <c r="AM83" s="656"/>
      <c r="AN83" s="656"/>
      <c r="AO83" s="656"/>
      <c r="AP83" s="656"/>
      <c r="AQ83" s="656"/>
      <c r="AR83" s="656"/>
      <c r="AS83" s="664"/>
      <c r="AT83" s="664"/>
      <c r="AU83" s="664"/>
      <c r="AV83" s="664"/>
      <c r="AW83" s="664"/>
      <c r="AX83" s="656"/>
      <c r="AY83" s="656"/>
      <c r="AZ83" s="656"/>
      <c r="BA83" s="656"/>
      <c r="BB83" s="657"/>
    </row>
    <row r="84" spans="1:54" ht="11.25" customHeight="1" x14ac:dyDescent="0.2">
      <c r="R84" s="169" t="s">
        <v>18</v>
      </c>
      <c r="S84" s="170"/>
      <c r="T84" s="170"/>
      <c r="U84" s="171"/>
      <c r="V84" s="171"/>
      <c r="W84" s="171"/>
      <c r="X84" s="171"/>
      <c r="Y84" s="171"/>
      <c r="Z84" s="171"/>
      <c r="AA84" s="171"/>
      <c r="AB84" s="171"/>
      <c r="AC84" s="171"/>
      <c r="AD84" s="171" t="s">
        <v>19</v>
      </c>
      <c r="AE84" s="171" t="s">
        <v>20</v>
      </c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2"/>
      <c r="AS84" s="453">
        <f>AX84/U13</f>
        <v>281.66666666666669</v>
      </c>
      <c r="AT84" s="453"/>
      <c r="AU84" s="453"/>
      <c r="AV84" s="453"/>
      <c r="AW84" s="453"/>
      <c r="AX84" s="453">
        <f>SUM(AX59:BB83)</f>
        <v>7886.666666666667</v>
      </c>
      <c r="AY84" s="453"/>
      <c r="AZ84" s="453"/>
      <c r="BA84" s="453"/>
      <c r="BB84" s="454"/>
    </row>
    <row r="85" spans="1:54" ht="11.25" customHeight="1" thickBot="1" x14ac:dyDescent="0.25">
      <c r="R85" s="175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 t="s">
        <v>19</v>
      </c>
      <c r="AE85" s="176" t="s">
        <v>21</v>
      </c>
      <c r="AF85" s="176"/>
      <c r="AG85" s="176"/>
      <c r="AH85" s="176"/>
      <c r="AI85" s="176"/>
      <c r="AJ85" s="176"/>
      <c r="AK85" s="176"/>
      <c r="AL85" s="176"/>
      <c r="AM85" s="176"/>
      <c r="AN85" s="176"/>
      <c r="AO85" s="630">
        <v>0.30199999999999999</v>
      </c>
      <c r="AP85" s="631"/>
      <c r="AQ85" s="631"/>
      <c r="AR85" s="632"/>
      <c r="AS85" s="463">
        <f>AX85/U13</f>
        <v>85.063333333333347</v>
      </c>
      <c r="AT85" s="463"/>
      <c r="AU85" s="463"/>
      <c r="AV85" s="463"/>
      <c r="AW85" s="463"/>
      <c r="AX85" s="463">
        <f>AX84*AO85</f>
        <v>2381.7733333333335</v>
      </c>
      <c r="AY85" s="463"/>
      <c r="AZ85" s="463"/>
      <c r="BA85" s="463"/>
      <c r="BB85" s="633"/>
    </row>
    <row r="86" spans="1:54" ht="11.25" customHeight="1" thickBot="1" x14ac:dyDescent="0.25">
      <c r="M86" s="164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206"/>
      <c r="AP86" s="179"/>
      <c r="AQ86" s="179"/>
      <c r="AR86" s="179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</row>
    <row r="87" spans="1:54" ht="12" customHeight="1" x14ac:dyDescent="0.2">
      <c r="A87" s="634" t="s">
        <v>32</v>
      </c>
      <c r="B87" s="634"/>
      <c r="C87" s="634"/>
      <c r="D87" s="634"/>
      <c r="E87" s="634"/>
      <c r="F87" s="634"/>
      <c r="G87" s="634"/>
      <c r="H87" s="634"/>
      <c r="I87" s="634"/>
      <c r="J87" s="634"/>
      <c r="K87" s="634"/>
      <c r="L87" s="634"/>
      <c r="M87" s="634"/>
      <c r="N87" s="634"/>
      <c r="O87" s="635" t="s">
        <v>33</v>
      </c>
      <c r="P87" s="636"/>
      <c r="Q87" s="636"/>
      <c r="R87" s="636"/>
      <c r="S87" s="636"/>
      <c r="T87" s="636"/>
      <c r="U87" s="636"/>
      <c r="V87" s="636"/>
      <c r="W87" s="636"/>
      <c r="X87" s="636"/>
      <c r="Y87" s="636"/>
      <c r="Z87" s="636"/>
      <c r="AA87" s="636"/>
      <c r="AB87" s="636"/>
      <c r="AC87" s="636"/>
      <c r="AD87" s="636"/>
      <c r="AE87" s="636"/>
      <c r="AF87" s="636"/>
      <c r="AG87" s="636"/>
      <c r="AH87" s="636"/>
      <c r="AI87" s="636"/>
      <c r="AJ87" s="636"/>
      <c r="AK87" s="636"/>
      <c r="AL87" s="636"/>
      <c r="AM87" s="636"/>
      <c r="AN87" s="636"/>
      <c r="AO87" s="637">
        <f>AS35+AS52+AS84</f>
        <v>394.33333333333337</v>
      </c>
      <c r="AP87" s="637"/>
      <c r="AQ87" s="637"/>
      <c r="AR87" s="637"/>
      <c r="AS87" s="637"/>
      <c r="AT87" s="637"/>
      <c r="AU87" s="637"/>
      <c r="AV87" s="637">
        <f>AX35+AX52+AX84</f>
        <v>11041.333333333334</v>
      </c>
      <c r="AW87" s="637"/>
      <c r="AX87" s="637"/>
      <c r="AY87" s="637"/>
      <c r="AZ87" s="637"/>
      <c r="BA87" s="637"/>
      <c r="BB87" s="638"/>
    </row>
    <row r="88" spans="1:54" ht="12" customHeight="1" thickBot="1" x14ac:dyDescent="0.25">
      <c r="M88" s="163"/>
      <c r="O88" s="643" t="s">
        <v>34</v>
      </c>
      <c r="P88" s="644"/>
      <c r="Q88" s="644"/>
      <c r="R88" s="644"/>
      <c r="S88" s="644"/>
      <c r="T88" s="644"/>
      <c r="U88" s="644"/>
      <c r="V88" s="644"/>
      <c r="W88" s="644"/>
      <c r="X88" s="644"/>
      <c r="Y88" s="644"/>
      <c r="Z88" s="644"/>
      <c r="AA88" s="644"/>
      <c r="AB88" s="644"/>
      <c r="AC88" s="644"/>
      <c r="AD88" s="644"/>
      <c r="AE88" s="644"/>
      <c r="AF88" s="644"/>
      <c r="AG88" s="644"/>
      <c r="AH88" s="644"/>
      <c r="AI88" s="644"/>
      <c r="AJ88" s="644"/>
      <c r="AK88" s="644"/>
      <c r="AL88" s="644"/>
      <c r="AM88" s="644"/>
      <c r="AN88" s="644"/>
      <c r="AO88" s="645">
        <f>AS36+AS53+AS85</f>
        <v>119.08866666666668</v>
      </c>
      <c r="AP88" s="645"/>
      <c r="AQ88" s="645"/>
      <c r="AR88" s="645"/>
      <c r="AS88" s="645"/>
      <c r="AT88" s="645"/>
      <c r="AU88" s="645"/>
      <c r="AV88" s="645">
        <f>AX36+AX53+AX85</f>
        <v>3334.4826666666668</v>
      </c>
      <c r="AW88" s="645"/>
      <c r="AX88" s="645"/>
      <c r="AY88" s="645"/>
      <c r="AZ88" s="645"/>
      <c r="BA88" s="645"/>
      <c r="BB88" s="646"/>
    </row>
    <row r="89" spans="1:54" ht="12" customHeight="1" thickBot="1" x14ac:dyDescent="0.25">
      <c r="M89" s="208" t="s">
        <v>35</v>
      </c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  <c r="AJ89" s="209"/>
      <c r="AK89" s="209"/>
      <c r="AL89" s="209"/>
      <c r="AM89" s="209"/>
      <c r="AN89" s="210"/>
      <c r="AO89" s="647">
        <f>AO88+AO87</f>
        <v>513.42200000000003</v>
      </c>
      <c r="AP89" s="648"/>
      <c r="AQ89" s="648"/>
      <c r="AR89" s="648"/>
      <c r="AS89" s="648"/>
      <c r="AT89" s="648"/>
      <c r="AU89" s="648"/>
      <c r="AV89" s="648">
        <f>AV87+AV88</f>
        <v>14375.816000000001</v>
      </c>
      <c r="AW89" s="648"/>
      <c r="AX89" s="648"/>
      <c r="AY89" s="648"/>
      <c r="AZ89" s="648"/>
      <c r="BA89" s="648"/>
      <c r="BB89" s="649"/>
    </row>
    <row r="90" spans="1:54" ht="10.5" customHeight="1" x14ac:dyDescent="0.2"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  <c r="AA90" s="211"/>
      <c r="AB90" s="211"/>
      <c r="AC90" s="211"/>
      <c r="AD90" s="211"/>
      <c r="AE90" s="211"/>
      <c r="AF90" s="211"/>
      <c r="AG90" s="211"/>
      <c r="AH90" s="211"/>
      <c r="AI90" s="211"/>
      <c r="AJ90" s="211"/>
      <c r="AK90" s="211"/>
      <c r="AL90" s="211"/>
      <c r="AM90" s="211"/>
      <c r="AN90" s="211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</row>
    <row r="91" spans="1:54" s="159" customFormat="1" ht="15" customHeight="1" x14ac:dyDescent="0.2">
      <c r="A91" s="159" t="s">
        <v>36</v>
      </c>
      <c r="C91" s="159" t="s">
        <v>37</v>
      </c>
      <c r="AX91" s="160"/>
      <c r="AY91" s="160"/>
      <c r="AZ91" s="160"/>
      <c r="BA91" s="160"/>
      <c r="BB91" s="160"/>
    </row>
    <row r="92" spans="1:54" ht="12" customHeight="1" thickBot="1" x14ac:dyDescent="0.25"/>
    <row r="93" spans="1:54" s="163" customFormat="1" ht="39" customHeight="1" x14ac:dyDescent="0.2">
      <c r="A93" s="499" t="s">
        <v>38</v>
      </c>
      <c r="B93" s="500"/>
      <c r="C93" s="500"/>
      <c r="D93" s="500"/>
      <c r="E93" s="500"/>
      <c r="F93" s="500"/>
      <c r="G93" s="500"/>
      <c r="H93" s="500"/>
      <c r="I93" s="500"/>
      <c r="J93" s="500"/>
      <c r="K93" s="500"/>
      <c r="L93" s="500"/>
      <c r="M93" s="500"/>
      <c r="N93" s="500"/>
      <c r="O93" s="500"/>
      <c r="P93" s="500"/>
      <c r="Q93" s="535" t="s">
        <v>39</v>
      </c>
      <c r="R93" s="535"/>
      <c r="S93" s="535"/>
      <c r="T93" s="535"/>
      <c r="U93" s="535"/>
      <c r="V93" s="535"/>
      <c r="W93" s="535"/>
      <c r="X93" s="535" t="s">
        <v>40</v>
      </c>
      <c r="Y93" s="535"/>
      <c r="Z93" s="535"/>
      <c r="AA93" s="535"/>
      <c r="AB93" s="535"/>
      <c r="AC93" s="535"/>
      <c r="AD93" s="535"/>
      <c r="AE93" s="535" t="s">
        <v>41</v>
      </c>
      <c r="AF93" s="535"/>
      <c r="AG93" s="535"/>
      <c r="AH93" s="535"/>
      <c r="AI93" s="535"/>
      <c r="AJ93" s="535"/>
      <c r="AK93" s="535"/>
      <c r="AL93" s="535"/>
      <c r="AM93" s="500" t="s">
        <v>42</v>
      </c>
      <c r="AN93" s="500"/>
      <c r="AO93" s="500"/>
      <c r="AP93" s="500"/>
      <c r="AQ93" s="500"/>
      <c r="AR93" s="500"/>
      <c r="AS93" s="500"/>
      <c r="AT93" s="500"/>
      <c r="AU93" s="500"/>
      <c r="AV93" s="500" t="s">
        <v>43</v>
      </c>
      <c r="AW93" s="500"/>
      <c r="AX93" s="500"/>
      <c r="AY93" s="500"/>
      <c r="AZ93" s="500"/>
      <c r="BA93" s="500"/>
      <c r="BB93" s="639"/>
    </row>
    <row r="94" spans="1:54" s="163" customFormat="1" ht="12" customHeight="1" thickBot="1" x14ac:dyDescent="0.25">
      <c r="A94" s="640">
        <v>1</v>
      </c>
      <c r="B94" s="641"/>
      <c r="C94" s="641"/>
      <c r="D94" s="641"/>
      <c r="E94" s="641"/>
      <c r="F94" s="641"/>
      <c r="G94" s="641"/>
      <c r="H94" s="641"/>
      <c r="I94" s="641"/>
      <c r="J94" s="641"/>
      <c r="K94" s="641"/>
      <c r="L94" s="641"/>
      <c r="M94" s="641"/>
      <c r="N94" s="641"/>
      <c r="O94" s="641"/>
      <c r="P94" s="641"/>
      <c r="Q94" s="641">
        <v>2</v>
      </c>
      <c r="R94" s="641"/>
      <c r="S94" s="641"/>
      <c r="T94" s="641"/>
      <c r="U94" s="641"/>
      <c r="V94" s="641"/>
      <c r="W94" s="641"/>
      <c r="X94" s="641">
        <v>3</v>
      </c>
      <c r="Y94" s="641"/>
      <c r="Z94" s="641"/>
      <c r="AA94" s="641"/>
      <c r="AB94" s="641"/>
      <c r="AC94" s="641"/>
      <c r="AD94" s="641"/>
      <c r="AE94" s="641">
        <v>4</v>
      </c>
      <c r="AF94" s="641"/>
      <c r="AG94" s="641"/>
      <c r="AH94" s="641"/>
      <c r="AI94" s="641"/>
      <c r="AJ94" s="641"/>
      <c r="AK94" s="641"/>
      <c r="AL94" s="641"/>
      <c r="AM94" s="641">
        <v>5</v>
      </c>
      <c r="AN94" s="641"/>
      <c r="AO94" s="641"/>
      <c r="AP94" s="641"/>
      <c r="AQ94" s="641"/>
      <c r="AR94" s="641"/>
      <c r="AS94" s="641"/>
      <c r="AT94" s="641"/>
      <c r="AU94" s="641"/>
      <c r="AV94" s="641">
        <v>6</v>
      </c>
      <c r="AW94" s="641"/>
      <c r="AX94" s="641"/>
      <c r="AY94" s="641"/>
      <c r="AZ94" s="641"/>
      <c r="BA94" s="641"/>
      <c r="BB94" s="642"/>
    </row>
    <row r="95" spans="1:54" ht="15" customHeight="1" x14ac:dyDescent="0.2">
      <c r="A95" s="618" t="s">
        <v>44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>
        <v>5014.7</v>
      </c>
      <c r="R95" s="573"/>
      <c r="S95" s="573"/>
      <c r="T95" s="573"/>
      <c r="U95" s="573"/>
      <c r="V95" s="573"/>
      <c r="W95" s="574"/>
      <c r="X95" s="572">
        <v>20.100000000000001</v>
      </c>
      <c r="Y95" s="573"/>
      <c r="Z95" s="573"/>
      <c r="AA95" s="573"/>
      <c r="AB95" s="573"/>
      <c r="AC95" s="573"/>
      <c r="AD95" s="574"/>
      <c r="AE95" s="477">
        <v>1543273.99</v>
      </c>
      <c r="AF95" s="477"/>
      <c r="AG95" s="477"/>
      <c r="AH95" s="477"/>
      <c r="AI95" s="477"/>
      <c r="AJ95" s="477"/>
      <c r="AK95" s="477"/>
      <c r="AL95" s="477"/>
      <c r="AM95" s="620" t="s">
        <v>45</v>
      </c>
      <c r="AN95" s="621"/>
      <c r="AO95" s="621"/>
      <c r="AP95" s="621"/>
      <c r="AQ95" s="621"/>
      <c r="AR95" s="621"/>
      <c r="AS95" s="621"/>
      <c r="AT95" s="621"/>
      <c r="AU95" s="622"/>
      <c r="AV95" s="615">
        <f>AE95/$Q$95*$X$95/($AN$96*$AN$97)</f>
        <v>2.0869687113812518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618" t="s">
        <v>46</v>
      </c>
      <c r="B96" s="619"/>
      <c r="C96" s="619"/>
      <c r="D96" s="619"/>
      <c r="E96" s="619"/>
      <c r="F96" s="619"/>
      <c r="G96" s="619"/>
      <c r="H96" s="619"/>
      <c r="I96" s="619"/>
      <c r="J96" s="619"/>
      <c r="K96" s="619"/>
      <c r="L96" s="619"/>
      <c r="M96" s="619"/>
      <c r="N96" s="619"/>
      <c r="O96" s="619"/>
      <c r="P96" s="619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529">
        <v>2640483.81</v>
      </c>
      <c r="AF96" s="529"/>
      <c r="AG96" s="529"/>
      <c r="AH96" s="529"/>
      <c r="AI96" s="529"/>
      <c r="AJ96" s="529"/>
      <c r="AK96" s="529"/>
      <c r="AL96" s="529"/>
      <c r="AM96" s="213"/>
      <c r="AN96" s="623">
        <v>247</v>
      </c>
      <c r="AO96" s="623"/>
      <c r="AP96" s="623"/>
      <c r="AQ96" s="617" t="s">
        <v>47</v>
      </c>
      <c r="AR96" s="617"/>
      <c r="AS96" s="617"/>
      <c r="AT96" s="617"/>
      <c r="AU96" s="214"/>
      <c r="AV96" s="615">
        <f>AE96/$Q$95*$X$95/($AN$96*$AN$97)</f>
        <v>3.5707250495284764</v>
      </c>
      <c r="AW96" s="615"/>
      <c r="AX96" s="615"/>
      <c r="AY96" s="615"/>
      <c r="AZ96" s="615"/>
      <c r="BA96" s="615"/>
      <c r="BB96" s="616"/>
    </row>
    <row r="97" spans="1:57" ht="15" customHeight="1" x14ac:dyDescent="0.2">
      <c r="A97" s="449" t="s">
        <v>48</v>
      </c>
      <c r="B97" s="450"/>
      <c r="C97" s="450"/>
      <c r="D97" s="450"/>
      <c r="E97" s="450"/>
      <c r="F97" s="450"/>
      <c r="G97" s="450"/>
      <c r="H97" s="450"/>
      <c r="I97" s="450"/>
      <c r="J97" s="450"/>
      <c r="K97" s="450"/>
      <c r="L97" s="450"/>
      <c r="M97" s="450"/>
      <c r="N97" s="450"/>
      <c r="O97" s="450"/>
      <c r="P97" s="451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529">
        <v>4214618.8899999997</v>
      </c>
      <c r="AF97" s="529"/>
      <c r="AG97" s="529"/>
      <c r="AH97" s="529"/>
      <c r="AI97" s="529"/>
      <c r="AJ97" s="529"/>
      <c r="AK97" s="529"/>
      <c r="AL97" s="529"/>
      <c r="AM97" s="213"/>
      <c r="AN97" s="562">
        <v>12</v>
      </c>
      <c r="AO97" s="562"/>
      <c r="AP97" s="562"/>
      <c r="AQ97" s="617" t="s">
        <v>49</v>
      </c>
      <c r="AR97" s="617"/>
      <c r="AS97" s="617"/>
      <c r="AT97" s="617"/>
      <c r="AU97" s="214"/>
      <c r="AV97" s="615">
        <f>AE97/$Q$95*$X$95/($AN$96*$AN$97)</f>
        <v>5.6994271988128187</v>
      </c>
      <c r="AW97" s="615"/>
      <c r="AX97" s="615"/>
      <c r="AY97" s="615"/>
      <c r="AZ97" s="615"/>
      <c r="BA97" s="615"/>
      <c r="BB97" s="616"/>
    </row>
    <row r="98" spans="1:57" ht="15" customHeight="1" thickBot="1" x14ac:dyDescent="0.25">
      <c r="A98" s="624" t="s">
        <v>50</v>
      </c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6"/>
      <c r="Q98" s="572"/>
      <c r="R98" s="573"/>
      <c r="S98" s="573"/>
      <c r="T98" s="573"/>
      <c r="U98" s="573"/>
      <c r="V98" s="573"/>
      <c r="W98" s="574"/>
      <c r="X98" s="572"/>
      <c r="Y98" s="573"/>
      <c r="Z98" s="573"/>
      <c r="AA98" s="573"/>
      <c r="AB98" s="573"/>
      <c r="AC98" s="573"/>
      <c r="AD98" s="574"/>
      <c r="AE98" s="627">
        <v>1852856.09</v>
      </c>
      <c r="AF98" s="627"/>
      <c r="AG98" s="627"/>
      <c r="AH98" s="627"/>
      <c r="AI98" s="627"/>
      <c r="AJ98" s="627"/>
      <c r="AK98" s="627"/>
      <c r="AL98" s="627"/>
      <c r="AM98" s="213"/>
      <c r="AN98" s="186"/>
      <c r="AO98" s="186"/>
      <c r="AP98" s="186"/>
      <c r="AQ98" s="186"/>
      <c r="AR98" s="186"/>
      <c r="AS98" s="186"/>
      <c r="AT98" s="186"/>
      <c r="AU98" s="214"/>
      <c r="AV98" s="628">
        <f>AE98/$Q$95*$X$95/($AN$96*$AN$97)</f>
        <v>2.5056164437283135</v>
      </c>
      <c r="AW98" s="628"/>
      <c r="AX98" s="628"/>
      <c r="AY98" s="628"/>
      <c r="AZ98" s="628"/>
      <c r="BA98" s="628"/>
      <c r="BB98" s="629"/>
    </row>
    <row r="99" spans="1:57" s="161" customFormat="1" ht="15" customHeight="1" thickBot="1" x14ac:dyDescent="0.25">
      <c r="A99" s="610" t="s">
        <v>51</v>
      </c>
      <c r="B99" s="611"/>
      <c r="C99" s="611"/>
      <c r="D99" s="611"/>
      <c r="E99" s="611"/>
      <c r="F99" s="611"/>
      <c r="G99" s="611"/>
      <c r="H99" s="611"/>
      <c r="I99" s="611"/>
      <c r="J99" s="611"/>
      <c r="K99" s="611"/>
      <c r="L99" s="611"/>
      <c r="M99" s="611"/>
      <c r="N99" s="611"/>
      <c r="O99" s="611"/>
      <c r="P99" s="611"/>
      <c r="Q99" s="531">
        <f>Q95</f>
        <v>5014.7</v>
      </c>
      <c r="R99" s="533"/>
      <c r="S99" s="533"/>
      <c r="T99" s="533"/>
      <c r="U99" s="533"/>
      <c r="V99" s="533"/>
      <c r="W99" s="534"/>
      <c r="X99" s="531">
        <f>X95</f>
        <v>20.100000000000001</v>
      </c>
      <c r="Y99" s="533"/>
      <c r="Z99" s="533"/>
      <c r="AA99" s="533"/>
      <c r="AB99" s="533"/>
      <c r="AC99" s="533"/>
      <c r="AD99" s="534"/>
      <c r="AE99" s="612">
        <f>SUM(AE95:AL98)</f>
        <v>10251232.779999999</v>
      </c>
      <c r="AF99" s="612"/>
      <c r="AG99" s="612"/>
      <c r="AH99" s="612"/>
      <c r="AI99" s="612"/>
      <c r="AJ99" s="612"/>
      <c r="AK99" s="612"/>
      <c r="AL99" s="612"/>
      <c r="AM99" s="531" t="s">
        <v>17</v>
      </c>
      <c r="AN99" s="533"/>
      <c r="AO99" s="533"/>
      <c r="AP99" s="533"/>
      <c r="AQ99" s="533"/>
      <c r="AR99" s="533"/>
      <c r="AS99" s="533"/>
      <c r="AT99" s="533"/>
      <c r="AU99" s="534"/>
      <c r="AV99" s="613">
        <f>SUM(AV95:BB98)</f>
        <v>13.862737403450861</v>
      </c>
      <c r="AW99" s="613"/>
      <c r="AX99" s="613"/>
      <c r="AY99" s="613"/>
      <c r="AZ99" s="613"/>
      <c r="BA99" s="613"/>
      <c r="BB99" s="614"/>
    </row>
    <row r="100" spans="1:57" ht="12" customHeight="1" x14ac:dyDescent="0.2"/>
    <row r="101" spans="1:57" s="159" customFormat="1" ht="15" customHeight="1" x14ac:dyDescent="0.2">
      <c r="A101" s="159" t="s">
        <v>52</v>
      </c>
      <c r="C101" s="159" t="s">
        <v>53</v>
      </c>
      <c r="AX101" s="160"/>
      <c r="AY101" s="160"/>
      <c r="AZ101" s="160"/>
      <c r="BA101" s="160"/>
      <c r="BB101" s="160"/>
    </row>
    <row r="102" spans="1:57" ht="12" customHeight="1" thickBot="1" x14ac:dyDescent="0.25"/>
    <row r="103" spans="1:57" ht="39" customHeight="1" x14ac:dyDescent="0.2">
      <c r="A103" s="585" t="s">
        <v>54</v>
      </c>
      <c r="B103" s="586"/>
      <c r="C103" s="586"/>
      <c r="D103" s="586"/>
      <c r="E103" s="586"/>
      <c r="F103" s="586"/>
      <c r="G103" s="586"/>
      <c r="H103" s="586"/>
      <c r="I103" s="586"/>
      <c r="J103" s="586"/>
      <c r="K103" s="586"/>
      <c r="L103" s="586"/>
      <c r="M103" s="586"/>
      <c r="N103" s="586"/>
      <c r="O103" s="586"/>
      <c r="P103" s="586"/>
      <c r="Q103" s="586"/>
      <c r="R103" s="586"/>
      <c r="S103" s="586"/>
      <c r="T103" s="586"/>
      <c r="U103" s="586"/>
      <c r="V103" s="586"/>
      <c r="W103" s="586"/>
      <c r="X103" s="586"/>
      <c r="Y103" s="586"/>
      <c r="Z103" s="587"/>
      <c r="AA103" s="536" t="s">
        <v>55</v>
      </c>
      <c r="AB103" s="537"/>
      <c r="AC103" s="537"/>
      <c r="AD103" s="537"/>
      <c r="AE103" s="537"/>
      <c r="AF103" s="538"/>
      <c r="AG103" s="536" t="s">
        <v>56</v>
      </c>
      <c r="AH103" s="537"/>
      <c r="AI103" s="537"/>
      <c r="AJ103" s="537"/>
      <c r="AK103" s="537"/>
      <c r="AL103" s="538"/>
      <c r="AM103" s="588" t="s">
        <v>57</v>
      </c>
      <c r="AN103" s="586"/>
      <c r="AO103" s="586"/>
      <c r="AP103" s="586"/>
      <c r="AQ103" s="586"/>
      <c r="AR103" s="586"/>
      <c r="AS103" s="586"/>
      <c r="AT103" s="587"/>
      <c r="AU103" s="588" t="s">
        <v>43</v>
      </c>
      <c r="AV103" s="586"/>
      <c r="AW103" s="586"/>
      <c r="AX103" s="586"/>
      <c r="AY103" s="586"/>
      <c r="AZ103" s="586"/>
      <c r="BA103" s="586"/>
      <c r="BB103" s="589"/>
    </row>
    <row r="104" spans="1:57" ht="15.75" customHeight="1" thickBot="1" x14ac:dyDescent="0.25">
      <c r="A104" s="564">
        <v>1</v>
      </c>
      <c r="B104" s="475"/>
      <c r="C104" s="475"/>
      <c r="D104" s="475"/>
      <c r="E104" s="475"/>
      <c r="F104" s="475"/>
      <c r="G104" s="475"/>
      <c r="H104" s="475"/>
      <c r="I104" s="475"/>
      <c r="J104" s="475"/>
      <c r="K104" s="475"/>
      <c r="L104" s="475"/>
      <c r="M104" s="475"/>
      <c r="N104" s="475"/>
      <c r="O104" s="475"/>
      <c r="P104" s="475"/>
      <c r="Q104" s="475"/>
      <c r="R104" s="475"/>
      <c r="S104" s="475"/>
      <c r="T104" s="475"/>
      <c r="U104" s="475"/>
      <c r="V104" s="475"/>
      <c r="W104" s="475"/>
      <c r="X104" s="475"/>
      <c r="Y104" s="475"/>
      <c r="Z104" s="476"/>
      <c r="AA104" s="474">
        <v>2</v>
      </c>
      <c r="AB104" s="475"/>
      <c r="AC104" s="475"/>
      <c r="AD104" s="475"/>
      <c r="AE104" s="475"/>
      <c r="AF104" s="476"/>
      <c r="AG104" s="474">
        <v>3</v>
      </c>
      <c r="AH104" s="475"/>
      <c r="AI104" s="475"/>
      <c r="AJ104" s="475"/>
      <c r="AK104" s="475"/>
      <c r="AL104" s="476"/>
      <c r="AM104" s="474">
        <v>4</v>
      </c>
      <c r="AN104" s="475"/>
      <c r="AO104" s="475"/>
      <c r="AP104" s="475"/>
      <c r="AQ104" s="475"/>
      <c r="AR104" s="475"/>
      <c r="AS104" s="475"/>
      <c r="AT104" s="476"/>
      <c r="AU104" s="474">
        <v>5</v>
      </c>
      <c r="AV104" s="475"/>
      <c r="AW104" s="475"/>
      <c r="AX104" s="475"/>
      <c r="AY104" s="475"/>
      <c r="AZ104" s="475"/>
      <c r="BA104" s="475"/>
      <c r="BB104" s="565"/>
    </row>
    <row r="105" spans="1:57" ht="1.5" hidden="1" customHeight="1" x14ac:dyDescent="0.2">
      <c r="A105" s="566" t="s">
        <v>77</v>
      </c>
      <c r="B105" s="567"/>
      <c r="C105" s="567"/>
      <c r="D105" s="567"/>
      <c r="E105" s="567"/>
      <c r="F105" s="567"/>
      <c r="G105" s="567"/>
      <c r="H105" s="567"/>
      <c r="I105" s="567"/>
      <c r="J105" s="567"/>
      <c r="K105" s="567"/>
      <c r="L105" s="567"/>
      <c r="M105" s="567"/>
      <c r="N105" s="567"/>
      <c r="O105" s="567"/>
      <c r="P105" s="567"/>
      <c r="Q105" s="567"/>
      <c r="R105" s="567"/>
      <c r="S105" s="567"/>
      <c r="T105" s="567"/>
      <c r="U105" s="567"/>
      <c r="V105" s="567"/>
      <c r="W105" s="567"/>
      <c r="X105" s="567"/>
      <c r="Y105" s="567"/>
      <c r="Z105" s="568"/>
      <c r="AA105" s="604"/>
      <c r="AB105" s="605"/>
      <c r="AC105" s="605"/>
      <c r="AD105" s="605"/>
      <c r="AE105" s="605"/>
      <c r="AF105" s="606"/>
      <c r="AG105" s="569">
        <f>U13</f>
        <v>28</v>
      </c>
      <c r="AH105" s="570"/>
      <c r="AI105" s="570"/>
      <c r="AJ105" s="570"/>
      <c r="AK105" s="570"/>
      <c r="AL105" s="571"/>
      <c r="AM105" s="569" t="s">
        <v>58</v>
      </c>
      <c r="AN105" s="570"/>
      <c r="AO105" s="570"/>
      <c r="AP105" s="570"/>
      <c r="AQ105" s="570"/>
      <c r="AR105" s="570"/>
      <c r="AS105" s="570"/>
      <c r="AT105" s="571"/>
      <c r="AU105" s="607">
        <f>AA105/AG105</f>
        <v>0</v>
      </c>
      <c r="AV105" s="608"/>
      <c r="AW105" s="608"/>
      <c r="AX105" s="608"/>
      <c r="AY105" s="608"/>
      <c r="AZ105" s="608"/>
      <c r="BA105" s="608"/>
      <c r="BB105" s="609"/>
    </row>
    <row r="106" spans="1:57" ht="23.25" customHeight="1" x14ac:dyDescent="0.2">
      <c r="A106" s="449" t="s">
        <v>90</v>
      </c>
      <c r="B106" s="450"/>
      <c r="C106" s="450"/>
      <c r="D106" s="450"/>
      <c r="E106" s="450"/>
      <c r="F106" s="450"/>
      <c r="G106" s="450"/>
      <c r="H106" s="450"/>
      <c r="I106" s="450"/>
      <c r="J106" s="450"/>
      <c r="K106" s="450"/>
      <c r="L106" s="450"/>
      <c r="M106" s="450"/>
      <c r="N106" s="450"/>
      <c r="O106" s="450"/>
      <c r="P106" s="450"/>
      <c r="Q106" s="450"/>
      <c r="R106" s="450"/>
      <c r="S106" s="450"/>
      <c r="T106" s="450"/>
      <c r="U106" s="450"/>
      <c r="V106" s="450"/>
      <c r="W106" s="450"/>
      <c r="X106" s="450"/>
      <c r="Y106" s="450"/>
      <c r="Z106" s="451"/>
      <c r="AA106" s="596">
        <v>300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AA106/AG105</f>
        <v>10.714285714285714</v>
      </c>
      <c r="AV106" s="591"/>
      <c r="AW106" s="591"/>
      <c r="AX106" s="591"/>
      <c r="AY106" s="591"/>
      <c r="AZ106" s="591"/>
      <c r="BA106" s="591"/>
      <c r="BB106" s="592"/>
    </row>
    <row r="107" spans="1:57" ht="20.25" customHeight="1" x14ac:dyDescent="0.2">
      <c r="A107" s="593" t="s">
        <v>95</v>
      </c>
      <c r="B107" s="594"/>
      <c r="C107" s="594"/>
      <c r="D107" s="594"/>
      <c r="E107" s="594"/>
      <c r="F107" s="594"/>
      <c r="G107" s="594"/>
      <c r="H107" s="594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4"/>
      <c r="Z107" s="595"/>
      <c r="AA107" s="596">
        <v>300</v>
      </c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AA107/AG105</f>
        <v>10.714285714285714</v>
      </c>
      <c r="AV107" s="591"/>
      <c r="AW107" s="591"/>
      <c r="AX107" s="591"/>
      <c r="AY107" s="591"/>
      <c r="AZ107" s="591"/>
      <c r="BA107" s="591"/>
      <c r="BB107" s="592"/>
    </row>
    <row r="108" spans="1:57" ht="20.25" customHeight="1" x14ac:dyDescent="0.2">
      <c r="A108" s="593" t="s">
        <v>96</v>
      </c>
      <c r="B108" s="594"/>
      <c r="C108" s="594"/>
      <c r="D108" s="594"/>
      <c r="E108" s="594"/>
      <c r="F108" s="594"/>
      <c r="G108" s="594"/>
      <c r="H108" s="594"/>
      <c r="I108" s="594"/>
      <c r="J108" s="594"/>
      <c r="K108" s="594"/>
      <c r="L108" s="594"/>
      <c r="M108" s="594"/>
      <c r="N108" s="594"/>
      <c r="O108" s="594"/>
      <c r="P108" s="594"/>
      <c r="Q108" s="594"/>
      <c r="R108" s="594"/>
      <c r="S108" s="594"/>
      <c r="T108" s="594"/>
      <c r="U108" s="594"/>
      <c r="V108" s="594"/>
      <c r="W108" s="594"/>
      <c r="X108" s="594"/>
      <c r="Y108" s="594"/>
      <c r="Z108" s="595"/>
      <c r="AA108" s="596">
        <v>34.42</v>
      </c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>
        <f>AA108/AG105</f>
        <v>1.2292857142857143</v>
      </c>
      <c r="AV108" s="591"/>
      <c r="AW108" s="591"/>
      <c r="AX108" s="591"/>
      <c r="AY108" s="591"/>
      <c r="AZ108" s="591"/>
      <c r="BA108" s="591"/>
      <c r="BB108" s="592"/>
      <c r="BE108" s="117">
        <f>AU108*12*4</f>
        <v>59.005714285714291</v>
      </c>
    </row>
    <row r="109" spans="1:57" ht="22.5" customHeight="1" x14ac:dyDescent="0.2">
      <c r="A109" s="593" t="s">
        <v>105</v>
      </c>
      <c r="B109" s="594"/>
      <c r="C109" s="594"/>
      <c r="D109" s="594"/>
      <c r="E109" s="594"/>
      <c r="F109" s="594"/>
      <c r="G109" s="594"/>
      <c r="H109" s="594"/>
      <c r="I109" s="594"/>
      <c r="J109" s="594"/>
      <c r="K109" s="594"/>
      <c r="L109" s="594"/>
      <c r="M109" s="594"/>
      <c r="N109" s="594"/>
      <c r="O109" s="594"/>
      <c r="P109" s="594"/>
      <c r="Q109" s="594"/>
      <c r="R109" s="594"/>
      <c r="S109" s="594"/>
      <c r="T109" s="594"/>
      <c r="U109" s="594"/>
      <c r="V109" s="594"/>
      <c r="W109" s="594"/>
      <c r="X109" s="594"/>
      <c r="Y109" s="594"/>
      <c r="Z109" s="595"/>
      <c r="AA109" s="596">
        <v>130</v>
      </c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590">
        <f>AA109/AG105</f>
        <v>4.6428571428571432</v>
      </c>
      <c r="AV109" s="591"/>
      <c r="AW109" s="591"/>
      <c r="AX109" s="591"/>
      <c r="AY109" s="591"/>
      <c r="AZ109" s="591"/>
      <c r="BA109" s="591"/>
      <c r="BB109" s="592"/>
    </row>
    <row r="110" spans="1:57" ht="18.75" customHeight="1" x14ac:dyDescent="0.2">
      <c r="A110" s="449" t="s">
        <v>98</v>
      </c>
      <c r="B110" s="450"/>
      <c r="C110" s="450"/>
      <c r="D110" s="450"/>
      <c r="E110" s="450"/>
      <c r="F110" s="450"/>
      <c r="G110" s="450"/>
      <c r="H110" s="450"/>
      <c r="I110" s="450"/>
      <c r="J110" s="450"/>
      <c r="K110" s="450"/>
      <c r="L110" s="450"/>
      <c r="M110" s="450"/>
      <c r="N110" s="450"/>
      <c r="O110" s="450"/>
      <c r="P110" s="450"/>
      <c r="Q110" s="450"/>
      <c r="R110" s="450"/>
      <c r="S110" s="450"/>
      <c r="T110" s="450"/>
      <c r="U110" s="450"/>
      <c r="V110" s="450"/>
      <c r="W110" s="450"/>
      <c r="X110" s="450"/>
      <c r="Y110" s="450"/>
      <c r="Z110" s="451"/>
      <c r="AA110" s="596">
        <v>170</v>
      </c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590">
        <f>AA110/AG105</f>
        <v>6.0714285714285712</v>
      </c>
      <c r="AV110" s="591"/>
      <c r="AW110" s="591"/>
      <c r="AX110" s="591"/>
      <c r="AY110" s="591"/>
      <c r="AZ110" s="591"/>
      <c r="BA110" s="591"/>
      <c r="BB110" s="592"/>
    </row>
    <row r="111" spans="1:57" ht="19.5" customHeight="1" x14ac:dyDescent="0.2">
      <c r="A111" s="593" t="s">
        <v>99</v>
      </c>
      <c r="B111" s="594"/>
      <c r="C111" s="594"/>
      <c r="D111" s="594"/>
      <c r="E111" s="594"/>
      <c r="F111" s="594"/>
      <c r="G111" s="594"/>
      <c r="H111" s="594"/>
      <c r="I111" s="594"/>
      <c r="J111" s="594"/>
      <c r="K111" s="594"/>
      <c r="L111" s="594"/>
      <c r="M111" s="594"/>
      <c r="N111" s="594"/>
      <c r="O111" s="594"/>
      <c r="P111" s="594"/>
      <c r="Q111" s="594"/>
      <c r="R111" s="594"/>
      <c r="S111" s="594"/>
      <c r="T111" s="594"/>
      <c r="U111" s="594"/>
      <c r="V111" s="594"/>
      <c r="W111" s="594"/>
      <c r="X111" s="594"/>
      <c r="Y111" s="594"/>
      <c r="Z111" s="595"/>
      <c r="AA111" s="596">
        <v>350</v>
      </c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AA111/AG105</f>
        <v>12.5</v>
      </c>
      <c r="AV111" s="591"/>
      <c r="AW111" s="591"/>
      <c r="AX111" s="591"/>
      <c r="AY111" s="591"/>
      <c r="AZ111" s="591"/>
      <c r="BA111" s="591"/>
      <c r="BB111" s="592"/>
    </row>
    <row r="112" spans="1:57" ht="21.75" customHeight="1" x14ac:dyDescent="0.2">
      <c r="A112" s="593" t="s">
        <v>100</v>
      </c>
      <c r="B112" s="594"/>
      <c r="C112" s="594"/>
      <c r="D112" s="594"/>
      <c r="E112" s="594"/>
      <c r="F112" s="594"/>
      <c r="G112" s="594"/>
      <c r="H112" s="594"/>
      <c r="I112" s="594"/>
      <c r="J112" s="594"/>
      <c r="K112" s="594"/>
      <c r="L112" s="594"/>
      <c r="M112" s="594"/>
      <c r="N112" s="594"/>
      <c r="O112" s="594"/>
      <c r="P112" s="594"/>
      <c r="Q112" s="594"/>
      <c r="R112" s="594"/>
      <c r="S112" s="594"/>
      <c r="T112" s="594"/>
      <c r="U112" s="594"/>
      <c r="V112" s="594"/>
      <c r="W112" s="594"/>
      <c r="X112" s="594"/>
      <c r="Y112" s="594"/>
      <c r="Z112" s="595"/>
      <c r="AA112" s="596">
        <v>500</v>
      </c>
      <c r="AB112" s="597"/>
      <c r="AC112" s="597"/>
      <c r="AD112" s="597"/>
      <c r="AE112" s="597"/>
      <c r="AF112" s="598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AA112/AG105</f>
        <v>17.857142857142858</v>
      </c>
      <c r="AV112" s="591"/>
      <c r="AW112" s="591"/>
      <c r="AX112" s="591"/>
      <c r="AY112" s="591"/>
      <c r="AZ112" s="591"/>
      <c r="BA112" s="591"/>
      <c r="BB112" s="592"/>
    </row>
    <row r="113" spans="1:54" ht="19.5" hidden="1" customHeight="1" x14ac:dyDescent="0.2">
      <c r="A113" s="593"/>
      <c r="B113" s="594"/>
      <c r="C113" s="594"/>
      <c r="D113" s="594"/>
      <c r="E113" s="594"/>
      <c r="F113" s="594"/>
      <c r="G113" s="594"/>
      <c r="H113" s="594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4"/>
      <c r="Z113" s="595"/>
      <c r="AA113" s="596"/>
      <c r="AB113" s="597"/>
      <c r="AC113" s="597"/>
      <c r="AD113" s="597"/>
      <c r="AE113" s="597"/>
      <c r="AF113" s="598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AA113/AG105</f>
        <v>0</v>
      </c>
      <c r="AV113" s="591"/>
      <c r="AW113" s="591"/>
      <c r="AX113" s="591"/>
      <c r="AY113" s="591"/>
      <c r="AZ113" s="591"/>
      <c r="BA113" s="591"/>
      <c r="BB113" s="592"/>
    </row>
    <row r="114" spans="1:54" ht="20.25" hidden="1" customHeight="1" x14ac:dyDescent="0.2">
      <c r="A114" s="593"/>
      <c r="B114" s="594"/>
      <c r="C114" s="594"/>
      <c r="D114" s="594"/>
      <c r="E114" s="594"/>
      <c r="F114" s="594"/>
      <c r="G114" s="594"/>
      <c r="H114" s="594"/>
      <c r="I114" s="594"/>
      <c r="J114" s="594"/>
      <c r="K114" s="594"/>
      <c r="L114" s="594"/>
      <c r="M114" s="594"/>
      <c r="N114" s="594"/>
      <c r="O114" s="594"/>
      <c r="P114" s="594"/>
      <c r="Q114" s="594"/>
      <c r="R114" s="594"/>
      <c r="S114" s="594"/>
      <c r="T114" s="594"/>
      <c r="U114" s="594"/>
      <c r="V114" s="594"/>
      <c r="W114" s="594"/>
      <c r="X114" s="594"/>
      <c r="Y114" s="594"/>
      <c r="Z114" s="595"/>
      <c r="AA114" s="596"/>
      <c r="AB114" s="597"/>
      <c r="AC114" s="597"/>
      <c r="AD114" s="597"/>
      <c r="AE114" s="597"/>
      <c r="AF114" s="598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AA114/AG105</f>
        <v>0</v>
      </c>
      <c r="AV114" s="591"/>
      <c r="AW114" s="591"/>
      <c r="AX114" s="591"/>
      <c r="AY114" s="591"/>
      <c r="AZ114" s="591"/>
      <c r="BA114" s="591"/>
      <c r="BB114" s="592"/>
    </row>
    <row r="115" spans="1:54" ht="16.5" hidden="1" customHeight="1" x14ac:dyDescent="0.2">
      <c r="A115" s="593"/>
      <c r="B115" s="594"/>
      <c r="C115" s="594"/>
      <c r="D115" s="594"/>
      <c r="E115" s="594"/>
      <c r="F115" s="594"/>
      <c r="G115" s="594"/>
      <c r="H115" s="594"/>
      <c r="I115" s="594"/>
      <c r="J115" s="594"/>
      <c r="K115" s="594"/>
      <c r="L115" s="594"/>
      <c r="M115" s="594"/>
      <c r="N115" s="594"/>
      <c r="O115" s="594"/>
      <c r="P115" s="594"/>
      <c r="Q115" s="594"/>
      <c r="R115" s="594"/>
      <c r="S115" s="594"/>
      <c r="T115" s="594"/>
      <c r="U115" s="594"/>
      <c r="V115" s="594"/>
      <c r="W115" s="594"/>
      <c r="X115" s="594"/>
      <c r="Y115" s="594"/>
      <c r="Z115" s="595"/>
      <c r="AA115" s="596"/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AA115/AG105</f>
        <v>0</v>
      </c>
      <c r="AV115" s="591"/>
      <c r="AW115" s="591"/>
      <c r="AX115" s="591"/>
      <c r="AY115" s="591"/>
      <c r="AZ115" s="591"/>
      <c r="BA115" s="591"/>
      <c r="BB115" s="592"/>
    </row>
    <row r="116" spans="1:54" s="161" customFormat="1" ht="19.5" hidden="1" customHeight="1" x14ac:dyDescent="0.2">
      <c r="A116" s="593"/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5"/>
      <c r="AA116" s="596"/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AA116/AG105</f>
        <v>0</v>
      </c>
      <c r="AV116" s="591"/>
      <c r="AW116" s="591"/>
      <c r="AX116" s="591"/>
      <c r="AY116" s="591"/>
      <c r="AZ116" s="591"/>
      <c r="BA116" s="591"/>
      <c r="BB116" s="592"/>
    </row>
    <row r="117" spans="1:54" ht="1.5" hidden="1" customHeight="1" x14ac:dyDescent="0.2">
      <c r="A117" s="593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AA117/AG105</f>
        <v>0</v>
      </c>
      <c r="AV117" s="591"/>
      <c r="AW117" s="591"/>
      <c r="AX117" s="591"/>
      <c r="AY117" s="591"/>
      <c r="AZ117" s="591"/>
      <c r="BA117" s="591"/>
      <c r="BB117" s="592"/>
    </row>
    <row r="118" spans="1:54" s="159" customFormat="1" ht="17.25" hidden="1" customHeight="1" x14ac:dyDescent="0.2">
      <c r="A118" s="593"/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596"/>
      <c r="AB118" s="597"/>
      <c r="AC118" s="597"/>
      <c r="AD118" s="597"/>
      <c r="AE118" s="597"/>
      <c r="AF118" s="59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AA118/AG105</f>
        <v>0</v>
      </c>
      <c r="AV118" s="591"/>
      <c r="AW118" s="591"/>
      <c r="AX118" s="591"/>
      <c r="AY118" s="591"/>
      <c r="AZ118" s="591"/>
      <c r="BA118" s="591"/>
      <c r="BB118" s="592"/>
    </row>
    <row r="119" spans="1:54" ht="20.25" hidden="1" customHeight="1" x14ac:dyDescent="0.2">
      <c r="A119" s="593"/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596"/>
      <c r="AB119" s="597"/>
      <c r="AC119" s="597"/>
      <c r="AD119" s="597"/>
      <c r="AE119" s="597"/>
      <c r="AF119" s="59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AA119/AG105</f>
        <v>0</v>
      </c>
      <c r="AV119" s="591"/>
      <c r="AW119" s="591"/>
      <c r="AX119" s="591"/>
      <c r="AY119" s="591"/>
      <c r="AZ119" s="591"/>
      <c r="BA119" s="591"/>
      <c r="BB119" s="592"/>
    </row>
    <row r="120" spans="1:54" ht="18.75" hidden="1" customHeight="1" x14ac:dyDescent="0.2">
      <c r="A120" s="593"/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5"/>
      <c r="AA120" s="596">
        <v>230</v>
      </c>
      <c r="AB120" s="597"/>
      <c r="AC120" s="597"/>
      <c r="AD120" s="597"/>
      <c r="AE120" s="597"/>
      <c r="AF120" s="598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90">
        <f>AA120/AG105</f>
        <v>8.2142857142857135</v>
      </c>
      <c r="AV120" s="591"/>
      <c r="AW120" s="591"/>
      <c r="AX120" s="591"/>
      <c r="AY120" s="591"/>
      <c r="AZ120" s="591"/>
      <c r="BA120" s="591"/>
      <c r="BB120" s="592"/>
    </row>
    <row r="121" spans="1:54" ht="37.5" hidden="1" customHeight="1" x14ac:dyDescent="0.2">
      <c r="A121" s="593"/>
      <c r="B121" s="594"/>
      <c r="C121" s="594"/>
      <c r="D121" s="594"/>
      <c r="E121" s="594"/>
      <c r="F121" s="594"/>
      <c r="G121" s="594"/>
      <c r="H121" s="594"/>
      <c r="I121" s="594"/>
      <c r="J121" s="594"/>
      <c r="K121" s="594"/>
      <c r="L121" s="594"/>
      <c r="M121" s="594"/>
      <c r="N121" s="594"/>
      <c r="O121" s="594"/>
      <c r="P121" s="594"/>
      <c r="Q121" s="594"/>
      <c r="R121" s="594"/>
      <c r="S121" s="594"/>
      <c r="T121" s="594"/>
      <c r="U121" s="594"/>
      <c r="V121" s="594"/>
      <c r="W121" s="594"/>
      <c r="X121" s="594"/>
      <c r="Y121" s="594"/>
      <c r="Z121" s="595"/>
      <c r="AA121" s="596"/>
      <c r="AB121" s="597"/>
      <c r="AC121" s="597"/>
      <c r="AD121" s="597"/>
      <c r="AE121" s="597"/>
      <c r="AF121" s="598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590">
        <f>AA121/AG105</f>
        <v>0</v>
      </c>
      <c r="AV121" s="591"/>
      <c r="AW121" s="591"/>
      <c r="AX121" s="591"/>
      <c r="AY121" s="591"/>
      <c r="AZ121" s="591"/>
      <c r="BA121" s="591"/>
      <c r="BB121" s="592"/>
    </row>
    <row r="122" spans="1:54" ht="28.5" hidden="1" customHeight="1" x14ac:dyDescent="0.2">
      <c r="A122" s="593"/>
      <c r="B122" s="594"/>
      <c r="C122" s="594"/>
      <c r="D122" s="594"/>
      <c r="E122" s="594"/>
      <c r="F122" s="594"/>
      <c r="G122" s="594"/>
      <c r="H122" s="594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4"/>
      <c r="Z122" s="595"/>
      <c r="AA122" s="596"/>
      <c r="AB122" s="597"/>
      <c r="AC122" s="597"/>
      <c r="AD122" s="597"/>
      <c r="AE122" s="597"/>
      <c r="AF122" s="598"/>
      <c r="AG122" s="572"/>
      <c r="AH122" s="573"/>
      <c r="AI122" s="573"/>
      <c r="AJ122" s="573"/>
      <c r="AK122" s="573"/>
      <c r="AL122" s="574"/>
      <c r="AM122" s="572"/>
      <c r="AN122" s="573"/>
      <c r="AO122" s="573"/>
      <c r="AP122" s="573"/>
      <c r="AQ122" s="573"/>
      <c r="AR122" s="573"/>
      <c r="AS122" s="573"/>
      <c r="AT122" s="574"/>
      <c r="AU122" s="590">
        <f>AA122/AG105</f>
        <v>0</v>
      </c>
      <c r="AV122" s="591"/>
      <c r="AW122" s="591"/>
      <c r="AX122" s="591"/>
      <c r="AY122" s="591"/>
      <c r="AZ122" s="591"/>
      <c r="BA122" s="591"/>
      <c r="BB122" s="592"/>
    </row>
    <row r="123" spans="1:54" ht="19.5" customHeight="1" x14ac:dyDescent="0.2">
      <c r="A123" s="593" t="s">
        <v>135</v>
      </c>
      <c r="B123" s="594"/>
      <c r="C123" s="594"/>
      <c r="D123" s="594"/>
      <c r="E123" s="594"/>
      <c r="F123" s="594"/>
      <c r="G123" s="594"/>
      <c r="H123" s="594"/>
      <c r="I123" s="594"/>
      <c r="J123" s="594"/>
      <c r="K123" s="594"/>
      <c r="L123" s="594"/>
      <c r="M123" s="594"/>
      <c r="N123" s="594"/>
      <c r="O123" s="594"/>
      <c r="P123" s="594"/>
      <c r="Q123" s="594"/>
      <c r="R123" s="594"/>
      <c r="S123" s="594"/>
      <c r="T123" s="594"/>
      <c r="U123" s="594"/>
      <c r="V123" s="594"/>
      <c r="W123" s="594"/>
      <c r="X123" s="594"/>
      <c r="Y123" s="594"/>
      <c r="Z123" s="595"/>
      <c r="AA123" s="596">
        <v>150</v>
      </c>
      <c r="AB123" s="597"/>
      <c r="AC123" s="597"/>
      <c r="AD123" s="597"/>
      <c r="AE123" s="597"/>
      <c r="AF123" s="598"/>
      <c r="AG123" s="572"/>
      <c r="AH123" s="573"/>
      <c r="AI123" s="573"/>
      <c r="AJ123" s="573"/>
      <c r="AK123" s="573"/>
      <c r="AL123" s="574"/>
      <c r="AM123" s="572"/>
      <c r="AN123" s="573"/>
      <c r="AO123" s="573"/>
      <c r="AP123" s="573"/>
      <c r="AQ123" s="573"/>
      <c r="AR123" s="573"/>
      <c r="AS123" s="573"/>
      <c r="AT123" s="574"/>
      <c r="AU123" s="590">
        <f>AA123/AG105</f>
        <v>5.3571428571428568</v>
      </c>
      <c r="AV123" s="591"/>
      <c r="AW123" s="591"/>
      <c r="AX123" s="591"/>
      <c r="AY123" s="591"/>
      <c r="AZ123" s="591"/>
      <c r="BA123" s="591"/>
      <c r="BB123" s="592"/>
    </row>
    <row r="124" spans="1:54" ht="19.5" customHeight="1" x14ac:dyDescent="0.2">
      <c r="A124" s="593" t="s">
        <v>523</v>
      </c>
      <c r="B124" s="594"/>
      <c r="C124" s="594"/>
      <c r="D124" s="594"/>
      <c r="E124" s="594"/>
      <c r="F124" s="594"/>
      <c r="G124" s="594"/>
      <c r="H124" s="594"/>
      <c r="I124" s="594"/>
      <c r="J124" s="594"/>
      <c r="K124" s="594"/>
      <c r="L124" s="594"/>
      <c r="M124" s="594"/>
      <c r="N124" s="594"/>
      <c r="O124" s="594"/>
      <c r="P124" s="594"/>
      <c r="Q124" s="594"/>
      <c r="R124" s="594"/>
      <c r="S124" s="594"/>
      <c r="T124" s="594"/>
      <c r="U124" s="594"/>
      <c r="V124" s="594"/>
      <c r="W124" s="594"/>
      <c r="X124" s="594"/>
      <c r="Y124" s="594"/>
      <c r="Z124" s="595"/>
      <c r="AA124" s="596">
        <v>2899.44</v>
      </c>
      <c r="AB124" s="597"/>
      <c r="AC124" s="597"/>
      <c r="AD124" s="597"/>
      <c r="AE124" s="597"/>
      <c r="AF124" s="598"/>
      <c r="AG124" s="572"/>
      <c r="AH124" s="573"/>
      <c r="AI124" s="573"/>
      <c r="AJ124" s="573"/>
      <c r="AK124" s="573"/>
      <c r="AL124" s="574"/>
      <c r="AM124" s="572"/>
      <c r="AN124" s="573"/>
      <c r="AO124" s="573"/>
      <c r="AP124" s="573"/>
      <c r="AQ124" s="573"/>
      <c r="AR124" s="573"/>
      <c r="AS124" s="573"/>
      <c r="AT124" s="574"/>
      <c r="AU124" s="590">
        <f>AA124/AG105</f>
        <v>103.55142857142857</v>
      </c>
      <c r="AV124" s="591"/>
      <c r="AW124" s="591"/>
      <c r="AX124" s="591"/>
      <c r="AY124" s="591"/>
      <c r="AZ124" s="591"/>
      <c r="BA124" s="591"/>
      <c r="BB124" s="592"/>
    </row>
    <row r="125" spans="1:54" ht="21" customHeight="1" thickBot="1" x14ac:dyDescent="0.25">
      <c r="A125" s="599" t="s">
        <v>137</v>
      </c>
      <c r="B125" s="600"/>
      <c r="C125" s="600"/>
      <c r="D125" s="600"/>
      <c r="E125" s="600"/>
      <c r="F125" s="600"/>
      <c r="G125" s="600"/>
      <c r="H125" s="600"/>
      <c r="I125" s="600"/>
      <c r="J125" s="600"/>
      <c r="K125" s="600"/>
      <c r="L125" s="600"/>
      <c r="M125" s="600"/>
      <c r="N125" s="600"/>
      <c r="O125" s="600"/>
      <c r="P125" s="600"/>
      <c r="Q125" s="600"/>
      <c r="R125" s="600"/>
      <c r="S125" s="600"/>
      <c r="T125" s="600"/>
      <c r="U125" s="600"/>
      <c r="V125" s="600"/>
      <c r="W125" s="600"/>
      <c r="X125" s="600"/>
      <c r="Y125" s="600"/>
      <c r="Z125" s="600"/>
      <c r="AA125" s="601">
        <v>350</v>
      </c>
      <c r="AB125" s="601"/>
      <c r="AC125" s="601"/>
      <c r="AD125" s="601"/>
      <c r="AE125" s="601"/>
      <c r="AF125" s="601"/>
      <c r="AG125" s="572"/>
      <c r="AH125" s="573"/>
      <c r="AI125" s="573"/>
      <c r="AJ125" s="573"/>
      <c r="AK125" s="573"/>
      <c r="AL125" s="574"/>
      <c r="AM125" s="572"/>
      <c r="AN125" s="573"/>
      <c r="AO125" s="573"/>
      <c r="AP125" s="573"/>
      <c r="AQ125" s="573"/>
      <c r="AR125" s="573"/>
      <c r="AS125" s="573"/>
      <c r="AT125" s="574"/>
      <c r="AU125" s="602">
        <f>AA125/AG105</f>
        <v>12.5</v>
      </c>
      <c r="AV125" s="602"/>
      <c r="AW125" s="602"/>
      <c r="AX125" s="602"/>
      <c r="AY125" s="602"/>
      <c r="AZ125" s="602"/>
      <c r="BA125" s="602"/>
      <c r="BB125" s="603"/>
    </row>
    <row r="126" spans="1:54" ht="16.5" customHeight="1" thickBot="1" x14ac:dyDescent="0.25">
      <c r="A126" s="545" t="s">
        <v>51</v>
      </c>
      <c r="B126" s="546"/>
      <c r="C126" s="546"/>
      <c r="D126" s="546"/>
      <c r="E126" s="546"/>
      <c r="F126" s="546"/>
      <c r="G126" s="546"/>
      <c r="H126" s="546"/>
      <c r="I126" s="546"/>
      <c r="J126" s="546"/>
      <c r="K126" s="546"/>
      <c r="L126" s="546"/>
      <c r="M126" s="546"/>
      <c r="N126" s="546"/>
      <c r="O126" s="546"/>
      <c r="P126" s="546"/>
      <c r="Q126" s="546"/>
      <c r="R126" s="546"/>
      <c r="S126" s="546"/>
      <c r="T126" s="546"/>
      <c r="U126" s="546"/>
      <c r="V126" s="546"/>
      <c r="W126" s="546"/>
      <c r="X126" s="546"/>
      <c r="Y126" s="546"/>
      <c r="Z126" s="547"/>
      <c r="AA126" s="582">
        <f>AA106+AA107+AA108+AA109+AA110+AA111+AA112+AA123+AA125+AA124</f>
        <v>5183.8600000000006</v>
      </c>
      <c r="AB126" s="583"/>
      <c r="AC126" s="583"/>
      <c r="AD126" s="583"/>
      <c r="AE126" s="583"/>
      <c r="AF126" s="583"/>
      <c r="AG126" s="532">
        <f>AG105</f>
        <v>28</v>
      </c>
      <c r="AH126" s="533"/>
      <c r="AI126" s="533"/>
      <c r="AJ126" s="533"/>
      <c r="AK126" s="533"/>
      <c r="AL126" s="534"/>
      <c r="AM126" s="551" t="s">
        <v>17</v>
      </c>
      <c r="AN126" s="552"/>
      <c r="AO126" s="552"/>
      <c r="AP126" s="552"/>
      <c r="AQ126" s="552"/>
      <c r="AR126" s="552"/>
      <c r="AS126" s="552"/>
      <c r="AT126" s="584"/>
      <c r="AU126" s="555">
        <f>SUM(AU105:BB125)</f>
        <v>193.35214285714284</v>
      </c>
      <c r="AV126" s="555"/>
      <c r="AW126" s="555"/>
      <c r="AX126" s="555"/>
      <c r="AY126" s="555"/>
      <c r="AZ126" s="555"/>
      <c r="BA126" s="555"/>
      <c r="BB126" s="556"/>
    </row>
    <row r="127" spans="1:54" ht="47.25" customHeight="1" x14ac:dyDescent="0.2"/>
    <row r="128" spans="1:54" s="161" customFormat="1" ht="15" customHeight="1" x14ac:dyDescent="0.2">
      <c r="A128" s="159" t="s">
        <v>59</v>
      </c>
      <c r="B128" s="159"/>
      <c r="C128" s="159" t="s">
        <v>60</v>
      </c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60"/>
      <c r="AY128" s="160"/>
      <c r="AZ128" s="160"/>
      <c r="BA128" s="160"/>
      <c r="BB128" s="160"/>
    </row>
    <row r="129" spans="1:54" ht="12" customHeight="1" thickBot="1" x14ac:dyDescent="0.25"/>
    <row r="130" spans="1:54" s="159" customFormat="1" ht="12" customHeight="1" x14ac:dyDescent="0.2">
      <c r="A130" s="585" t="s">
        <v>54</v>
      </c>
      <c r="B130" s="586"/>
      <c r="C130" s="586"/>
      <c r="D130" s="586"/>
      <c r="E130" s="586"/>
      <c r="F130" s="586"/>
      <c r="G130" s="586"/>
      <c r="H130" s="586"/>
      <c r="I130" s="586"/>
      <c r="J130" s="586"/>
      <c r="K130" s="586"/>
      <c r="L130" s="586"/>
      <c r="M130" s="586"/>
      <c r="N130" s="586"/>
      <c r="O130" s="586"/>
      <c r="P130" s="586"/>
      <c r="Q130" s="586"/>
      <c r="R130" s="586"/>
      <c r="S130" s="586"/>
      <c r="T130" s="586"/>
      <c r="U130" s="586"/>
      <c r="V130" s="586"/>
      <c r="W130" s="586"/>
      <c r="X130" s="586"/>
      <c r="Y130" s="586"/>
      <c r="Z130" s="587"/>
      <c r="AA130" s="536" t="s">
        <v>55</v>
      </c>
      <c r="AB130" s="537"/>
      <c r="AC130" s="537"/>
      <c r="AD130" s="537"/>
      <c r="AE130" s="537"/>
      <c r="AF130" s="538"/>
      <c r="AG130" s="536" t="s">
        <v>56</v>
      </c>
      <c r="AH130" s="537"/>
      <c r="AI130" s="537"/>
      <c r="AJ130" s="537"/>
      <c r="AK130" s="537"/>
      <c r="AL130" s="538"/>
      <c r="AM130" s="588" t="s">
        <v>57</v>
      </c>
      <c r="AN130" s="586"/>
      <c r="AO130" s="586"/>
      <c r="AP130" s="586"/>
      <c r="AQ130" s="586"/>
      <c r="AR130" s="586"/>
      <c r="AS130" s="586"/>
      <c r="AT130" s="587"/>
      <c r="AU130" s="588" t="s">
        <v>43</v>
      </c>
      <c r="AV130" s="586"/>
      <c r="AW130" s="586"/>
      <c r="AX130" s="586"/>
      <c r="AY130" s="586"/>
      <c r="AZ130" s="586"/>
      <c r="BA130" s="586"/>
      <c r="BB130" s="589"/>
    </row>
    <row r="131" spans="1:54" ht="11.25" customHeight="1" thickBot="1" x14ac:dyDescent="0.25">
      <c r="A131" s="564">
        <v>1</v>
      </c>
      <c r="B131" s="475"/>
      <c r="C131" s="475"/>
      <c r="D131" s="475"/>
      <c r="E131" s="475"/>
      <c r="F131" s="475"/>
      <c r="G131" s="475"/>
      <c r="H131" s="475"/>
      <c r="I131" s="475"/>
      <c r="J131" s="475"/>
      <c r="K131" s="475"/>
      <c r="L131" s="475"/>
      <c r="M131" s="475"/>
      <c r="N131" s="475"/>
      <c r="O131" s="475"/>
      <c r="P131" s="475"/>
      <c r="Q131" s="475"/>
      <c r="R131" s="475"/>
      <c r="S131" s="475"/>
      <c r="T131" s="475"/>
      <c r="U131" s="475"/>
      <c r="V131" s="475"/>
      <c r="W131" s="475"/>
      <c r="X131" s="475"/>
      <c r="Y131" s="475"/>
      <c r="Z131" s="476"/>
      <c r="AA131" s="474">
        <v>2</v>
      </c>
      <c r="AB131" s="475"/>
      <c r="AC131" s="475"/>
      <c r="AD131" s="475"/>
      <c r="AE131" s="475"/>
      <c r="AF131" s="476"/>
      <c r="AG131" s="474">
        <v>3</v>
      </c>
      <c r="AH131" s="475"/>
      <c r="AI131" s="475"/>
      <c r="AJ131" s="475"/>
      <c r="AK131" s="475"/>
      <c r="AL131" s="476"/>
      <c r="AM131" s="474">
        <v>4</v>
      </c>
      <c r="AN131" s="475"/>
      <c r="AO131" s="475"/>
      <c r="AP131" s="475"/>
      <c r="AQ131" s="475"/>
      <c r="AR131" s="475"/>
      <c r="AS131" s="475"/>
      <c r="AT131" s="476"/>
      <c r="AU131" s="474">
        <v>5</v>
      </c>
      <c r="AV131" s="475"/>
      <c r="AW131" s="475"/>
      <c r="AX131" s="475"/>
      <c r="AY131" s="475"/>
      <c r="AZ131" s="475"/>
      <c r="BA131" s="475"/>
      <c r="BB131" s="565"/>
    </row>
    <row r="132" spans="1:54" ht="31.5" hidden="1" customHeight="1" x14ac:dyDescent="0.2">
      <c r="A132" s="566"/>
      <c r="B132" s="567"/>
      <c r="C132" s="567"/>
      <c r="D132" s="567"/>
      <c r="E132" s="567"/>
      <c r="F132" s="567"/>
      <c r="G132" s="567"/>
      <c r="H132" s="567"/>
      <c r="I132" s="567"/>
      <c r="J132" s="567"/>
      <c r="K132" s="567"/>
      <c r="L132" s="567"/>
      <c r="M132" s="567"/>
      <c r="N132" s="567"/>
      <c r="O132" s="567"/>
      <c r="P132" s="567"/>
      <c r="Q132" s="567"/>
      <c r="R132" s="567"/>
      <c r="S132" s="567"/>
      <c r="T132" s="567"/>
      <c r="U132" s="567"/>
      <c r="V132" s="567"/>
      <c r="W132" s="567"/>
      <c r="X132" s="567"/>
      <c r="Y132" s="567"/>
      <c r="Z132" s="568"/>
      <c r="AA132" s="569">
        <v>0</v>
      </c>
      <c r="AB132" s="570"/>
      <c r="AC132" s="570"/>
      <c r="AD132" s="570"/>
      <c r="AE132" s="570"/>
      <c r="AF132" s="571"/>
      <c r="AG132" s="569">
        <f>U13</f>
        <v>28</v>
      </c>
      <c r="AH132" s="570"/>
      <c r="AI132" s="570"/>
      <c r="AJ132" s="570"/>
      <c r="AK132" s="570"/>
      <c r="AL132" s="571"/>
      <c r="AM132" s="569" t="s">
        <v>61</v>
      </c>
      <c r="AN132" s="570"/>
      <c r="AO132" s="570"/>
      <c r="AP132" s="570"/>
      <c r="AQ132" s="570"/>
      <c r="AR132" s="570"/>
      <c r="AS132" s="570"/>
      <c r="AT132" s="571"/>
      <c r="AU132" s="558">
        <f>AA132/AG132</f>
        <v>0</v>
      </c>
      <c r="AV132" s="559"/>
      <c r="AW132" s="559"/>
      <c r="AX132" s="559"/>
      <c r="AY132" s="559"/>
      <c r="AZ132" s="559"/>
      <c r="BA132" s="559"/>
      <c r="BB132" s="560"/>
    </row>
    <row r="133" spans="1:54" ht="4.5" hidden="1" customHeight="1" x14ac:dyDescent="0.2">
      <c r="A133" s="561"/>
      <c r="B133" s="562"/>
      <c r="C133" s="562"/>
      <c r="D133" s="562"/>
      <c r="E133" s="562"/>
      <c r="F133" s="562"/>
      <c r="G133" s="562"/>
      <c r="H133" s="562"/>
      <c r="I133" s="562"/>
      <c r="J133" s="562"/>
      <c r="K133" s="562"/>
      <c r="L133" s="562"/>
      <c r="M133" s="562"/>
      <c r="N133" s="562"/>
      <c r="O133" s="562"/>
      <c r="P133" s="562"/>
      <c r="Q133" s="562"/>
      <c r="R133" s="562"/>
      <c r="S133" s="562"/>
      <c r="T133" s="562"/>
      <c r="U133" s="562"/>
      <c r="V133" s="562"/>
      <c r="W133" s="562"/>
      <c r="X133" s="562"/>
      <c r="Y133" s="562"/>
      <c r="Z133" s="563"/>
      <c r="AA133" s="518"/>
      <c r="AB133" s="518"/>
      <c r="AC133" s="518"/>
      <c r="AD133" s="518"/>
      <c r="AE133" s="518"/>
      <c r="AF133" s="518"/>
      <c r="AG133" s="572"/>
      <c r="AH133" s="573"/>
      <c r="AI133" s="573"/>
      <c r="AJ133" s="573"/>
      <c r="AK133" s="573"/>
      <c r="AL133" s="574"/>
      <c r="AM133" s="572"/>
      <c r="AN133" s="573"/>
      <c r="AO133" s="573"/>
      <c r="AP133" s="573"/>
      <c r="AQ133" s="573"/>
      <c r="AR133" s="573"/>
      <c r="AS133" s="573"/>
      <c r="AT133" s="574"/>
      <c r="AU133" s="558">
        <f>AA133/AG132</f>
        <v>0</v>
      </c>
      <c r="AV133" s="559"/>
      <c r="AW133" s="559"/>
      <c r="AX133" s="559"/>
      <c r="AY133" s="559"/>
      <c r="AZ133" s="559"/>
      <c r="BA133" s="559"/>
      <c r="BB133" s="560"/>
    </row>
    <row r="134" spans="1:54" ht="21" customHeight="1" x14ac:dyDescent="0.2">
      <c r="A134" s="449"/>
      <c r="B134" s="450"/>
      <c r="C134" s="450"/>
      <c r="D134" s="450"/>
      <c r="E134" s="450"/>
      <c r="F134" s="450"/>
      <c r="G134" s="450"/>
      <c r="H134" s="450"/>
      <c r="I134" s="450"/>
      <c r="J134" s="450"/>
      <c r="K134" s="450"/>
      <c r="L134" s="450"/>
      <c r="M134" s="450"/>
      <c r="N134" s="450"/>
      <c r="O134" s="450"/>
      <c r="P134" s="450"/>
      <c r="Q134" s="450"/>
      <c r="R134" s="450"/>
      <c r="S134" s="450"/>
      <c r="T134" s="450"/>
      <c r="U134" s="450"/>
      <c r="V134" s="450"/>
      <c r="W134" s="450"/>
      <c r="X134" s="450"/>
      <c r="Y134" s="450"/>
      <c r="Z134" s="451"/>
      <c r="AA134" s="557"/>
      <c r="AB134" s="557"/>
      <c r="AC134" s="557"/>
      <c r="AD134" s="557"/>
      <c r="AE134" s="557"/>
      <c r="AF134" s="557"/>
      <c r="AG134" s="572"/>
      <c r="AH134" s="573"/>
      <c r="AI134" s="573"/>
      <c r="AJ134" s="573"/>
      <c r="AK134" s="573"/>
      <c r="AL134" s="574"/>
      <c r="AM134" s="572"/>
      <c r="AN134" s="573"/>
      <c r="AO134" s="573"/>
      <c r="AP134" s="573"/>
      <c r="AQ134" s="573"/>
      <c r="AR134" s="573"/>
      <c r="AS134" s="573"/>
      <c r="AT134" s="574"/>
      <c r="AU134" s="558">
        <f>AA134/AG132</f>
        <v>0</v>
      </c>
      <c r="AV134" s="559"/>
      <c r="AW134" s="559"/>
      <c r="AX134" s="559"/>
      <c r="AY134" s="559"/>
      <c r="AZ134" s="559"/>
      <c r="BA134" s="559"/>
      <c r="BB134" s="560"/>
    </row>
    <row r="135" spans="1:54" ht="21" customHeight="1" x14ac:dyDescent="0.2">
      <c r="A135" s="449"/>
      <c r="B135" s="450"/>
      <c r="C135" s="450"/>
      <c r="D135" s="450"/>
      <c r="E135" s="450"/>
      <c r="F135" s="450"/>
      <c r="G135" s="450"/>
      <c r="H135" s="450"/>
      <c r="I135" s="450"/>
      <c r="J135" s="450"/>
      <c r="K135" s="450"/>
      <c r="L135" s="450"/>
      <c r="M135" s="450"/>
      <c r="N135" s="450"/>
      <c r="O135" s="450"/>
      <c r="P135" s="450"/>
      <c r="Q135" s="450"/>
      <c r="R135" s="450"/>
      <c r="S135" s="450"/>
      <c r="T135" s="450"/>
      <c r="U135" s="450"/>
      <c r="V135" s="450"/>
      <c r="W135" s="450"/>
      <c r="X135" s="450"/>
      <c r="Y135" s="450"/>
      <c r="Z135" s="451"/>
      <c r="AA135" s="557"/>
      <c r="AB135" s="557"/>
      <c r="AC135" s="557"/>
      <c r="AD135" s="557"/>
      <c r="AE135" s="557"/>
      <c r="AF135" s="557"/>
      <c r="AG135" s="572"/>
      <c r="AH135" s="573"/>
      <c r="AI135" s="573"/>
      <c r="AJ135" s="573"/>
      <c r="AK135" s="573"/>
      <c r="AL135" s="574"/>
      <c r="AM135" s="572"/>
      <c r="AN135" s="573"/>
      <c r="AO135" s="573"/>
      <c r="AP135" s="573"/>
      <c r="AQ135" s="573"/>
      <c r="AR135" s="573"/>
      <c r="AS135" s="573"/>
      <c r="AT135" s="574"/>
      <c r="AU135" s="558">
        <f>AA135/AG132</f>
        <v>0</v>
      </c>
      <c r="AV135" s="559"/>
      <c r="AW135" s="559"/>
      <c r="AX135" s="559"/>
      <c r="AY135" s="559"/>
      <c r="AZ135" s="559"/>
      <c r="BA135" s="559"/>
      <c r="BB135" s="560"/>
    </row>
    <row r="136" spans="1:54" ht="6" hidden="1" customHeight="1" x14ac:dyDescent="0.2">
      <c r="A136" s="449"/>
      <c r="B136" s="450"/>
      <c r="C136" s="450"/>
      <c r="D136" s="450"/>
      <c r="E136" s="450"/>
      <c r="F136" s="450"/>
      <c r="G136" s="450"/>
      <c r="H136" s="450"/>
      <c r="I136" s="450"/>
      <c r="J136" s="450"/>
      <c r="K136" s="450"/>
      <c r="L136" s="450"/>
      <c r="M136" s="450"/>
      <c r="N136" s="450"/>
      <c r="O136" s="450"/>
      <c r="P136" s="450"/>
      <c r="Q136" s="450"/>
      <c r="R136" s="450"/>
      <c r="S136" s="450"/>
      <c r="T136" s="450"/>
      <c r="U136" s="450"/>
      <c r="V136" s="450"/>
      <c r="W136" s="450"/>
      <c r="X136" s="450"/>
      <c r="Y136" s="450"/>
      <c r="Z136" s="451"/>
      <c r="AA136" s="557"/>
      <c r="AB136" s="557"/>
      <c r="AC136" s="557"/>
      <c r="AD136" s="557"/>
      <c r="AE136" s="557"/>
      <c r="AF136" s="557"/>
      <c r="AG136" s="572"/>
      <c r="AH136" s="573"/>
      <c r="AI136" s="573"/>
      <c r="AJ136" s="573"/>
      <c r="AK136" s="573"/>
      <c r="AL136" s="574"/>
      <c r="AM136" s="572"/>
      <c r="AN136" s="573"/>
      <c r="AO136" s="573"/>
      <c r="AP136" s="573"/>
      <c r="AQ136" s="573"/>
      <c r="AR136" s="573"/>
      <c r="AS136" s="573"/>
      <c r="AT136" s="574"/>
      <c r="AU136" s="558">
        <f>AA136/AG132</f>
        <v>0</v>
      </c>
      <c r="AV136" s="559"/>
      <c r="AW136" s="559"/>
      <c r="AX136" s="559"/>
      <c r="AY136" s="559"/>
      <c r="AZ136" s="559"/>
      <c r="BA136" s="559"/>
      <c r="BB136" s="560"/>
    </row>
    <row r="137" spans="1:54" ht="0.75" customHeight="1" thickBot="1" x14ac:dyDescent="0.25">
      <c r="A137" s="575"/>
      <c r="B137" s="576"/>
      <c r="C137" s="576"/>
      <c r="D137" s="576"/>
      <c r="E137" s="576"/>
      <c r="F137" s="576"/>
      <c r="G137" s="576"/>
      <c r="H137" s="576"/>
      <c r="I137" s="576"/>
      <c r="J137" s="576"/>
      <c r="K137" s="576"/>
      <c r="L137" s="576"/>
      <c r="M137" s="576"/>
      <c r="N137" s="576"/>
      <c r="O137" s="576"/>
      <c r="P137" s="576"/>
      <c r="Q137" s="576"/>
      <c r="R137" s="576"/>
      <c r="S137" s="576"/>
      <c r="T137" s="576"/>
      <c r="U137" s="576"/>
      <c r="V137" s="576"/>
      <c r="W137" s="576"/>
      <c r="X137" s="576"/>
      <c r="Y137" s="576"/>
      <c r="Z137" s="577"/>
      <c r="AA137" s="578">
        <v>0</v>
      </c>
      <c r="AB137" s="578"/>
      <c r="AC137" s="578"/>
      <c r="AD137" s="578"/>
      <c r="AE137" s="578"/>
      <c r="AF137" s="578"/>
      <c r="AG137" s="572"/>
      <c r="AH137" s="573"/>
      <c r="AI137" s="573"/>
      <c r="AJ137" s="573"/>
      <c r="AK137" s="573"/>
      <c r="AL137" s="574"/>
      <c r="AM137" s="572"/>
      <c r="AN137" s="573"/>
      <c r="AO137" s="573"/>
      <c r="AP137" s="573"/>
      <c r="AQ137" s="573"/>
      <c r="AR137" s="573"/>
      <c r="AS137" s="573"/>
      <c r="AT137" s="574"/>
      <c r="AU137" s="579">
        <f>AA137/AG132</f>
        <v>0</v>
      </c>
      <c r="AV137" s="580"/>
      <c r="AW137" s="580"/>
      <c r="AX137" s="580"/>
      <c r="AY137" s="580"/>
      <c r="AZ137" s="580"/>
      <c r="BA137" s="580"/>
      <c r="BB137" s="581"/>
    </row>
    <row r="138" spans="1:54" ht="15" customHeight="1" thickBot="1" x14ac:dyDescent="0.25">
      <c r="A138" s="545" t="s">
        <v>51</v>
      </c>
      <c r="B138" s="546"/>
      <c r="C138" s="546"/>
      <c r="D138" s="546"/>
      <c r="E138" s="546"/>
      <c r="F138" s="546"/>
      <c r="G138" s="546"/>
      <c r="H138" s="546"/>
      <c r="I138" s="546"/>
      <c r="J138" s="546"/>
      <c r="K138" s="546"/>
      <c r="L138" s="546"/>
      <c r="M138" s="546"/>
      <c r="N138" s="546"/>
      <c r="O138" s="546"/>
      <c r="P138" s="546"/>
      <c r="Q138" s="546"/>
      <c r="R138" s="546"/>
      <c r="S138" s="546"/>
      <c r="T138" s="546"/>
      <c r="U138" s="546"/>
      <c r="V138" s="546"/>
      <c r="W138" s="546"/>
      <c r="X138" s="546"/>
      <c r="Y138" s="546"/>
      <c r="Z138" s="547"/>
      <c r="AA138" s="548">
        <f>SUM(AA132:AF135)</f>
        <v>0</v>
      </c>
      <c r="AB138" s="549"/>
      <c r="AC138" s="549"/>
      <c r="AD138" s="549"/>
      <c r="AE138" s="549"/>
      <c r="AF138" s="550"/>
      <c r="AG138" s="531">
        <f>AG132</f>
        <v>28</v>
      </c>
      <c r="AH138" s="533"/>
      <c r="AI138" s="533"/>
      <c r="AJ138" s="533"/>
      <c r="AK138" s="533"/>
      <c r="AL138" s="534"/>
      <c r="AM138" s="551" t="s">
        <v>17</v>
      </c>
      <c r="AN138" s="552"/>
      <c r="AO138" s="552"/>
      <c r="AP138" s="552"/>
      <c r="AQ138" s="552"/>
      <c r="AR138" s="552"/>
      <c r="AS138" s="552"/>
      <c r="AT138" s="553"/>
      <c r="AU138" s="554">
        <f>SUM(AU132:BB137)</f>
        <v>0</v>
      </c>
      <c r="AV138" s="555"/>
      <c r="AW138" s="555"/>
      <c r="AX138" s="555"/>
      <c r="AY138" s="555"/>
      <c r="AZ138" s="555"/>
      <c r="BA138" s="555"/>
      <c r="BB138" s="556"/>
    </row>
    <row r="139" spans="1:54" s="161" customFormat="1" ht="15" customHeight="1" x14ac:dyDescent="0.2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</row>
    <row r="140" spans="1:54" ht="27" customHeight="1" x14ac:dyDescent="0.2">
      <c r="A140" s="159" t="s">
        <v>62</v>
      </c>
      <c r="B140" s="159"/>
      <c r="C140" s="159" t="s">
        <v>63</v>
      </c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159"/>
      <c r="AX140" s="160"/>
      <c r="AY140" s="160"/>
      <c r="AZ140" s="160"/>
      <c r="BA140" s="160"/>
      <c r="BB140" s="160"/>
    </row>
    <row r="141" spans="1:54" ht="21.75" customHeight="1" thickBot="1" x14ac:dyDescent="0.25"/>
    <row r="142" spans="1:54" ht="63" customHeight="1" x14ac:dyDescent="0.2">
      <c r="A142" s="499" t="s">
        <v>54</v>
      </c>
      <c r="B142" s="500"/>
      <c r="C142" s="500"/>
      <c r="D142" s="500"/>
      <c r="E142" s="500"/>
      <c r="F142" s="500"/>
      <c r="G142" s="500"/>
      <c r="H142" s="535" t="s">
        <v>64</v>
      </c>
      <c r="I142" s="535"/>
      <c r="J142" s="535"/>
      <c r="K142" s="535"/>
      <c r="L142" s="535"/>
      <c r="M142" s="535" t="s">
        <v>94</v>
      </c>
      <c r="N142" s="535"/>
      <c r="O142" s="535"/>
      <c r="P142" s="535"/>
      <c r="Q142" s="535"/>
      <c r="R142" s="535" t="s">
        <v>82</v>
      </c>
      <c r="S142" s="535"/>
      <c r="T142" s="535"/>
      <c r="U142" s="535"/>
      <c r="V142" s="535" t="s">
        <v>65</v>
      </c>
      <c r="W142" s="535"/>
      <c r="X142" s="535"/>
      <c r="Y142" s="535"/>
      <c r="Z142" s="535" t="s">
        <v>66</v>
      </c>
      <c r="AA142" s="535"/>
      <c r="AB142" s="535"/>
      <c r="AC142" s="535"/>
      <c r="AD142" s="535" t="s">
        <v>67</v>
      </c>
      <c r="AE142" s="535"/>
      <c r="AF142" s="535"/>
      <c r="AG142" s="535"/>
      <c r="AH142" s="535"/>
      <c r="AI142" s="535"/>
      <c r="AJ142" s="535"/>
      <c r="AK142" s="535"/>
      <c r="AL142" s="535"/>
      <c r="AM142" s="535"/>
      <c r="AN142" s="535"/>
      <c r="AO142" s="535"/>
      <c r="AP142" s="535"/>
      <c r="AQ142" s="535" t="s">
        <v>677</v>
      </c>
      <c r="AR142" s="535"/>
      <c r="AS142" s="535"/>
      <c r="AT142" s="535"/>
      <c r="AU142" s="536" t="s">
        <v>676</v>
      </c>
      <c r="AV142" s="537"/>
      <c r="AW142" s="537"/>
      <c r="AX142" s="538"/>
      <c r="AY142" s="536" t="s">
        <v>87</v>
      </c>
      <c r="AZ142" s="537"/>
      <c r="BA142" s="537"/>
      <c r="BB142" s="539"/>
    </row>
    <row r="143" spans="1:54" ht="71.25" customHeight="1" thickBot="1" x14ac:dyDescent="0.25">
      <c r="A143" s="501"/>
      <c r="B143" s="502"/>
      <c r="C143" s="502"/>
      <c r="D143" s="502"/>
      <c r="E143" s="502"/>
      <c r="F143" s="502"/>
      <c r="G143" s="502"/>
      <c r="H143" s="540" t="s">
        <v>68</v>
      </c>
      <c r="I143" s="540"/>
      <c r="J143" s="540"/>
      <c r="K143" s="540"/>
      <c r="L143" s="540"/>
      <c r="M143" s="540" t="s">
        <v>68</v>
      </c>
      <c r="N143" s="540"/>
      <c r="O143" s="540"/>
      <c r="P143" s="540"/>
      <c r="Q143" s="540"/>
      <c r="R143" s="540"/>
      <c r="S143" s="540"/>
      <c r="T143" s="540"/>
      <c r="U143" s="540"/>
      <c r="V143" s="540"/>
      <c r="W143" s="540"/>
      <c r="X143" s="540"/>
      <c r="Y143" s="540"/>
      <c r="Z143" s="540"/>
      <c r="AA143" s="540"/>
      <c r="AB143" s="540"/>
      <c r="AC143" s="540"/>
      <c r="AD143" s="540" t="s">
        <v>68</v>
      </c>
      <c r="AE143" s="540"/>
      <c r="AF143" s="540"/>
      <c r="AG143" s="540"/>
      <c r="AH143" s="540"/>
      <c r="AI143" s="540"/>
      <c r="AJ143" s="541" t="s">
        <v>69</v>
      </c>
      <c r="AK143" s="542"/>
      <c r="AL143" s="542"/>
      <c r="AM143" s="542"/>
      <c r="AN143" s="542"/>
      <c r="AO143" s="542"/>
      <c r="AP143" s="543"/>
      <c r="AQ143" s="540" t="s">
        <v>68</v>
      </c>
      <c r="AR143" s="540"/>
      <c r="AS143" s="540"/>
      <c r="AT143" s="540"/>
      <c r="AU143" s="540" t="s">
        <v>68</v>
      </c>
      <c r="AV143" s="540"/>
      <c r="AW143" s="540"/>
      <c r="AX143" s="540"/>
      <c r="AY143" s="540" t="s">
        <v>68</v>
      </c>
      <c r="AZ143" s="540"/>
      <c r="BA143" s="540"/>
      <c r="BB143" s="544"/>
    </row>
    <row r="144" spans="1:54" ht="22.5" customHeight="1" thickBot="1" x14ac:dyDescent="0.25">
      <c r="A144" s="530">
        <v>1</v>
      </c>
      <c r="B144" s="503"/>
      <c r="C144" s="503"/>
      <c r="D144" s="503"/>
      <c r="E144" s="503"/>
      <c r="F144" s="503"/>
      <c r="G144" s="503"/>
      <c r="H144" s="503">
        <v>2</v>
      </c>
      <c r="I144" s="503"/>
      <c r="J144" s="503"/>
      <c r="K144" s="503"/>
      <c r="L144" s="503"/>
      <c r="M144" s="503">
        <v>3</v>
      </c>
      <c r="N144" s="503"/>
      <c r="O144" s="503"/>
      <c r="P144" s="503"/>
      <c r="Q144" s="503"/>
      <c r="R144" s="503">
        <v>4</v>
      </c>
      <c r="S144" s="503"/>
      <c r="T144" s="503"/>
      <c r="U144" s="503"/>
      <c r="V144" s="503">
        <v>5</v>
      </c>
      <c r="W144" s="503"/>
      <c r="X144" s="503"/>
      <c r="Y144" s="503"/>
      <c r="Z144" s="503">
        <v>6</v>
      </c>
      <c r="AA144" s="503"/>
      <c r="AB144" s="503"/>
      <c r="AC144" s="531"/>
      <c r="AD144" s="530">
        <v>7</v>
      </c>
      <c r="AE144" s="503"/>
      <c r="AF144" s="503"/>
      <c r="AG144" s="503"/>
      <c r="AH144" s="503"/>
      <c r="AI144" s="531"/>
      <c r="AJ144" s="532">
        <v>8</v>
      </c>
      <c r="AK144" s="533"/>
      <c r="AL144" s="533"/>
      <c r="AM144" s="533"/>
      <c r="AN144" s="533"/>
      <c r="AO144" s="533"/>
      <c r="AP144" s="534"/>
      <c r="AQ144" s="503">
        <v>9</v>
      </c>
      <c r="AR144" s="503"/>
      <c r="AS144" s="503"/>
      <c r="AT144" s="503"/>
      <c r="AU144" s="503">
        <v>10</v>
      </c>
      <c r="AV144" s="503"/>
      <c r="AW144" s="503"/>
      <c r="AX144" s="503"/>
      <c r="AY144" s="503">
        <v>11</v>
      </c>
      <c r="AZ144" s="503"/>
      <c r="BA144" s="503"/>
      <c r="BB144" s="504"/>
    </row>
    <row r="145" spans="1:107" ht="24.75" customHeight="1" x14ac:dyDescent="0.2">
      <c r="A145" s="505" t="s">
        <v>70</v>
      </c>
      <c r="B145" s="506"/>
      <c r="C145" s="506"/>
      <c r="D145" s="506"/>
      <c r="E145" s="506"/>
      <c r="F145" s="506"/>
      <c r="G145" s="506"/>
      <c r="H145" s="507">
        <f>AO89/V145</f>
        <v>42.785166666666669</v>
      </c>
      <c r="I145" s="507"/>
      <c r="J145" s="507"/>
      <c r="K145" s="507"/>
      <c r="L145" s="507"/>
      <c r="M145" s="507">
        <f>H145</f>
        <v>42.785166666666669</v>
      </c>
      <c r="N145" s="507"/>
      <c r="O145" s="507"/>
      <c r="P145" s="507"/>
      <c r="Q145" s="507"/>
      <c r="R145" s="508">
        <f>U13</f>
        <v>28</v>
      </c>
      <c r="S145" s="509"/>
      <c r="T145" s="509"/>
      <c r="U145" s="510"/>
      <c r="V145" s="517">
        <f>Y17</f>
        <v>12</v>
      </c>
      <c r="W145" s="517"/>
      <c r="X145" s="517"/>
      <c r="Y145" s="517"/>
      <c r="Z145" s="517">
        <f>U17</f>
        <v>2</v>
      </c>
      <c r="AA145" s="517"/>
      <c r="AB145" s="517"/>
      <c r="AC145" s="517"/>
      <c r="AD145" s="520" t="s">
        <v>71</v>
      </c>
      <c r="AE145" s="521"/>
      <c r="AF145" s="521"/>
      <c r="AG145" s="521"/>
      <c r="AH145" s="521"/>
      <c r="AI145" s="522"/>
      <c r="AJ145" s="523"/>
      <c r="AK145" s="524"/>
      <c r="AL145" s="524"/>
      <c r="AM145" s="524"/>
      <c r="AN145" s="524"/>
      <c r="AO145" s="524"/>
      <c r="AP145" s="525"/>
      <c r="AQ145" s="507">
        <f>H145*8</f>
        <v>342.28133333333335</v>
      </c>
      <c r="AR145" s="507"/>
      <c r="AS145" s="507"/>
      <c r="AT145" s="507"/>
      <c r="AU145" s="507">
        <f>M145*2</f>
        <v>85.570333333333338</v>
      </c>
      <c r="AV145" s="507"/>
      <c r="AW145" s="507"/>
      <c r="AX145" s="507"/>
      <c r="AY145" s="507">
        <f>H145*R145</f>
        <v>1197.9846666666667</v>
      </c>
      <c r="AZ145" s="507"/>
      <c r="BA145" s="507"/>
      <c r="BB145" s="526"/>
    </row>
    <row r="146" spans="1:107" ht="29.25" customHeight="1" x14ac:dyDescent="0.2">
      <c r="A146" s="527" t="s">
        <v>72</v>
      </c>
      <c r="B146" s="528"/>
      <c r="C146" s="528"/>
      <c r="D146" s="528"/>
      <c r="E146" s="528"/>
      <c r="F146" s="528"/>
      <c r="G146" s="528"/>
      <c r="H146" s="529">
        <f>AV99</f>
        <v>13.862737403450861</v>
      </c>
      <c r="I146" s="529"/>
      <c r="J146" s="529"/>
      <c r="K146" s="529"/>
      <c r="L146" s="529"/>
      <c r="M146" s="477">
        <f t="shared" ref="M146:M148" si="3">H146</f>
        <v>13.862737403450861</v>
      </c>
      <c r="N146" s="477"/>
      <c r="O146" s="477"/>
      <c r="P146" s="477"/>
      <c r="Q146" s="477"/>
      <c r="R146" s="511"/>
      <c r="S146" s="512"/>
      <c r="T146" s="512"/>
      <c r="U146" s="513"/>
      <c r="V146" s="518"/>
      <c r="W146" s="518"/>
      <c r="X146" s="518"/>
      <c r="Y146" s="518"/>
      <c r="Z146" s="518"/>
      <c r="AA146" s="518"/>
      <c r="AB146" s="518"/>
      <c r="AC146" s="518"/>
      <c r="AD146" s="477" t="s">
        <v>71</v>
      </c>
      <c r="AE146" s="477"/>
      <c r="AF146" s="477"/>
      <c r="AG146" s="477"/>
      <c r="AH146" s="477"/>
      <c r="AI146" s="477"/>
      <c r="AJ146" s="478"/>
      <c r="AK146" s="479"/>
      <c r="AL146" s="479"/>
      <c r="AM146" s="479"/>
      <c r="AN146" s="479"/>
      <c r="AO146" s="479"/>
      <c r="AP146" s="480"/>
      <c r="AQ146" s="477">
        <f t="shared" ref="AQ146:AQ148" si="4">H146*8</f>
        <v>110.90189922760689</v>
      </c>
      <c r="AR146" s="477"/>
      <c r="AS146" s="477"/>
      <c r="AT146" s="477"/>
      <c r="AU146" s="477">
        <f t="shared" ref="AU146:AU148" si="5">M146*2</f>
        <v>27.725474806901723</v>
      </c>
      <c r="AV146" s="477"/>
      <c r="AW146" s="477"/>
      <c r="AX146" s="477"/>
      <c r="AY146" s="477">
        <f>H146*R145</f>
        <v>388.1566472966241</v>
      </c>
      <c r="AZ146" s="477"/>
      <c r="BA146" s="477"/>
      <c r="BB146" s="481"/>
    </row>
    <row r="147" spans="1:107" ht="15" customHeight="1" x14ac:dyDescent="0.2">
      <c r="A147" s="527" t="s">
        <v>73</v>
      </c>
      <c r="B147" s="528"/>
      <c r="C147" s="528"/>
      <c r="D147" s="528"/>
      <c r="E147" s="528"/>
      <c r="F147" s="528"/>
      <c r="G147" s="528"/>
      <c r="H147" s="529">
        <f>AU126</f>
        <v>193.35214285714284</v>
      </c>
      <c r="I147" s="529"/>
      <c r="J147" s="529"/>
      <c r="K147" s="529"/>
      <c r="L147" s="529"/>
      <c r="M147" s="477">
        <f t="shared" si="3"/>
        <v>193.35214285714284</v>
      </c>
      <c r="N147" s="477"/>
      <c r="O147" s="477"/>
      <c r="P147" s="477"/>
      <c r="Q147" s="477"/>
      <c r="R147" s="511"/>
      <c r="S147" s="512"/>
      <c r="T147" s="512"/>
      <c r="U147" s="513"/>
      <c r="V147" s="518"/>
      <c r="W147" s="518"/>
      <c r="X147" s="518"/>
      <c r="Y147" s="518"/>
      <c r="Z147" s="518"/>
      <c r="AA147" s="518"/>
      <c r="AB147" s="518"/>
      <c r="AC147" s="518"/>
      <c r="AD147" s="477" t="s">
        <v>71</v>
      </c>
      <c r="AE147" s="477"/>
      <c r="AF147" s="477"/>
      <c r="AG147" s="477"/>
      <c r="AH147" s="477"/>
      <c r="AI147" s="477"/>
      <c r="AJ147" s="478"/>
      <c r="AK147" s="479"/>
      <c r="AL147" s="479"/>
      <c r="AM147" s="479"/>
      <c r="AN147" s="479"/>
      <c r="AO147" s="479"/>
      <c r="AP147" s="480"/>
      <c r="AQ147" s="477">
        <f t="shared" si="4"/>
        <v>1546.8171428571427</v>
      </c>
      <c r="AR147" s="477"/>
      <c r="AS147" s="477"/>
      <c r="AT147" s="477"/>
      <c r="AU147" s="477">
        <f t="shared" si="5"/>
        <v>386.70428571428567</v>
      </c>
      <c r="AV147" s="477"/>
      <c r="AW147" s="477"/>
      <c r="AX147" s="477"/>
      <c r="AY147" s="477">
        <f>H147*R145</f>
        <v>5413.86</v>
      </c>
      <c r="AZ147" s="477"/>
      <c r="BA147" s="477"/>
      <c r="BB147" s="481"/>
    </row>
    <row r="148" spans="1:107" ht="26.25" customHeight="1" thickBot="1" x14ac:dyDescent="0.25">
      <c r="A148" s="494" t="s">
        <v>74</v>
      </c>
      <c r="B148" s="495"/>
      <c r="C148" s="495"/>
      <c r="D148" s="495"/>
      <c r="E148" s="495"/>
      <c r="F148" s="495"/>
      <c r="G148" s="495"/>
      <c r="H148" s="483">
        <f>AU138</f>
        <v>0</v>
      </c>
      <c r="I148" s="483"/>
      <c r="J148" s="483"/>
      <c r="K148" s="483"/>
      <c r="L148" s="483"/>
      <c r="M148" s="482">
        <f t="shared" si="3"/>
        <v>0</v>
      </c>
      <c r="N148" s="482"/>
      <c r="O148" s="482"/>
      <c r="P148" s="482"/>
      <c r="Q148" s="482"/>
      <c r="R148" s="514"/>
      <c r="S148" s="515"/>
      <c r="T148" s="515"/>
      <c r="U148" s="516"/>
      <c r="V148" s="519"/>
      <c r="W148" s="519"/>
      <c r="X148" s="519"/>
      <c r="Y148" s="519"/>
      <c r="Z148" s="519"/>
      <c r="AA148" s="519"/>
      <c r="AB148" s="519"/>
      <c r="AC148" s="519"/>
      <c r="AD148" s="482" t="s">
        <v>71</v>
      </c>
      <c r="AE148" s="482"/>
      <c r="AF148" s="482"/>
      <c r="AG148" s="482"/>
      <c r="AH148" s="482"/>
      <c r="AI148" s="482"/>
      <c r="AJ148" s="496" t="s">
        <v>17</v>
      </c>
      <c r="AK148" s="497"/>
      <c r="AL148" s="497"/>
      <c r="AM148" s="497"/>
      <c r="AN148" s="497"/>
      <c r="AO148" s="497"/>
      <c r="AP148" s="498"/>
      <c r="AQ148" s="482">
        <f t="shared" si="4"/>
        <v>0</v>
      </c>
      <c r="AR148" s="482"/>
      <c r="AS148" s="482"/>
      <c r="AT148" s="482"/>
      <c r="AU148" s="482">
        <f t="shared" si="5"/>
        <v>0</v>
      </c>
      <c r="AV148" s="482"/>
      <c r="AW148" s="482"/>
      <c r="AX148" s="482"/>
      <c r="AY148" s="483">
        <f>H148*R145</f>
        <v>0</v>
      </c>
      <c r="AZ148" s="483"/>
      <c r="BA148" s="483"/>
      <c r="BB148" s="484"/>
    </row>
    <row r="149" spans="1:107" ht="25.5" customHeight="1" x14ac:dyDescent="0.2">
      <c r="A149" s="485" t="s">
        <v>80</v>
      </c>
      <c r="B149" s="486"/>
      <c r="C149" s="486"/>
      <c r="D149" s="486"/>
      <c r="E149" s="486"/>
      <c r="F149" s="486"/>
      <c r="G149" s="487"/>
      <c r="H149" s="488">
        <f>SUM(H145:L148)</f>
        <v>250.00004692726037</v>
      </c>
      <c r="I149" s="488"/>
      <c r="J149" s="488"/>
      <c r="K149" s="488"/>
      <c r="L149" s="488"/>
      <c r="M149" s="488">
        <f>SUM(M145:Q148)</f>
        <v>250.00004692726037</v>
      </c>
      <c r="N149" s="488"/>
      <c r="O149" s="488"/>
      <c r="P149" s="488"/>
      <c r="Q149" s="488"/>
      <c r="R149" s="489">
        <f>R145</f>
        <v>28</v>
      </c>
      <c r="S149" s="489"/>
      <c r="T149" s="489"/>
      <c r="U149" s="489"/>
      <c r="V149" s="490">
        <f>V145</f>
        <v>12</v>
      </c>
      <c r="W149" s="490"/>
      <c r="X149" s="490"/>
      <c r="Y149" s="490"/>
      <c r="Z149" s="490">
        <f>Z145</f>
        <v>2</v>
      </c>
      <c r="AA149" s="490"/>
      <c r="AB149" s="490"/>
      <c r="AC149" s="490"/>
      <c r="AD149" s="488" t="s">
        <v>17</v>
      </c>
      <c r="AE149" s="488"/>
      <c r="AF149" s="488"/>
      <c r="AG149" s="488"/>
      <c r="AH149" s="488"/>
      <c r="AI149" s="488"/>
      <c r="AJ149" s="491" t="s">
        <v>17</v>
      </c>
      <c r="AK149" s="492"/>
      <c r="AL149" s="492"/>
      <c r="AM149" s="492"/>
      <c r="AN149" s="492"/>
      <c r="AO149" s="492"/>
      <c r="AP149" s="493"/>
      <c r="AQ149" s="453">
        <f>SUM(AQ145:AT148)</f>
        <v>2000.000375418083</v>
      </c>
      <c r="AR149" s="453"/>
      <c r="AS149" s="453"/>
      <c r="AT149" s="453"/>
      <c r="AU149" s="453">
        <f>SUM(AU145:AX148)</f>
        <v>500.00009385452074</v>
      </c>
      <c r="AV149" s="453"/>
      <c r="AW149" s="453"/>
      <c r="AX149" s="453"/>
      <c r="AY149" s="453">
        <f>SUM(AY145:BB148)</f>
        <v>7000.0013139632902</v>
      </c>
      <c r="AZ149" s="453"/>
      <c r="BA149" s="453"/>
      <c r="BB149" s="454"/>
    </row>
    <row r="150" spans="1:107" ht="30.75" customHeight="1" x14ac:dyDescent="0.2">
      <c r="A150" s="455" t="s">
        <v>75</v>
      </c>
      <c r="B150" s="456"/>
      <c r="C150" s="456"/>
      <c r="D150" s="456"/>
      <c r="E150" s="456"/>
      <c r="F150" s="456"/>
      <c r="G150" s="215">
        <v>0.4</v>
      </c>
      <c r="H150" s="457">
        <f>H149*G150</f>
        <v>100.00001877090415</v>
      </c>
      <c r="I150" s="457"/>
      <c r="J150" s="457"/>
      <c r="K150" s="457"/>
      <c r="L150" s="457"/>
      <c r="M150" s="457">
        <f>M149*G150</f>
        <v>100.00001877090415</v>
      </c>
      <c r="N150" s="457"/>
      <c r="O150" s="457"/>
      <c r="P150" s="457"/>
      <c r="Q150" s="457"/>
      <c r="R150" s="458">
        <f>R145</f>
        <v>28</v>
      </c>
      <c r="S150" s="459"/>
      <c r="T150" s="459"/>
      <c r="U150" s="460"/>
      <c r="V150" s="461">
        <f>V145</f>
        <v>12</v>
      </c>
      <c r="W150" s="459"/>
      <c r="X150" s="459"/>
      <c r="Y150" s="460"/>
      <c r="Z150" s="461">
        <f>Z145</f>
        <v>2</v>
      </c>
      <c r="AA150" s="459"/>
      <c r="AB150" s="459"/>
      <c r="AC150" s="460"/>
      <c r="AD150" s="462" t="s">
        <v>17</v>
      </c>
      <c r="AE150" s="462"/>
      <c r="AF150" s="462"/>
      <c r="AG150" s="462"/>
      <c r="AH150" s="462"/>
      <c r="AI150" s="462"/>
      <c r="AJ150" s="462" t="s">
        <v>17</v>
      </c>
      <c r="AK150" s="462"/>
      <c r="AL150" s="462"/>
      <c r="AM150" s="462"/>
      <c r="AN150" s="462"/>
      <c r="AO150" s="462"/>
      <c r="AP150" s="462"/>
      <c r="AQ150" s="466">
        <f>AQ149*G150</f>
        <v>800.00015016723319</v>
      </c>
      <c r="AR150" s="466"/>
      <c r="AS150" s="466"/>
      <c r="AT150" s="466"/>
      <c r="AU150" s="466">
        <f>AU149*G150</f>
        <v>200.0000375418083</v>
      </c>
      <c r="AV150" s="466"/>
      <c r="AW150" s="466"/>
      <c r="AX150" s="466"/>
      <c r="AY150" s="466">
        <f>AY149*G150</f>
        <v>2800.0005255853162</v>
      </c>
      <c r="AZ150" s="466"/>
      <c r="BA150" s="466"/>
      <c r="BB150" s="467"/>
    </row>
    <row r="151" spans="1:107" ht="30.75" customHeight="1" thickBot="1" x14ac:dyDescent="0.25">
      <c r="A151" s="468" t="s">
        <v>81</v>
      </c>
      <c r="B151" s="469"/>
      <c r="C151" s="469"/>
      <c r="D151" s="469"/>
      <c r="E151" s="469"/>
      <c r="F151" s="469"/>
      <c r="G151" s="470"/>
      <c r="H151" s="464">
        <f>H149+H150</f>
        <v>350.00006569816452</v>
      </c>
      <c r="I151" s="464"/>
      <c r="J151" s="464"/>
      <c r="K151" s="464"/>
      <c r="L151" s="464"/>
      <c r="M151" s="471">
        <f>M149+M150</f>
        <v>350.00006569816452</v>
      </c>
      <c r="N151" s="472"/>
      <c r="O151" s="472"/>
      <c r="P151" s="472"/>
      <c r="Q151" s="473"/>
      <c r="R151" s="471">
        <f>R145</f>
        <v>28</v>
      </c>
      <c r="S151" s="472"/>
      <c r="T151" s="472"/>
      <c r="U151" s="473"/>
      <c r="V151" s="474">
        <f>V145</f>
        <v>12</v>
      </c>
      <c r="W151" s="475"/>
      <c r="X151" s="475"/>
      <c r="Y151" s="476"/>
      <c r="Z151" s="474">
        <f>Z145</f>
        <v>2</v>
      </c>
      <c r="AA151" s="475"/>
      <c r="AB151" s="475"/>
      <c r="AC151" s="476"/>
      <c r="AD151" s="463" t="s">
        <v>17</v>
      </c>
      <c r="AE151" s="463"/>
      <c r="AF151" s="463"/>
      <c r="AG151" s="463"/>
      <c r="AH151" s="463"/>
      <c r="AI151" s="463"/>
      <c r="AJ151" s="463" t="s">
        <v>17</v>
      </c>
      <c r="AK151" s="463"/>
      <c r="AL151" s="463"/>
      <c r="AM151" s="463"/>
      <c r="AN151" s="463"/>
      <c r="AO151" s="463"/>
      <c r="AP151" s="463"/>
      <c r="AQ151" s="464">
        <f>AQ149+AQ150</f>
        <v>2800.0005255853162</v>
      </c>
      <c r="AR151" s="464"/>
      <c r="AS151" s="464"/>
      <c r="AT151" s="464"/>
      <c r="AU151" s="464">
        <f>AU149+AU150</f>
        <v>700.00013139632904</v>
      </c>
      <c r="AV151" s="464"/>
      <c r="AW151" s="464"/>
      <c r="AX151" s="464"/>
      <c r="AY151" s="464">
        <f>AY149+AY150</f>
        <v>9800.0018395486059</v>
      </c>
      <c r="AZ151" s="464"/>
      <c r="BA151" s="464"/>
      <c r="BB151" s="465"/>
      <c r="BE151" s="216"/>
      <c r="BF151" s="216"/>
    </row>
    <row r="152" spans="1:107" ht="16.5" customHeight="1" x14ac:dyDescent="0.2">
      <c r="BC152" s="432"/>
      <c r="BD152" s="432"/>
      <c r="BE152" s="216"/>
      <c r="BF152" s="216"/>
      <c r="BG152" s="216"/>
      <c r="BH152" s="216"/>
      <c r="BI152" s="216"/>
    </row>
    <row r="153" spans="1:107" ht="12" customHeight="1" x14ac:dyDescent="0.2">
      <c r="BC153" s="432"/>
      <c r="BD153" s="432"/>
      <c r="BE153" s="216"/>
      <c r="BF153" s="216"/>
    </row>
    <row r="154" spans="1:107" ht="14.25" customHeight="1" x14ac:dyDescent="0.2">
      <c r="B154" s="452" t="s">
        <v>221</v>
      </c>
      <c r="C154" s="452"/>
      <c r="D154" s="452"/>
      <c r="E154" s="452"/>
      <c r="F154" s="452"/>
      <c r="G154" s="452"/>
      <c r="H154" s="452"/>
      <c r="I154" s="452"/>
      <c r="J154" s="452"/>
      <c r="K154" s="452"/>
      <c r="L154" s="452"/>
      <c r="M154" s="452"/>
      <c r="N154" s="452"/>
      <c r="O154" s="452"/>
      <c r="P154" s="452"/>
      <c r="Q154" s="452"/>
      <c r="R154" s="452"/>
      <c r="S154" s="452"/>
      <c r="U154" s="164"/>
      <c r="V154" s="164"/>
      <c r="W154" s="164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M154" s="442" t="s">
        <v>222</v>
      </c>
      <c r="AN154" s="763"/>
      <c r="AO154" s="763"/>
      <c r="AP154" s="763"/>
      <c r="AQ154" s="763"/>
      <c r="AR154" s="763"/>
      <c r="AS154" s="763"/>
      <c r="AT154" s="763"/>
      <c r="AU154" s="763"/>
      <c r="AV154" s="763"/>
      <c r="AW154" s="763"/>
      <c r="AX154" s="763"/>
      <c r="AY154" s="763"/>
      <c r="AZ154" s="763"/>
      <c r="BA154" s="763"/>
      <c r="BB154" s="763"/>
      <c r="BC154" s="442"/>
      <c r="BD154" s="442"/>
      <c r="BE154" s="216"/>
      <c r="BF154" s="216"/>
    </row>
    <row r="155" spans="1:107" ht="8.25" customHeight="1" x14ac:dyDescent="0.2">
      <c r="B155" s="452" t="s">
        <v>78</v>
      </c>
      <c r="C155" s="452"/>
      <c r="D155" s="452"/>
      <c r="E155" s="452"/>
      <c r="F155" s="452"/>
      <c r="G155" s="452"/>
      <c r="H155" s="452"/>
      <c r="I155" s="452"/>
      <c r="J155" s="452"/>
      <c r="K155" s="452"/>
      <c r="L155" s="452"/>
      <c r="M155" s="452"/>
      <c r="N155" s="452"/>
      <c r="O155" s="452"/>
      <c r="P155" s="452"/>
      <c r="Q155" s="452"/>
      <c r="R155" s="452"/>
      <c r="S155" s="452"/>
      <c r="AM155" s="394"/>
      <c r="AN155" s="394"/>
      <c r="AO155" s="394"/>
      <c r="AP155" s="394"/>
      <c r="AQ155" s="394"/>
      <c r="AR155" s="394"/>
      <c r="AS155" s="394"/>
      <c r="AT155" s="394"/>
      <c r="AU155" s="394"/>
      <c r="AV155" s="394"/>
      <c r="AW155" s="394"/>
      <c r="AX155" s="394"/>
      <c r="AY155" s="394"/>
      <c r="AZ155" s="394"/>
      <c r="BA155" s="394"/>
      <c r="BB155" s="394"/>
      <c r="BC155" s="394"/>
      <c r="BD155" s="219"/>
    </row>
    <row r="156" spans="1:107" ht="18.75" customHeight="1" x14ac:dyDescent="0.25">
      <c r="B156" s="452"/>
      <c r="C156" s="452"/>
      <c r="D156" s="452"/>
      <c r="E156" s="452"/>
      <c r="F156" s="452"/>
      <c r="G156" s="452"/>
      <c r="H156" s="452"/>
      <c r="I156" s="452"/>
      <c r="J156" s="452"/>
      <c r="K156" s="452"/>
      <c r="L156" s="452"/>
      <c r="M156" s="452"/>
      <c r="N156" s="452"/>
      <c r="O156" s="452"/>
      <c r="P156" s="452"/>
      <c r="Q156" s="452"/>
      <c r="R156" s="452"/>
      <c r="S156" s="452"/>
      <c r="U156" s="164"/>
      <c r="V156" s="164"/>
      <c r="W156" s="164"/>
      <c r="X156" s="217"/>
      <c r="Y156" s="217"/>
      <c r="Z156" s="217"/>
      <c r="AA156" s="217"/>
      <c r="AB156" s="217"/>
      <c r="AC156" s="217"/>
      <c r="AD156" s="217"/>
      <c r="AE156" s="217"/>
      <c r="AF156" s="217"/>
      <c r="AG156" s="217"/>
      <c r="AH156" s="217"/>
      <c r="AI156" s="217"/>
      <c r="AJ156" s="217"/>
      <c r="AK156" s="217"/>
      <c r="AM156" s="442" t="s">
        <v>418</v>
      </c>
      <c r="AN156" s="443"/>
      <c r="AO156" s="443"/>
      <c r="AP156" s="443"/>
      <c r="AQ156" s="443"/>
      <c r="AR156" s="443"/>
      <c r="AS156" s="443"/>
      <c r="AT156" s="443"/>
      <c r="AU156" s="443"/>
      <c r="AV156" s="443"/>
      <c r="AW156" s="443"/>
      <c r="AX156" s="443"/>
      <c r="AY156" s="443"/>
      <c r="AZ156" s="443"/>
      <c r="BA156" s="443"/>
      <c r="BB156" s="443"/>
      <c r="BC156" s="394"/>
      <c r="BD156" s="219"/>
      <c r="BG156" s="216"/>
      <c r="CI156" s="216"/>
    </row>
    <row r="157" spans="1:107" ht="0.75" hidden="1" customHeight="1" x14ac:dyDescent="0.2">
      <c r="BE157" s="432" t="s">
        <v>234</v>
      </c>
      <c r="BF157" s="432"/>
      <c r="BG157" s="432"/>
      <c r="BH157" s="432"/>
      <c r="BI157" s="432"/>
      <c r="BJ157" s="432"/>
      <c r="BK157" s="432"/>
      <c r="BL157" s="432"/>
      <c r="BM157" s="432"/>
      <c r="BN157" s="432"/>
      <c r="BO157" s="432"/>
      <c r="BP157" s="432"/>
      <c r="BQ157" s="432"/>
      <c r="BR157" s="432"/>
      <c r="BS157" s="432"/>
      <c r="BT157" s="432"/>
      <c r="BU157" s="432"/>
      <c r="BV157" s="432"/>
      <c r="BW157" s="432"/>
      <c r="BX157" s="432"/>
      <c r="BY157" s="432"/>
      <c r="BZ157" s="432"/>
      <c r="CA157" s="432"/>
      <c r="CG157" s="432" t="s">
        <v>235</v>
      </c>
      <c r="CH157" s="432"/>
      <c r="CI157" s="432"/>
      <c r="CJ157" s="432"/>
      <c r="CK157" s="432"/>
      <c r="CL157" s="432"/>
      <c r="CM157" s="432"/>
      <c r="CN157" s="432"/>
      <c r="CO157" s="432"/>
      <c r="CP157" s="432"/>
      <c r="CQ157" s="432"/>
      <c r="CR157" s="432"/>
      <c r="CS157" s="432"/>
      <c r="CT157" s="432"/>
      <c r="CU157" s="432"/>
      <c r="CV157" s="432"/>
      <c r="CW157" s="432"/>
      <c r="CX157" s="432"/>
      <c r="CY157" s="432"/>
      <c r="CZ157" s="432"/>
      <c r="DA157" s="432"/>
      <c r="DB157" s="432"/>
      <c r="DC157" s="432"/>
    </row>
    <row r="158" spans="1:107" ht="0.75" hidden="1" customHeight="1" x14ac:dyDescent="0.2"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</row>
    <row r="159" spans="1:107" ht="13.5" hidden="1" customHeight="1" x14ac:dyDescent="0.2">
      <c r="A159" s="219" t="s">
        <v>125</v>
      </c>
      <c r="B159" s="219"/>
      <c r="C159" s="219"/>
      <c r="D159" s="219"/>
      <c r="BE159" s="432" t="s">
        <v>126</v>
      </c>
      <c r="BF159" s="432"/>
      <c r="BG159" s="432"/>
      <c r="BH159" s="433">
        <f>280*36</f>
        <v>10080</v>
      </c>
      <c r="BI159" s="433"/>
      <c r="BJ159" s="433"/>
      <c r="BK159" s="433"/>
      <c r="BL159" s="433"/>
      <c r="BM159" s="220" t="s">
        <v>127</v>
      </c>
      <c r="BN159" s="220"/>
      <c r="BO159" s="220"/>
      <c r="BP159" s="220"/>
      <c r="BQ159" s="220"/>
      <c r="BR159" s="220"/>
      <c r="BS159" s="220"/>
      <c r="BT159" s="220"/>
      <c r="CG159" s="432" t="s">
        <v>126</v>
      </c>
      <c r="CH159" s="432"/>
      <c r="CI159" s="432"/>
      <c r="CJ159" s="433">
        <f>280*28</f>
        <v>7840</v>
      </c>
      <c r="CK159" s="433"/>
      <c r="CL159" s="433"/>
      <c r="CM159" s="433"/>
      <c r="CN159" s="433"/>
      <c r="CO159" s="220" t="s">
        <v>127</v>
      </c>
      <c r="CP159" s="220"/>
      <c r="CQ159" s="220"/>
      <c r="CR159" s="220"/>
      <c r="CS159" s="220"/>
      <c r="CT159" s="220"/>
      <c r="CU159" s="220"/>
      <c r="CV159" s="220"/>
    </row>
    <row r="160" spans="1:107" ht="16.5" hidden="1" customHeight="1" x14ac:dyDescent="0.2">
      <c r="A160" s="221"/>
      <c r="B160" s="221"/>
      <c r="C160" s="221"/>
      <c r="D160" s="221"/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BE160" s="434">
        <v>0.6</v>
      </c>
      <c r="BF160" s="432"/>
      <c r="BG160" s="432"/>
      <c r="BH160" s="216">
        <f>BH159*BE160</f>
        <v>6048</v>
      </c>
      <c r="BI160" s="432" t="s">
        <v>128</v>
      </c>
      <c r="BJ160" s="432"/>
      <c r="BK160" s="432"/>
      <c r="BL160" s="432"/>
      <c r="BM160" s="432"/>
      <c r="BN160" s="432" t="s">
        <v>129</v>
      </c>
      <c r="BO160" s="432"/>
      <c r="BP160" s="432"/>
      <c r="BQ160" s="432"/>
      <c r="BR160" s="432"/>
      <c r="BS160" s="432"/>
      <c r="BT160" s="432"/>
      <c r="CG160" s="434">
        <v>0.6</v>
      </c>
      <c r="CH160" s="432"/>
      <c r="CI160" s="432"/>
      <c r="CJ160" s="216">
        <f>CJ159*CG160</f>
        <v>4704</v>
      </c>
      <c r="CK160" s="432" t="s">
        <v>128</v>
      </c>
      <c r="CL160" s="432"/>
      <c r="CM160" s="432"/>
      <c r="CN160" s="432"/>
      <c r="CO160" s="432"/>
      <c r="CP160" s="432" t="s">
        <v>129</v>
      </c>
      <c r="CQ160" s="432"/>
      <c r="CR160" s="432"/>
      <c r="CS160" s="432"/>
      <c r="CT160" s="432"/>
      <c r="CU160" s="432"/>
      <c r="CV160" s="432"/>
    </row>
    <row r="161" spans="1:107" ht="27.75" hidden="1" customHeight="1" x14ac:dyDescent="0.25">
      <c r="A161" s="222"/>
      <c r="B161" s="222"/>
      <c r="C161" s="222"/>
      <c r="D161" s="222"/>
      <c r="E161" s="222"/>
      <c r="F161" s="222"/>
      <c r="G161" s="222">
        <v>280</v>
      </c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22"/>
      <c r="AD161" s="222"/>
      <c r="AE161" s="222"/>
      <c r="AF161" s="222"/>
      <c r="AG161" s="222"/>
      <c r="AH161" s="222"/>
      <c r="AI161" s="222"/>
      <c r="AJ161" s="222"/>
      <c r="AK161" s="222"/>
      <c r="AL161" s="222"/>
      <c r="AM161" s="222"/>
      <c r="AN161" s="222"/>
      <c r="AO161" s="222"/>
      <c r="AP161" s="222"/>
      <c r="AQ161" s="222"/>
      <c r="AR161" s="222"/>
      <c r="AS161" s="222"/>
      <c r="BE161" s="432">
        <v>211</v>
      </c>
      <c r="BF161" s="432"/>
      <c r="BG161" s="432"/>
      <c r="BH161" s="216">
        <f>BH160-BH162</f>
        <v>4645.1612903225805</v>
      </c>
      <c r="BI161" s="435">
        <f>BH161*0.1</f>
        <v>464.51612903225805</v>
      </c>
      <c r="BJ161" s="435"/>
      <c r="BK161" s="435"/>
      <c r="BL161" s="435"/>
      <c r="BM161" s="435"/>
      <c r="BN161" s="435">
        <f>BH161-BI161</f>
        <v>4180.645161290322</v>
      </c>
      <c r="BO161" s="432"/>
      <c r="BP161" s="432"/>
      <c r="BQ161" s="432"/>
      <c r="BR161" s="432"/>
      <c r="BS161" s="432"/>
      <c r="BT161" s="432"/>
      <c r="CG161" s="432">
        <v>211</v>
      </c>
      <c r="CH161" s="432"/>
      <c r="CI161" s="432"/>
      <c r="CJ161" s="216">
        <f>CJ160-CJ162</f>
        <v>3612.9032258064517</v>
      </c>
      <c r="CK161" s="435">
        <f>CJ161*0.1</f>
        <v>361.29032258064518</v>
      </c>
      <c r="CL161" s="435"/>
      <c r="CM161" s="435"/>
      <c r="CN161" s="435"/>
      <c r="CO161" s="435"/>
      <c r="CP161" s="435">
        <f>CJ161-CK161</f>
        <v>3251.6129032258063</v>
      </c>
      <c r="CQ161" s="432"/>
      <c r="CR161" s="432"/>
      <c r="CS161" s="432"/>
      <c r="CT161" s="432"/>
      <c r="CU161" s="432"/>
      <c r="CV161" s="432"/>
    </row>
    <row r="162" spans="1:107" ht="17.25" hidden="1" customHeight="1" x14ac:dyDescent="0.2">
      <c r="G162" s="216">
        <f>G161-H151</f>
        <v>-70.000065698164519</v>
      </c>
      <c r="BE162" s="432">
        <v>213</v>
      </c>
      <c r="BF162" s="432"/>
      <c r="BG162" s="432"/>
      <c r="BH162" s="216">
        <f>BH160*30.2/130.2</f>
        <v>1402.8387096774195</v>
      </c>
      <c r="BI162" s="435">
        <f>BI161*30.2%</f>
        <v>140.28387096774193</v>
      </c>
      <c r="BJ162" s="435"/>
      <c r="BK162" s="435"/>
      <c r="BL162" s="435"/>
      <c r="BM162" s="435"/>
      <c r="BN162" s="435">
        <f>BN161*30.2%</f>
        <v>1262.5548387096771</v>
      </c>
      <c r="BO162" s="435"/>
      <c r="BP162" s="435"/>
      <c r="BQ162" s="435"/>
      <c r="BR162" s="435"/>
      <c r="BS162" s="435"/>
      <c r="BT162" s="435"/>
      <c r="CG162" s="432">
        <v>213</v>
      </c>
      <c r="CH162" s="432"/>
      <c r="CI162" s="432"/>
      <c r="CJ162" s="216">
        <f>CJ160*30.2/130.2</f>
        <v>1091.0967741935483</v>
      </c>
      <c r="CK162" s="435">
        <f>CK161*30.2%</f>
        <v>109.10967741935484</v>
      </c>
      <c r="CL162" s="435"/>
      <c r="CM162" s="435"/>
      <c r="CN162" s="435"/>
      <c r="CO162" s="435"/>
      <c r="CP162" s="435">
        <f>CP161*30.2%</f>
        <v>981.98709677419345</v>
      </c>
      <c r="CQ162" s="435"/>
      <c r="CR162" s="435"/>
      <c r="CS162" s="435"/>
      <c r="CT162" s="435"/>
      <c r="CU162" s="435"/>
      <c r="CV162" s="435"/>
    </row>
    <row r="163" spans="1:107" ht="0.75" hidden="1" customHeight="1" x14ac:dyDescent="0.2"/>
    <row r="164" spans="1:107" ht="8.25" hidden="1" customHeight="1" x14ac:dyDescent="0.2"/>
    <row r="165" spans="1:107" ht="0.75" hidden="1" customHeight="1" x14ac:dyDescent="0.2">
      <c r="Z165" s="223"/>
      <c r="AA165" s="223"/>
      <c r="AB165" s="223"/>
      <c r="AC165" s="223"/>
      <c r="AD165" s="223"/>
      <c r="AE165" s="223"/>
      <c r="AF165" s="223"/>
      <c r="AG165" s="223"/>
    </row>
    <row r="166" spans="1:107" ht="21.75" hidden="1" customHeight="1" x14ac:dyDescent="0.2">
      <c r="BE166" s="432" t="s">
        <v>245</v>
      </c>
      <c r="BF166" s="432"/>
      <c r="BG166" s="432"/>
      <c r="BH166" s="432"/>
      <c r="BI166" s="432"/>
      <c r="BJ166" s="432"/>
      <c r="BK166" s="432"/>
      <c r="BL166" s="432"/>
      <c r="BM166" s="432"/>
      <c r="BN166" s="432"/>
      <c r="BO166" s="432"/>
      <c r="BP166" s="432"/>
      <c r="BQ166" s="432"/>
      <c r="BR166" s="432"/>
      <c r="BS166" s="432"/>
      <c r="BT166" s="432"/>
      <c r="BU166" s="432"/>
      <c r="BV166" s="432"/>
      <c r="BW166" s="432"/>
      <c r="BX166" s="432"/>
      <c r="BY166" s="432"/>
      <c r="BZ166" s="432"/>
      <c r="CA166" s="432"/>
      <c r="CG166" s="432"/>
      <c r="CH166" s="432"/>
      <c r="CI166" s="432"/>
      <c r="CJ166" s="432"/>
      <c r="CK166" s="432"/>
      <c r="CL166" s="432"/>
      <c r="CM166" s="432"/>
      <c r="CN166" s="432"/>
      <c r="CO166" s="432"/>
      <c r="CP166" s="432"/>
      <c r="CQ166" s="432"/>
      <c r="CR166" s="432"/>
      <c r="CS166" s="432"/>
      <c r="CT166" s="432"/>
      <c r="CU166" s="432"/>
      <c r="CV166" s="432"/>
      <c r="CW166" s="432"/>
      <c r="CX166" s="432"/>
      <c r="CY166" s="432"/>
      <c r="CZ166" s="432"/>
      <c r="DA166" s="432"/>
      <c r="DB166" s="432"/>
      <c r="DC166" s="432"/>
    </row>
    <row r="167" spans="1:107" ht="23.25" hidden="1" customHeight="1" x14ac:dyDescent="0.2">
      <c r="BE167" s="432" t="s">
        <v>126</v>
      </c>
      <c r="BF167" s="432"/>
      <c r="BG167" s="432"/>
      <c r="BH167" s="433">
        <f>280*41</f>
        <v>11480</v>
      </c>
      <c r="BI167" s="433"/>
      <c r="BJ167" s="433"/>
      <c r="BK167" s="433"/>
      <c r="BL167" s="433"/>
      <c r="BM167" s="220" t="s">
        <v>127</v>
      </c>
      <c r="BN167" s="220"/>
      <c r="BO167" s="220"/>
      <c r="BP167" s="220"/>
      <c r="BQ167" s="220"/>
      <c r="BR167" s="220"/>
      <c r="BS167" s="220"/>
      <c r="BT167" s="220"/>
      <c r="CG167" s="432"/>
      <c r="CH167" s="432"/>
      <c r="CI167" s="432"/>
      <c r="CJ167" s="433"/>
      <c r="CK167" s="433"/>
      <c r="CL167" s="433"/>
      <c r="CM167" s="433"/>
      <c r="CN167" s="433"/>
      <c r="CO167" s="220"/>
      <c r="CP167" s="220"/>
      <c r="CQ167" s="220"/>
      <c r="CR167" s="220"/>
      <c r="CS167" s="220"/>
      <c r="CT167" s="220"/>
      <c r="CU167" s="220"/>
      <c r="CV167" s="220"/>
    </row>
    <row r="168" spans="1:107" ht="27" hidden="1" customHeight="1" x14ac:dyDescent="0.2">
      <c r="BE168" s="434">
        <v>0.6</v>
      </c>
      <c r="BF168" s="432"/>
      <c r="BG168" s="432"/>
      <c r="BH168" s="216">
        <f>BH167*BE168</f>
        <v>6888</v>
      </c>
      <c r="BI168" s="432" t="s">
        <v>128</v>
      </c>
      <c r="BJ168" s="432"/>
      <c r="BK168" s="432"/>
      <c r="BL168" s="432"/>
      <c r="BM168" s="432"/>
      <c r="BN168" s="432" t="s">
        <v>129</v>
      </c>
      <c r="BO168" s="432"/>
      <c r="BP168" s="432"/>
      <c r="BQ168" s="432"/>
      <c r="BR168" s="432"/>
      <c r="BS168" s="432"/>
      <c r="BT168" s="432"/>
      <c r="CG168" s="434"/>
      <c r="CH168" s="432"/>
      <c r="CI168" s="432"/>
      <c r="CJ168" s="216"/>
      <c r="CK168" s="432"/>
      <c r="CL168" s="432"/>
      <c r="CM168" s="432"/>
      <c r="CN168" s="432"/>
      <c r="CO168" s="432"/>
      <c r="CP168" s="432"/>
      <c r="CQ168" s="432"/>
      <c r="CR168" s="432"/>
      <c r="CS168" s="432"/>
      <c r="CT168" s="432"/>
      <c r="CU168" s="432"/>
      <c r="CV168" s="432"/>
    </row>
    <row r="169" spans="1:107" ht="21" hidden="1" customHeight="1" x14ac:dyDescent="0.2">
      <c r="BE169" s="432">
        <v>211</v>
      </c>
      <c r="BF169" s="432"/>
      <c r="BG169" s="432"/>
      <c r="BH169" s="216">
        <f>BH168-BH170</f>
        <v>5290.322580645161</v>
      </c>
      <c r="BI169" s="435">
        <f>BH169*0.1</f>
        <v>529.0322580645161</v>
      </c>
      <c r="BJ169" s="435"/>
      <c r="BK169" s="435"/>
      <c r="BL169" s="435"/>
      <c r="BM169" s="435"/>
      <c r="BN169" s="435">
        <f>BH169-BI169</f>
        <v>4761.2903225806449</v>
      </c>
      <c r="BO169" s="432"/>
      <c r="BP169" s="432"/>
      <c r="BQ169" s="432"/>
      <c r="BR169" s="432"/>
      <c r="BS169" s="432"/>
      <c r="BT169" s="432"/>
      <c r="CG169" s="432"/>
      <c r="CH169" s="432"/>
      <c r="CI169" s="432"/>
      <c r="CJ169" s="216"/>
      <c r="CK169" s="435"/>
      <c r="CL169" s="435"/>
      <c r="CM169" s="435"/>
      <c r="CN169" s="435"/>
      <c r="CO169" s="435"/>
      <c r="CP169" s="435"/>
      <c r="CQ169" s="432"/>
      <c r="CR169" s="432"/>
      <c r="CS169" s="432"/>
      <c r="CT169" s="432"/>
      <c r="CU169" s="432"/>
      <c r="CV169" s="432"/>
    </row>
    <row r="170" spans="1:107" ht="20.25" hidden="1" customHeight="1" x14ac:dyDescent="0.2">
      <c r="BE170" s="432">
        <v>213</v>
      </c>
      <c r="BF170" s="432"/>
      <c r="BG170" s="432"/>
      <c r="BH170" s="216">
        <f>BH168*30.2/130.2</f>
        <v>1597.677419354839</v>
      </c>
      <c r="BI170" s="435">
        <f>BI169*30.2%</f>
        <v>159.76774193548385</v>
      </c>
      <c r="BJ170" s="435"/>
      <c r="BK170" s="435"/>
      <c r="BL170" s="435"/>
      <c r="BM170" s="435"/>
      <c r="BN170" s="435">
        <f>BN169*30.2%</f>
        <v>1437.9096774193547</v>
      </c>
      <c r="BO170" s="435"/>
      <c r="BP170" s="435"/>
      <c r="BQ170" s="435"/>
      <c r="BR170" s="435"/>
      <c r="BS170" s="435"/>
      <c r="BT170" s="435"/>
      <c r="CG170" s="432"/>
      <c r="CH170" s="432"/>
      <c r="CI170" s="432"/>
      <c r="CJ170" s="216"/>
      <c r="CK170" s="435"/>
      <c r="CL170" s="435"/>
      <c r="CM170" s="435"/>
      <c r="CN170" s="435"/>
      <c r="CO170" s="435"/>
      <c r="CP170" s="435"/>
      <c r="CQ170" s="435"/>
      <c r="CR170" s="435"/>
      <c r="CS170" s="435"/>
      <c r="CT170" s="435"/>
      <c r="CU170" s="435"/>
      <c r="CV170" s="435"/>
    </row>
    <row r="171" spans="1:107" ht="8.25" hidden="1" customHeight="1" x14ac:dyDescent="0.2"/>
    <row r="172" spans="1:107" ht="8.25" hidden="1" customHeight="1" x14ac:dyDescent="0.2"/>
    <row r="173" spans="1:107" ht="8.25" hidden="1" customHeight="1" x14ac:dyDescent="0.2"/>
    <row r="174" spans="1:107" ht="23.25" hidden="1" customHeight="1" x14ac:dyDescent="0.2">
      <c r="BE174" s="432" t="s">
        <v>244</v>
      </c>
      <c r="BF174" s="432"/>
      <c r="BG174" s="432"/>
      <c r="BH174" s="432"/>
      <c r="BI174" s="432"/>
      <c r="BJ174" s="432"/>
      <c r="BK174" s="432"/>
      <c r="BL174" s="432"/>
      <c r="BM174" s="432"/>
      <c r="BN174" s="432"/>
      <c r="BO174" s="432"/>
      <c r="BP174" s="432"/>
      <c r="BQ174" s="432"/>
      <c r="BR174" s="432"/>
      <c r="BS174" s="432"/>
      <c r="BT174" s="432"/>
      <c r="BU174" s="432"/>
      <c r="BV174" s="432"/>
      <c r="BW174" s="432"/>
      <c r="BX174" s="432"/>
      <c r="BY174" s="432"/>
      <c r="BZ174" s="432"/>
      <c r="CA174" s="432"/>
      <c r="CG174" s="432"/>
      <c r="CH174" s="432"/>
      <c r="CI174" s="432"/>
      <c r="CJ174" s="432"/>
      <c r="CK174" s="432"/>
      <c r="CL174" s="432"/>
      <c r="CM174" s="432"/>
      <c r="CN174" s="432"/>
      <c r="CO174" s="432"/>
      <c r="CP174" s="432"/>
      <c r="CQ174" s="432"/>
      <c r="CR174" s="432"/>
      <c r="CS174" s="432"/>
      <c r="CT174" s="432"/>
      <c r="CU174" s="432"/>
      <c r="CV174" s="432"/>
      <c r="CW174" s="432"/>
      <c r="CX174" s="432"/>
      <c r="CY174" s="432"/>
      <c r="CZ174" s="432"/>
      <c r="DA174" s="432"/>
      <c r="DB174" s="432"/>
      <c r="DC174" s="432"/>
    </row>
    <row r="175" spans="1:107" ht="21" hidden="1" customHeight="1" x14ac:dyDescent="0.2">
      <c r="BE175" s="432" t="s">
        <v>126</v>
      </c>
      <c r="BF175" s="432"/>
      <c r="BG175" s="432"/>
      <c r="BH175" s="433">
        <f>280*28</f>
        <v>7840</v>
      </c>
      <c r="BI175" s="433"/>
      <c r="BJ175" s="433"/>
      <c r="BK175" s="433"/>
      <c r="BL175" s="433"/>
      <c r="BM175" s="220" t="s">
        <v>127</v>
      </c>
      <c r="BN175" s="220"/>
      <c r="BO175" s="220"/>
      <c r="BP175" s="220"/>
      <c r="BQ175" s="220"/>
      <c r="BR175" s="220"/>
      <c r="BS175" s="220"/>
      <c r="BT175" s="220"/>
      <c r="CG175" s="432"/>
      <c r="CH175" s="432"/>
      <c r="CI175" s="432"/>
      <c r="CJ175" s="433"/>
      <c r="CK175" s="433"/>
      <c r="CL175" s="433"/>
      <c r="CM175" s="433"/>
      <c r="CN175" s="433"/>
      <c r="CO175" s="220"/>
      <c r="CP175" s="220"/>
      <c r="CQ175" s="220"/>
      <c r="CR175" s="220"/>
      <c r="CS175" s="220"/>
      <c r="CT175" s="220"/>
      <c r="CU175" s="220"/>
      <c r="CV175" s="220"/>
    </row>
    <row r="176" spans="1:107" ht="26.25" hidden="1" customHeight="1" x14ac:dyDescent="0.2">
      <c r="BE176" s="434">
        <v>0.6</v>
      </c>
      <c r="BF176" s="432"/>
      <c r="BG176" s="432"/>
      <c r="BH176" s="216">
        <f>BH175*BE176</f>
        <v>4704</v>
      </c>
      <c r="BI176" s="432" t="s">
        <v>128</v>
      </c>
      <c r="BJ176" s="432"/>
      <c r="BK176" s="432"/>
      <c r="BL176" s="432"/>
      <c r="BM176" s="432"/>
      <c r="BN176" s="432" t="s">
        <v>129</v>
      </c>
      <c r="BO176" s="432"/>
      <c r="BP176" s="432"/>
      <c r="BQ176" s="432"/>
      <c r="BR176" s="432"/>
      <c r="BS176" s="432"/>
      <c r="BT176" s="432"/>
      <c r="CG176" s="434"/>
      <c r="CH176" s="432"/>
      <c r="CI176" s="432"/>
      <c r="CJ176" s="216"/>
      <c r="CK176" s="432"/>
      <c r="CL176" s="432"/>
      <c r="CM176" s="432"/>
      <c r="CN176" s="432"/>
      <c r="CO176" s="432"/>
      <c r="CP176" s="432"/>
      <c r="CQ176" s="432"/>
      <c r="CR176" s="432"/>
      <c r="CS176" s="432"/>
      <c r="CT176" s="432"/>
      <c r="CU176" s="432"/>
      <c r="CV176" s="432"/>
    </row>
    <row r="177" spans="57:107" ht="22.5" hidden="1" customHeight="1" x14ac:dyDescent="0.2">
      <c r="BE177" s="432">
        <v>211</v>
      </c>
      <c r="BF177" s="432"/>
      <c r="BG177" s="432"/>
      <c r="BH177" s="216">
        <f>BH176-BH178</f>
        <v>3612.9032258064517</v>
      </c>
      <c r="BI177" s="435">
        <f>BH177*0.1</f>
        <v>361.29032258064518</v>
      </c>
      <c r="BJ177" s="435"/>
      <c r="BK177" s="435"/>
      <c r="BL177" s="435"/>
      <c r="BM177" s="435"/>
      <c r="BN177" s="435">
        <f>BH177-BI177</f>
        <v>3251.6129032258063</v>
      </c>
      <c r="BO177" s="432"/>
      <c r="BP177" s="432"/>
      <c r="BQ177" s="432"/>
      <c r="BR177" s="432"/>
      <c r="BS177" s="432"/>
      <c r="BT177" s="432"/>
      <c r="CG177" s="432"/>
      <c r="CH177" s="432"/>
      <c r="CI177" s="432"/>
      <c r="CJ177" s="216"/>
      <c r="CK177" s="435"/>
      <c r="CL177" s="435"/>
      <c r="CM177" s="435"/>
      <c r="CN177" s="435"/>
      <c r="CO177" s="435"/>
      <c r="CP177" s="435"/>
      <c r="CQ177" s="432"/>
      <c r="CR177" s="432"/>
      <c r="CS177" s="432"/>
      <c r="CT177" s="432"/>
      <c r="CU177" s="432"/>
      <c r="CV177" s="432"/>
    </row>
    <row r="178" spans="57:107" ht="24" hidden="1" customHeight="1" x14ac:dyDescent="0.2">
      <c r="BE178" s="432">
        <v>213</v>
      </c>
      <c r="BF178" s="432"/>
      <c r="BG178" s="432"/>
      <c r="BH178" s="216">
        <f>BH176*30.2/130.2</f>
        <v>1091.0967741935483</v>
      </c>
      <c r="BI178" s="435">
        <f>BI177*30.2%</f>
        <v>109.10967741935484</v>
      </c>
      <c r="BJ178" s="435"/>
      <c r="BK178" s="435"/>
      <c r="BL178" s="435"/>
      <c r="BM178" s="435"/>
      <c r="BN178" s="435">
        <f>BN177*30.2%</f>
        <v>981.98709677419345</v>
      </c>
      <c r="BO178" s="435"/>
      <c r="BP178" s="435"/>
      <c r="BQ178" s="435"/>
      <c r="BR178" s="435"/>
      <c r="BS178" s="435"/>
      <c r="BT178" s="435"/>
      <c r="CG178" s="432"/>
      <c r="CH178" s="432"/>
      <c r="CI178" s="432"/>
      <c r="CJ178" s="216"/>
      <c r="CK178" s="435"/>
      <c r="CL178" s="435"/>
      <c r="CM178" s="435"/>
      <c r="CN178" s="435"/>
      <c r="CO178" s="435"/>
      <c r="CP178" s="435"/>
      <c r="CQ178" s="435"/>
      <c r="CR178" s="435"/>
      <c r="CS178" s="435"/>
      <c r="CT178" s="435"/>
      <c r="CU178" s="435"/>
      <c r="CV178" s="435"/>
    </row>
    <row r="179" spans="57:107" ht="8.25" hidden="1" customHeight="1" x14ac:dyDescent="0.2"/>
    <row r="180" spans="57:107" ht="8.25" hidden="1" customHeight="1" x14ac:dyDescent="0.2"/>
    <row r="181" spans="57:107" ht="8.25" hidden="1" customHeight="1" x14ac:dyDescent="0.2"/>
    <row r="182" spans="57:107" ht="22.5" hidden="1" customHeight="1" x14ac:dyDescent="0.2">
      <c r="BE182" s="432" t="s">
        <v>244</v>
      </c>
      <c r="BF182" s="432"/>
      <c r="BG182" s="432"/>
      <c r="BH182" s="432"/>
      <c r="BI182" s="432"/>
      <c r="BJ182" s="432"/>
      <c r="BK182" s="432"/>
      <c r="BL182" s="432"/>
      <c r="BM182" s="432"/>
      <c r="BN182" s="432"/>
      <c r="BO182" s="432"/>
      <c r="BP182" s="432"/>
      <c r="BQ182" s="432"/>
      <c r="BR182" s="432"/>
      <c r="BS182" s="432"/>
      <c r="BT182" s="432"/>
      <c r="BU182" s="432"/>
      <c r="BV182" s="432"/>
      <c r="BW182" s="432"/>
      <c r="BX182" s="432"/>
      <c r="BY182" s="432"/>
      <c r="BZ182" s="432"/>
      <c r="CA182" s="432"/>
      <c r="CG182" s="432"/>
      <c r="CH182" s="432"/>
      <c r="CI182" s="432"/>
      <c r="CJ182" s="432"/>
      <c r="CK182" s="432"/>
      <c r="CL182" s="432"/>
      <c r="CM182" s="432"/>
      <c r="CN182" s="432"/>
      <c r="CO182" s="432"/>
      <c r="CP182" s="432"/>
      <c r="CQ182" s="432"/>
      <c r="CR182" s="432"/>
      <c r="CS182" s="432"/>
      <c r="CT182" s="432"/>
      <c r="CU182" s="432"/>
      <c r="CV182" s="432"/>
      <c r="CW182" s="432"/>
      <c r="CX182" s="432"/>
      <c r="CY182" s="432"/>
      <c r="CZ182" s="432"/>
      <c r="DA182" s="432"/>
      <c r="DB182" s="432"/>
      <c r="DC182" s="432"/>
    </row>
    <row r="183" spans="57:107" ht="19.5" hidden="1" customHeight="1" x14ac:dyDescent="0.2">
      <c r="BE183" s="432" t="s">
        <v>126</v>
      </c>
      <c r="BF183" s="432"/>
      <c r="BG183" s="432"/>
      <c r="BH183" s="433">
        <f>280*28</f>
        <v>7840</v>
      </c>
      <c r="BI183" s="433"/>
      <c r="BJ183" s="433"/>
      <c r="BK183" s="433"/>
      <c r="BL183" s="433"/>
      <c r="BM183" s="220" t="s">
        <v>127</v>
      </c>
      <c r="BN183" s="220"/>
      <c r="BO183" s="220"/>
      <c r="BP183" s="220"/>
      <c r="BQ183" s="220"/>
      <c r="BR183" s="220"/>
      <c r="BS183" s="220"/>
      <c r="BT183" s="220"/>
      <c r="CG183" s="432"/>
      <c r="CH183" s="432"/>
      <c r="CI183" s="432"/>
      <c r="CJ183" s="433"/>
      <c r="CK183" s="433"/>
      <c r="CL183" s="433"/>
      <c r="CM183" s="433"/>
      <c r="CN183" s="433"/>
      <c r="CO183" s="220"/>
      <c r="CP183" s="220"/>
      <c r="CQ183" s="220"/>
      <c r="CR183" s="220"/>
      <c r="CS183" s="220"/>
      <c r="CT183" s="220"/>
      <c r="CU183" s="220"/>
      <c r="CV183" s="220"/>
    </row>
    <row r="184" spans="57:107" ht="21.75" hidden="1" customHeight="1" x14ac:dyDescent="0.2">
      <c r="BE184" s="434">
        <v>0.6</v>
      </c>
      <c r="BF184" s="432"/>
      <c r="BG184" s="432"/>
      <c r="BH184" s="216">
        <f>BH183*BE184</f>
        <v>4704</v>
      </c>
      <c r="BI184" s="432" t="s">
        <v>128</v>
      </c>
      <c r="BJ184" s="432"/>
      <c r="BK184" s="432"/>
      <c r="BL184" s="432"/>
      <c r="BM184" s="432"/>
      <c r="BN184" s="432" t="s">
        <v>129</v>
      </c>
      <c r="BO184" s="432"/>
      <c r="BP184" s="432"/>
      <c r="BQ184" s="432"/>
      <c r="BR184" s="432"/>
      <c r="BS184" s="432"/>
      <c r="BT184" s="432"/>
      <c r="CG184" s="434"/>
      <c r="CH184" s="432"/>
      <c r="CI184" s="432"/>
      <c r="CJ184" s="216"/>
      <c r="CK184" s="432"/>
      <c r="CL184" s="432"/>
      <c r="CM184" s="432"/>
      <c r="CN184" s="432"/>
      <c r="CO184" s="432"/>
      <c r="CP184" s="432"/>
      <c r="CQ184" s="432"/>
      <c r="CR184" s="432"/>
      <c r="CS184" s="432"/>
      <c r="CT184" s="432"/>
      <c r="CU184" s="432"/>
      <c r="CV184" s="432"/>
    </row>
    <row r="185" spans="57:107" ht="15" hidden="1" customHeight="1" x14ac:dyDescent="0.2">
      <c r="BE185" s="432">
        <v>211</v>
      </c>
      <c r="BF185" s="432"/>
      <c r="BG185" s="432"/>
      <c r="BH185" s="216">
        <f>BH184-BH186</f>
        <v>3612.9032258064517</v>
      </c>
      <c r="BI185" s="435">
        <f>BH185*0.1</f>
        <v>361.29032258064518</v>
      </c>
      <c r="BJ185" s="435"/>
      <c r="BK185" s="435"/>
      <c r="BL185" s="435"/>
      <c r="BM185" s="435"/>
      <c r="BN185" s="435">
        <f>BH185-BI185</f>
        <v>3251.6129032258063</v>
      </c>
      <c r="BO185" s="432"/>
      <c r="BP185" s="432"/>
      <c r="BQ185" s="432"/>
      <c r="BR185" s="432"/>
      <c r="BS185" s="432"/>
      <c r="BT185" s="432"/>
      <c r="CG185" s="432"/>
      <c r="CH185" s="432"/>
      <c r="CI185" s="432"/>
      <c r="CJ185" s="216"/>
      <c r="CK185" s="435"/>
      <c r="CL185" s="435"/>
      <c r="CM185" s="435"/>
      <c r="CN185" s="435"/>
      <c r="CO185" s="435"/>
      <c r="CP185" s="435"/>
      <c r="CQ185" s="432"/>
      <c r="CR185" s="432"/>
      <c r="CS185" s="432"/>
      <c r="CT185" s="432"/>
      <c r="CU185" s="432"/>
      <c r="CV185" s="432"/>
    </row>
    <row r="186" spans="57:107" ht="21" hidden="1" customHeight="1" x14ac:dyDescent="0.2">
      <c r="BE186" s="432">
        <v>213</v>
      </c>
      <c r="BF186" s="432"/>
      <c r="BG186" s="432"/>
      <c r="BH186" s="216">
        <f>BH184*30.2/130.2</f>
        <v>1091.0967741935483</v>
      </c>
      <c r="BI186" s="435">
        <f>BI185*30.2%</f>
        <v>109.10967741935484</v>
      </c>
      <c r="BJ186" s="435"/>
      <c r="BK186" s="435"/>
      <c r="BL186" s="435"/>
      <c r="BM186" s="435"/>
      <c r="BN186" s="435">
        <f>BN185*30.2%</f>
        <v>981.98709677419345</v>
      </c>
      <c r="BO186" s="435"/>
      <c r="BP186" s="435"/>
      <c r="BQ186" s="435"/>
      <c r="BR186" s="435"/>
      <c r="BS186" s="435"/>
      <c r="BT186" s="435"/>
      <c r="CG186" s="432"/>
      <c r="CH186" s="432"/>
      <c r="CI186" s="432"/>
      <c r="CJ186" s="216"/>
      <c r="CK186" s="435"/>
      <c r="CL186" s="435"/>
      <c r="CM186" s="435"/>
      <c r="CN186" s="435"/>
      <c r="CO186" s="435"/>
      <c r="CP186" s="435"/>
      <c r="CQ186" s="435"/>
      <c r="CR186" s="435"/>
      <c r="CS186" s="435"/>
      <c r="CT186" s="435"/>
      <c r="CU186" s="435"/>
      <c r="CV186" s="435"/>
    </row>
    <row r="187" spans="57:107" ht="8.25" hidden="1" customHeight="1" x14ac:dyDescent="0.2"/>
    <row r="188" spans="57:107" ht="8.25" hidden="1" customHeight="1" x14ac:dyDescent="0.2"/>
    <row r="189" spans="57:107" ht="18.75" hidden="1" customHeight="1" x14ac:dyDescent="0.2">
      <c r="BE189" s="432"/>
      <c r="BF189" s="432"/>
      <c r="BG189" s="432"/>
      <c r="BH189" s="432"/>
      <c r="BI189" s="432"/>
      <c r="BJ189" s="432"/>
      <c r="BK189" s="432"/>
      <c r="BL189" s="432"/>
      <c r="BM189" s="432"/>
      <c r="BN189" s="432"/>
      <c r="BO189" s="432"/>
      <c r="BP189" s="432"/>
      <c r="BQ189" s="432"/>
      <c r="BR189" s="432"/>
      <c r="BS189" s="432"/>
      <c r="BT189" s="432"/>
      <c r="BU189" s="432"/>
      <c r="BV189" s="432"/>
      <c r="BW189" s="432"/>
      <c r="BX189" s="432"/>
      <c r="BY189" s="432"/>
      <c r="BZ189" s="432"/>
      <c r="CA189" s="432"/>
    </row>
    <row r="190" spans="57:107" ht="22.5" hidden="1" customHeight="1" x14ac:dyDescent="0.2">
      <c r="BE190" s="432" t="s">
        <v>275</v>
      </c>
      <c r="BF190" s="432"/>
      <c r="BG190" s="432"/>
      <c r="BH190" s="432"/>
      <c r="BI190" s="432"/>
      <c r="BJ190" s="432"/>
      <c r="BK190" s="432"/>
      <c r="BL190" s="432"/>
      <c r="BM190" s="432"/>
      <c r="BN190" s="432"/>
      <c r="BO190" s="432"/>
      <c r="BP190" s="432"/>
      <c r="BQ190" s="432"/>
      <c r="BR190" s="432"/>
      <c r="BS190" s="432"/>
      <c r="BT190" s="432"/>
      <c r="BU190" s="432"/>
      <c r="BV190" s="432"/>
      <c r="BW190" s="432"/>
      <c r="BX190" s="432"/>
      <c r="BY190" s="432"/>
      <c r="BZ190" s="432"/>
      <c r="CA190" s="432"/>
      <c r="CG190" s="432"/>
      <c r="CH190" s="432"/>
      <c r="CI190" s="432"/>
      <c r="CJ190" s="432"/>
      <c r="CK190" s="432"/>
      <c r="CL190" s="432"/>
      <c r="CM190" s="432"/>
      <c r="CN190" s="432"/>
      <c r="CO190" s="432"/>
      <c r="CP190" s="432"/>
      <c r="CQ190" s="432"/>
      <c r="CR190" s="432"/>
      <c r="CS190" s="432"/>
      <c r="CT190" s="432"/>
      <c r="CU190" s="432"/>
      <c r="CV190" s="432"/>
      <c r="CW190" s="432"/>
      <c r="CX190" s="432"/>
      <c r="CY190" s="432"/>
      <c r="CZ190" s="432"/>
      <c r="DA190" s="432"/>
      <c r="DB190" s="432"/>
      <c r="DC190" s="432"/>
    </row>
    <row r="191" spans="57:107" ht="19.5" hidden="1" customHeight="1" x14ac:dyDescent="0.2">
      <c r="BE191" s="432" t="s">
        <v>126</v>
      </c>
      <c r="BF191" s="432"/>
      <c r="BG191" s="432"/>
      <c r="BH191" s="447">
        <f>280*(37+36)</f>
        <v>20440</v>
      </c>
      <c r="BI191" s="447"/>
      <c r="BJ191" s="447"/>
      <c r="BK191" s="447"/>
      <c r="BL191" s="447"/>
      <c r="BM191" s="220" t="s">
        <v>127</v>
      </c>
      <c r="BN191" s="220"/>
      <c r="BO191" s="220"/>
      <c r="BP191" s="220"/>
      <c r="BQ191" s="220"/>
      <c r="BR191" s="220"/>
      <c r="BS191" s="220"/>
      <c r="BT191" s="220"/>
      <c r="CG191" s="432"/>
      <c r="CH191" s="432"/>
      <c r="CI191" s="432"/>
      <c r="CJ191" s="433"/>
      <c r="CK191" s="433"/>
      <c r="CL191" s="433"/>
      <c r="CM191" s="433"/>
      <c r="CN191" s="433"/>
      <c r="CO191" s="220"/>
      <c r="CP191" s="220"/>
      <c r="CQ191" s="220"/>
      <c r="CR191" s="220"/>
      <c r="CS191" s="220"/>
      <c r="CT191" s="220"/>
      <c r="CU191" s="220"/>
      <c r="CV191" s="220"/>
    </row>
    <row r="192" spans="57:107" ht="21.75" hidden="1" customHeight="1" x14ac:dyDescent="0.2">
      <c r="BE192" s="434">
        <v>0.6</v>
      </c>
      <c r="BF192" s="432"/>
      <c r="BG192" s="432"/>
      <c r="BH192" s="216">
        <f>BH191*BE192</f>
        <v>12264</v>
      </c>
      <c r="BI192" s="432" t="s">
        <v>128</v>
      </c>
      <c r="BJ192" s="432"/>
      <c r="BK192" s="432"/>
      <c r="BL192" s="432"/>
      <c r="BM192" s="432"/>
      <c r="BN192" s="432" t="s">
        <v>129</v>
      </c>
      <c r="BO192" s="432"/>
      <c r="BP192" s="432"/>
      <c r="BQ192" s="432"/>
      <c r="BR192" s="432"/>
      <c r="BS192" s="432"/>
      <c r="BT192" s="432"/>
      <c r="CG192" s="434"/>
      <c r="CH192" s="434"/>
      <c r="CI192" s="434"/>
      <c r="CJ192" s="216"/>
      <c r="CK192" s="432"/>
      <c r="CL192" s="432"/>
      <c r="CM192" s="432"/>
      <c r="CN192" s="432"/>
      <c r="CO192" s="432"/>
      <c r="CP192" s="432"/>
      <c r="CQ192" s="432"/>
      <c r="CR192" s="432"/>
      <c r="CS192" s="432"/>
      <c r="CT192" s="432"/>
      <c r="CU192" s="432"/>
      <c r="CV192" s="432"/>
    </row>
    <row r="193" spans="57:100" ht="15" hidden="1" customHeight="1" x14ac:dyDescent="0.2">
      <c r="BE193" s="432">
        <v>211</v>
      </c>
      <c r="BF193" s="432"/>
      <c r="BG193" s="432"/>
      <c r="BH193" s="216">
        <f>BH192-BH194</f>
        <v>9419.354838709678</v>
      </c>
      <c r="BI193" s="447">
        <f>BH193*0.1</f>
        <v>941.9354838709678</v>
      </c>
      <c r="BJ193" s="447"/>
      <c r="BK193" s="447"/>
      <c r="BL193" s="447"/>
      <c r="BM193" s="447"/>
      <c r="BN193" s="447">
        <f>BH193-BI193</f>
        <v>8477.4193548387102</v>
      </c>
      <c r="BO193" s="448"/>
      <c r="BP193" s="448"/>
      <c r="BQ193" s="448"/>
      <c r="BR193" s="448"/>
      <c r="BS193" s="448"/>
      <c r="BT193" s="448"/>
      <c r="BU193" s="117" t="s">
        <v>276</v>
      </c>
      <c r="CG193" s="432"/>
      <c r="CH193" s="432"/>
      <c r="CI193" s="432"/>
      <c r="CJ193" s="216"/>
      <c r="CK193" s="435"/>
      <c r="CL193" s="435"/>
      <c r="CM193" s="435"/>
      <c r="CN193" s="435"/>
      <c r="CO193" s="435"/>
      <c r="CP193" s="435"/>
      <c r="CQ193" s="435"/>
      <c r="CR193" s="435"/>
      <c r="CS193" s="435"/>
      <c r="CT193" s="435"/>
      <c r="CU193" s="435"/>
      <c r="CV193" s="435"/>
    </row>
    <row r="194" spans="57:100" ht="19.5" hidden="1" customHeight="1" x14ac:dyDescent="0.2">
      <c r="BE194" s="432">
        <v>213</v>
      </c>
      <c r="BF194" s="432"/>
      <c r="BG194" s="432"/>
      <c r="BH194" s="216">
        <f>BH192*30.2/130.2</f>
        <v>2844.6451612903229</v>
      </c>
      <c r="BI194" s="435">
        <f>BI193*30.2%</f>
        <v>284.46451612903229</v>
      </c>
      <c r="BJ194" s="435"/>
      <c r="BK194" s="435"/>
      <c r="BL194" s="435"/>
      <c r="BM194" s="435"/>
      <c r="BN194" s="435">
        <f>BN193*30.2%</f>
        <v>2560.1806451612906</v>
      </c>
      <c r="BO194" s="435"/>
      <c r="BP194" s="435"/>
      <c r="BQ194" s="435"/>
      <c r="BR194" s="435"/>
      <c r="BS194" s="435"/>
      <c r="BT194" s="435"/>
      <c r="CG194" s="432"/>
      <c r="CH194" s="432"/>
      <c r="CI194" s="432"/>
      <c r="CJ194" s="216"/>
      <c r="CK194" s="435"/>
      <c r="CL194" s="435"/>
      <c r="CM194" s="435"/>
      <c r="CN194" s="435"/>
      <c r="CO194" s="435"/>
      <c r="CP194" s="435"/>
      <c r="CQ194" s="435"/>
      <c r="CR194" s="435"/>
      <c r="CS194" s="435"/>
      <c r="CT194" s="435"/>
      <c r="CU194" s="435"/>
      <c r="CV194" s="435"/>
    </row>
    <row r="195" spans="57:100" ht="8.25" hidden="1" customHeight="1" x14ac:dyDescent="0.2"/>
    <row r="196" spans="57:100" ht="8.25" hidden="1" customHeight="1" x14ac:dyDescent="0.2"/>
    <row r="197" spans="57:100" ht="17.25" hidden="1" customHeight="1" x14ac:dyDescent="0.2">
      <c r="BE197" s="432" t="s">
        <v>277</v>
      </c>
      <c r="BF197" s="432"/>
      <c r="BG197" s="432"/>
      <c r="BH197" s="432"/>
      <c r="BI197" s="432"/>
      <c r="BJ197" s="432"/>
      <c r="BK197" s="432"/>
      <c r="BL197" s="432"/>
      <c r="BM197" s="432"/>
      <c r="BN197" s="432"/>
      <c r="BO197" s="432"/>
      <c r="BP197" s="432"/>
      <c r="BQ197" s="432"/>
      <c r="BR197" s="432"/>
      <c r="BS197" s="432"/>
      <c r="BT197" s="432"/>
      <c r="BU197" s="432"/>
      <c r="BV197" s="432"/>
      <c r="BW197" s="432"/>
      <c r="BX197" s="432"/>
      <c r="BY197" s="432"/>
      <c r="BZ197" s="432"/>
      <c r="CA197" s="432"/>
    </row>
    <row r="198" spans="57:100" ht="18" hidden="1" customHeight="1" x14ac:dyDescent="0.2">
      <c r="BE198" s="432" t="s">
        <v>126</v>
      </c>
      <c r="BF198" s="432"/>
      <c r="BG198" s="432"/>
      <c r="BH198" s="447">
        <f>280*(44+41)</f>
        <v>23800</v>
      </c>
      <c r="BI198" s="447"/>
      <c r="BJ198" s="447"/>
      <c r="BK198" s="447"/>
      <c r="BL198" s="447"/>
      <c r="BM198" s="220" t="s">
        <v>127</v>
      </c>
      <c r="BN198" s="220"/>
      <c r="BO198" s="220"/>
      <c r="BP198" s="220"/>
      <c r="BQ198" s="220"/>
      <c r="BR198" s="220"/>
      <c r="BS198" s="220"/>
      <c r="BT198" s="220"/>
    </row>
    <row r="199" spans="57:100" ht="14.25" hidden="1" customHeight="1" x14ac:dyDescent="0.2">
      <c r="BE199" s="434">
        <v>0.6</v>
      </c>
      <c r="BF199" s="432"/>
      <c r="BG199" s="432"/>
      <c r="BH199" s="216">
        <f>BH198*BE199</f>
        <v>14280</v>
      </c>
      <c r="BI199" s="432" t="s">
        <v>128</v>
      </c>
      <c r="BJ199" s="432"/>
      <c r="BK199" s="432"/>
      <c r="BL199" s="432"/>
      <c r="BM199" s="432"/>
      <c r="BN199" s="432" t="s">
        <v>129</v>
      </c>
      <c r="BO199" s="432"/>
      <c r="BP199" s="432"/>
      <c r="BQ199" s="432"/>
      <c r="BR199" s="432"/>
      <c r="BS199" s="432"/>
      <c r="BT199" s="432"/>
    </row>
    <row r="200" spans="57:100" ht="12.75" hidden="1" customHeight="1" x14ac:dyDescent="0.2">
      <c r="BE200" s="432">
        <v>211</v>
      </c>
      <c r="BF200" s="432"/>
      <c r="BG200" s="432"/>
      <c r="BH200" s="216">
        <f>BH199-BH201</f>
        <v>10967.741935483871</v>
      </c>
      <c r="BI200" s="447">
        <f>BH200*0.1</f>
        <v>1096.7741935483871</v>
      </c>
      <c r="BJ200" s="447"/>
      <c r="BK200" s="447"/>
      <c r="BL200" s="447"/>
      <c r="BM200" s="447"/>
      <c r="BN200" s="447">
        <f>BH200-BI200</f>
        <v>9870.9677419354848</v>
      </c>
      <c r="BO200" s="448"/>
      <c r="BP200" s="448"/>
      <c r="BQ200" s="448"/>
      <c r="BR200" s="448"/>
      <c r="BS200" s="448"/>
      <c r="BT200" s="448"/>
      <c r="BU200" s="117" t="s">
        <v>276</v>
      </c>
    </row>
    <row r="201" spans="57:100" ht="14.25" hidden="1" customHeight="1" x14ac:dyDescent="0.2">
      <c r="BE201" s="432">
        <v>213</v>
      </c>
      <c r="BF201" s="432"/>
      <c r="BG201" s="432"/>
      <c r="BH201" s="216">
        <f>BH199*30.2/130.2</f>
        <v>3312.2580645161293</v>
      </c>
      <c r="BI201" s="435">
        <f>BI200*30.2%</f>
        <v>331.22580645161287</v>
      </c>
      <c r="BJ201" s="435"/>
      <c r="BK201" s="435"/>
      <c r="BL201" s="435"/>
      <c r="BM201" s="435"/>
      <c r="BN201" s="435">
        <f>BN200*30.2%</f>
        <v>2981.0322580645161</v>
      </c>
      <c r="BO201" s="435"/>
      <c r="BP201" s="435"/>
      <c r="BQ201" s="435"/>
      <c r="BR201" s="435"/>
      <c r="BS201" s="435"/>
      <c r="BT201" s="435"/>
    </row>
    <row r="202" spans="57:100" ht="8.25" hidden="1" customHeight="1" x14ac:dyDescent="0.2"/>
    <row r="203" spans="57:100" ht="8.25" hidden="1" customHeight="1" x14ac:dyDescent="0.2"/>
    <row r="204" spans="57:100" ht="13.5" hidden="1" customHeight="1" x14ac:dyDescent="0.2">
      <c r="BE204" s="432" t="s">
        <v>291</v>
      </c>
      <c r="BF204" s="432"/>
      <c r="BG204" s="432"/>
      <c r="BH204" s="432"/>
      <c r="BI204" s="432"/>
      <c r="BJ204" s="432"/>
      <c r="BK204" s="432"/>
      <c r="BL204" s="432"/>
      <c r="BM204" s="432"/>
      <c r="BN204" s="432"/>
      <c r="BO204" s="432"/>
      <c r="BP204" s="432"/>
      <c r="BQ204" s="432"/>
      <c r="BR204" s="432"/>
      <c r="BS204" s="432"/>
      <c r="BT204" s="432"/>
      <c r="BU204" s="432"/>
      <c r="BV204" s="432"/>
      <c r="BW204" s="432"/>
      <c r="BX204" s="432"/>
      <c r="BY204" s="432"/>
      <c r="BZ204" s="432"/>
      <c r="CA204" s="432"/>
    </row>
    <row r="205" spans="57:100" ht="13.5" hidden="1" customHeight="1" x14ac:dyDescent="0.2">
      <c r="BE205" s="432" t="s">
        <v>126</v>
      </c>
      <c r="BF205" s="432"/>
      <c r="BG205" s="432"/>
      <c r="BH205" s="447">
        <f>280*(46+37)</f>
        <v>23240</v>
      </c>
      <c r="BI205" s="447"/>
      <c r="BJ205" s="447"/>
      <c r="BK205" s="447"/>
      <c r="BL205" s="447"/>
      <c r="BM205" s="220" t="s">
        <v>127</v>
      </c>
      <c r="BN205" s="220"/>
      <c r="BO205" s="220"/>
      <c r="BP205" s="220"/>
      <c r="BQ205" s="220"/>
      <c r="BR205" s="220"/>
      <c r="BS205" s="220"/>
      <c r="BT205" s="220"/>
    </row>
    <row r="206" spans="57:100" ht="13.5" hidden="1" customHeight="1" x14ac:dyDescent="0.2">
      <c r="BE206" s="434">
        <v>0.6</v>
      </c>
      <c r="BF206" s="432"/>
      <c r="BG206" s="432"/>
      <c r="BH206" s="216">
        <f>BH205*BE206</f>
        <v>13944</v>
      </c>
      <c r="BI206" s="432" t="s">
        <v>128</v>
      </c>
      <c r="BJ206" s="432"/>
      <c r="BK206" s="432"/>
      <c r="BL206" s="432"/>
      <c r="BM206" s="432"/>
      <c r="BN206" s="432" t="s">
        <v>129</v>
      </c>
      <c r="BO206" s="432"/>
      <c r="BP206" s="432"/>
      <c r="BQ206" s="432"/>
      <c r="BR206" s="432"/>
      <c r="BS206" s="432"/>
      <c r="BT206" s="432"/>
    </row>
    <row r="207" spans="57:100" ht="13.5" hidden="1" customHeight="1" x14ac:dyDescent="0.2">
      <c r="BE207" s="432">
        <v>211</v>
      </c>
      <c r="BF207" s="432"/>
      <c r="BG207" s="432"/>
      <c r="BH207" s="216">
        <f>BH206-BH208</f>
        <v>10709.677419354839</v>
      </c>
      <c r="BI207" s="447">
        <f>BH207*0.1</f>
        <v>1070.9677419354839</v>
      </c>
      <c r="BJ207" s="447"/>
      <c r="BK207" s="447"/>
      <c r="BL207" s="447"/>
      <c r="BM207" s="447"/>
      <c r="BN207" s="447">
        <f>BH207-BI207</f>
        <v>9638.709677419356</v>
      </c>
      <c r="BO207" s="448"/>
      <c r="BP207" s="448"/>
      <c r="BQ207" s="448"/>
      <c r="BR207" s="448"/>
      <c r="BS207" s="448"/>
      <c r="BT207" s="448"/>
      <c r="BU207" s="117" t="s">
        <v>276</v>
      </c>
    </row>
    <row r="208" spans="57:100" ht="13.5" hidden="1" customHeight="1" x14ac:dyDescent="0.2">
      <c r="BE208" s="432">
        <v>213</v>
      </c>
      <c r="BF208" s="432"/>
      <c r="BG208" s="432"/>
      <c r="BH208" s="216">
        <f>BH206*30.2/130.2</f>
        <v>3234.3225806451615</v>
      </c>
      <c r="BI208" s="435">
        <f>BI207*30.2%</f>
        <v>323.43225806451613</v>
      </c>
      <c r="BJ208" s="435"/>
      <c r="BK208" s="435"/>
      <c r="BL208" s="435"/>
      <c r="BM208" s="435"/>
      <c r="BN208" s="435">
        <f>BN207*30.2%</f>
        <v>2910.8903225806453</v>
      </c>
      <c r="BO208" s="435"/>
      <c r="BP208" s="435"/>
      <c r="BQ208" s="435"/>
      <c r="BR208" s="435"/>
      <c r="BS208" s="435"/>
      <c r="BT208" s="435"/>
    </row>
    <row r="209" spans="57:107" ht="9.75" hidden="1" customHeight="1" x14ac:dyDescent="0.2"/>
    <row r="210" spans="57:107" ht="22.5" hidden="1" customHeight="1" x14ac:dyDescent="0.2">
      <c r="BE210" s="432"/>
      <c r="BF210" s="432"/>
      <c r="BG210" s="432"/>
      <c r="BH210" s="432"/>
      <c r="BI210" s="432"/>
      <c r="BJ210" s="432"/>
      <c r="BK210" s="432"/>
      <c r="BL210" s="432"/>
      <c r="BM210" s="432"/>
      <c r="BN210" s="432"/>
      <c r="BO210" s="432"/>
      <c r="BP210" s="432"/>
      <c r="BQ210" s="432"/>
      <c r="BR210" s="432"/>
      <c r="BS210" s="432"/>
      <c r="BT210" s="432"/>
      <c r="BU210" s="432"/>
      <c r="BV210" s="432"/>
      <c r="BW210" s="432"/>
      <c r="BX210" s="432"/>
      <c r="BY210" s="432"/>
      <c r="BZ210" s="432"/>
      <c r="CA210" s="432"/>
      <c r="CG210" s="432" t="s">
        <v>266</v>
      </c>
      <c r="CH210" s="432"/>
      <c r="CI210" s="432"/>
      <c r="CJ210" s="432"/>
      <c r="CK210" s="432"/>
      <c r="CL210" s="432"/>
      <c r="CM210" s="432"/>
      <c r="CN210" s="432"/>
      <c r="CO210" s="432"/>
      <c r="CP210" s="432"/>
      <c r="CQ210" s="432"/>
      <c r="CR210" s="432"/>
      <c r="CS210" s="432"/>
      <c r="CT210" s="432"/>
      <c r="CU210" s="432"/>
      <c r="CV210" s="432"/>
      <c r="CW210" s="432"/>
      <c r="CX210" s="432"/>
      <c r="CY210" s="432"/>
      <c r="CZ210" s="432"/>
      <c r="DA210" s="432"/>
      <c r="DB210" s="432"/>
      <c r="DC210" s="432"/>
    </row>
    <row r="211" spans="57:107" ht="19.5" hidden="1" customHeight="1" x14ac:dyDescent="0.2">
      <c r="BE211" s="432" t="s">
        <v>300</v>
      </c>
      <c r="BF211" s="432"/>
      <c r="BG211" s="432"/>
      <c r="BH211" s="432"/>
      <c r="BI211" s="432"/>
      <c r="BJ211" s="432"/>
      <c r="BK211" s="432"/>
      <c r="BL211" s="432"/>
      <c r="BM211" s="432"/>
      <c r="BN211" s="432"/>
      <c r="BO211" s="432"/>
      <c r="BP211" s="432"/>
      <c r="BQ211" s="432"/>
      <c r="BR211" s="432"/>
      <c r="BS211" s="432"/>
      <c r="BT211" s="432"/>
      <c r="BU211" s="432"/>
      <c r="BV211" s="432"/>
      <c r="BW211" s="432"/>
      <c r="BX211" s="432"/>
      <c r="BY211" s="432"/>
      <c r="BZ211" s="432"/>
      <c r="CA211" s="432"/>
      <c r="CG211" s="432"/>
      <c r="CH211" s="432"/>
      <c r="CI211" s="432"/>
      <c r="CJ211" s="433"/>
      <c r="CK211" s="433"/>
      <c r="CL211" s="433"/>
      <c r="CM211" s="433"/>
      <c r="CN211" s="433"/>
      <c r="CO211" s="220"/>
      <c r="CP211" s="220"/>
      <c r="CQ211" s="220"/>
      <c r="CR211" s="220"/>
      <c r="CS211" s="220"/>
      <c r="CT211" s="220"/>
      <c r="CU211" s="220"/>
      <c r="CV211" s="220"/>
    </row>
    <row r="212" spans="57:107" ht="19.5" hidden="1" customHeight="1" x14ac:dyDescent="0.2">
      <c r="BE212" s="432" t="s">
        <v>126</v>
      </c>
      <c r="BF212" s="432"/>
      <c r="BG212" s="432"/>
      <c r="BH212" s="447">
        <f>280*(74+50)</f>
        <v>34720</v>
      </c>
      <c r="BI212" s="447"/>
      <c r="BJ212" s="447"/>
      <c r="BK212" s="447"/>
      <c r="BL212" s="447"/>
      <c r="BM212" s="220" t="s">
        <v>127</v>
      </c>
      <c r="BN212" s="220"/>
      <c r="BO212" s="220"/>
      <c r="BP212" s="220"/>
      <c r="BQ212" s="220"/>
      <c r="BR212" s="220"/>
      <c r="BS212" s="220"/>
      <c r="BT212" s="220"/>
      <c r="CG212" s="434"/>
      <c r="CH212" s="432"/>
      <c r="CI212" s="432"/>
      <c r="CJ212" s="216"/>
      <c r="CK212" s="432"/>
      <c r="CL212" s="432"/>
      <c r="CM212" s="432"/>
      <c r="CN212" s="432"/>
      <c r="CO212" s="432"/>
      <c r="CP212" s="432"/>
      <c r="CQ212" s="432"/>
      <c r="CR212" s="432"/>
      <c r="CS212" s="432"/>
      <c r="CT212" s="432"/>
      <c r="CU212" s="432"/>
      <c r="CV212" s="432"/>
    </row>
    <row r="213" spans="57:107" ht="21.75" hidden="1" customHeight="1" x14ac:dyDescent="0.2">
      <c r="BE213" s="434">
        <v>0.6</v>
      </c>
      <c r="BF213" s="432"/>
      <c r="BG213" s="432"/>
      <c r="BH213" s="216">
        <f>BH212*BE213</f>
        <v>20832</v>
      </c>
      <c r="BI213" s="432" t="s">
        <v>128</v>
      </c>
      <c r="BJ213" s="432"/>
      <c r="BK213" s="432"/>
      <c r="BL213" s="432"/>
      <c r="BM213" s="432"/>
      <c r="BN213" s="432" t="s">
        <v>129</v>
      </c>
      <c r="BO213" s="432"/>
      <c r="BP213" s="432"/>
      <c r="BQ213" s="432"/>
      <c r="BR213" s="432"/>
      <c r="BS213" s="432"/>
      <c r="BT213" s="432"/>
      <c r="CG213" s="432"/>
      <c r="CH213" s="432"/>
      <c r="CI213" s="432"/>
      <c r="CJ213" s="216"/>
      <c r="CK213" s="435"/>
      <c r="CL213" s="435"/>
      <c r="CM213" s="435"/>
      <c r="CN213" s="435"/>
      <c r="CO213" s="435"/>
      <c r="CP213" s="435"/>
      <c r="CQ213" s="432"/>
      <c r="CR213" s="432"/>
      <c r="CS213" s="432"/>
      <c r="CT213" s="432"/>
      <c r="CU213" s="432"/>
      <c r="CV213" s="432"/>
    </row>
    <row r="214" spans="57:107" ht="21.75" hidden="1" customHeight="1" x14ac:dyDescent="0.25">
      <c r="BE214" s="432">
        <v>211</v>
      </c>
      <c r="BF214" s="432"/>
      <c r="BG214" s="432"/>
      <c r="BH214" s="216">
        <f>BH213-BH215</f>
        <v>16000</v>
      </c>
      <c r="BI214" s="447">
        <f>BH214*0.1</f>
        <v>1600</v>
      </c>
      <c r="BJ214" s="447"/>
      <c r="BK214" s="447"/>
      <c r="BL214" s="447"/>
      <c r="BM214" s="447"/>
      <c r="BN214" s="447">
        <f>BH214-BI214</f>
        <v>14400</v>
      </c>
      <c r="BO214" s="448"/>
      <c r="BP214" s="448"/>
      <c r="BQ214" s="448"/>
      <c r="BR214" s="448"/>
      <c r="BS214" s="448"/>
      <c r="BT214" s="448"/>
      <c r="BU214" s="117" t="s">
        <v>276</v>
      </c>
      <c r="CC214" s="444" t="s">
        <v>301</v>
      </c>
      <c r="CD214" s="777"/>
      <c r="CE214" s="777"/>
      <c r="CF214" s="777"/>
      <c r="CG214" s="777"/>
      <c r="CH214" s="777"/>
      <c r="CI214" s="777"/>
      <c r="CJ214" s="777"/>
      <c r="CK214" s="435"/>
      <c r="CL214" s="435"/>
      <c r="CM214" s="435"/>
      <c r="CN214" s="435"/>
      <c r="CO214" s="435"/>
      <c r="CP214" s="435"/>
      <c r="CQ214" s="435"/>
      <c r="CR214" s="435"/>
      <c r="CS214" s="435"/>
      <c r="CT214" s="435"/>
      <c r="CU214" s="435"/>
      <c r="CV214" s="435"/>
    </row>
    <row r="215" spans="57:107" ht="8.25" hidden="1" customHeight="1" x14ac:dyDescent="0.2">
      <c r="BE215" s="432">
        <v>213</v>
      </c>
      <c r="BF215" s="432"/>
      <c r="BG215" s="432"/>
      <c r="BH215" s="216">
        <f>BH213*30.2/130.2</f>
        <v>4832.0000000000009</v>
      </c>
      <c r="BI215" s="435">
        <f>BI214*30.2%</f>
        <v>483.2</v>
      </c>
      <c r="BJ215" s="435"/>
      <c r="BK215" s="435"/>
      <c r="BL215" s="435"/>
      <c r="BM215" s="435"/>
      <c r="BN215" s="435">
        <f>BN214*30.2%</f>
        <v>4348.8</v>
      </c>
      <c r="BO215" s="435"/>
      <c r="BP215" s="435"/>
      <c r="BQ215" s="435"/>
      <c r="BR215" s="435"/>
      <c r="BS215" s="435"/>
      <c r="BT215" s="435"/>
    </row>
    <row r="216" spans="57:107" ht="8.25" hidden="1" customHeight="1" x14ac:dyDescent="0.2"/>
    <row r="217" spans="57:107" ht="8.25" hidden="1" customHeight="1" x14ac:dyDescent="0.2"/>
    <row r="218" spans="57:107" ht="15" hidden="1" customHeight="1" x14ac:dyDescent="0.2">
      <c r="BE218" s="432" t="s">
        <v>307</v>
      </c>
      <c r="BF218" s="432"/>
      <c r="BG218" s="432"/>
      <c r="BH218" s="432"/>
      <c r="BI218" s="432"/>
      <c r="BJ218" s="432"/>
      <c r="BK218" s="432"/>
      <c r="BL218" s="432"/>
      <c r="BM218" s="432"/>
      <c r="BN218" s="432"/>
      <c r="BO218" s="432"/>
      <c r="BP218" s="432"/>
      <c r="BQ218" s="432"/>
      <c r="BR218" s="432"/>
      <c r="BS218" s="432"/>
      <c r="BT218" s="432"/>
      <c r="BU218" s="432"/>
      <c r="BV218" s="432"/>
      <c r="BW218" s="432"/>
      <c r="BX218" s="432"/>
      <c r="BY218" s="432"/>
      <c r="BZ218" s="432"/>
      <c r="CA218" s="432"/>
      <c r="CG218" s="432"/>
      <c r="CH218" s="432"/>
      <c r="CI218" s="432"/>
      <c r="CJ218" s="432"/>
      <c r="CK218" s="432"/>
      <c r="CL218" s="432"/>
      <c r="CM218" s="432"/>
      <c r="CN218" s="432"/>
      <c r="CO218" s="432"/>
      <c r="CP218" s="432"/>
      <c r="CQ218" s="432"/>
      <c r="CR218" s="432"/>
      <c r="CS218" s="432"/>
      <c r="CT218" s="432"/>
      <c r="CU218" s="432"/>
      <c r="CV218" s="432"/>
      <c r="CW218" s="432"/>
      <c r="CX218" s="432"/>
      <c r="CY218" s="432"/>
      <c r="CZ218" s="432"/>
      <c r="DA218" s="432"/>
      <c r="DB218" s="432"/>
      <c r="DC218" s="432"/>
    </row>
    <row r="219" spans="57:107" ht="15" hidden="1" customHeight="1" x14ac:dyDescent="0.2">
      <c r="BE219" s="432" t="s">
        <v>126</v>
      </c>
      <c r="BF219" s="432"/>
      <c r="BG219" s="432"/>
      <c r="BH219" s="447">
        <f>280*(45+41)</f>
        <v>24080</v>
      </c>
      <c r="BI219" s="447"/>
      <c r="BJ219" s="447"/>
      <c r="BK219" s="447"/>
      <c r="BL219" s="447"/>
      <c r="BM219" s="220" t="s">
        <v>127</v>
      </c>
      <c r="BN219" s="220"/>
      <c r="BO219" s="220"/>
      <c r="BP219" s="220"/>
      <c r="BQ219" s="220"/>
      <c r="BR219" s="220"/>
      <c r="BS219" s="220"/>
      <c r="BT219" s="220"/>
      <c r="CG219" s="432"/>
      <c r="CH219" s="432"/>
      <c r="CI219" s="432"/>
      <c r="CJ219" s="433"/>
      <c r="CK219" s="433"/>
      <c r="CL219" s="433"/>
      <c r="CM219" s="433"/>
      <c r="CN219" s="433"/>
      <c r="CO219" s="220"/>
      <c r="CP219" s="220"/>
      <c r="CQ219" s="220"/>
      <c r="CR219" s="220"/>
      <c r="CS219" s="220"/>
      <c r="CT219" s="220"/>
      <c r="CU219" s="220"/>
      <c r="CV219" s="220"/>
    </row>
    <row r="220" spans="57:107" ht="15" hidden="1" customHeight="1" x14ac:dyDescent="0.2">
      <c r="BE220" s="434">
        <v>0.6</v>
      </c>
      <c r="BF220" s="432"/>
      <c r="BG220" s="432"/>
      <c r="BH220" s="216">
        <f>BH219*BE220</f>
        <v>14448</v>
      </c>
      <c r="BI220" s="432" t="s">
        <v>128</v>
      </c>
      <c r="BJ220" s="432"/>
      <c r="BK220" s="432"/>
      <c r="BL220" s="432"/>
      <c r="BM220" s="432"/>
      <c r="BN220" s="432" t="s">
        <v>129</v>
      </c>
      <c r="BO220" s="432"/>
      <c r="BP220" s="432"/>
      <c r="BQ220" s="432"/>
      <c r="BR220" s="432"/>
      <c r="BS220" s="432"/>
      <c r="BT220" s="432"/>
      <c r="CG220" s="434"/>
      <c r="CH220" s="432"/>
      <c r="CI220" s="432"/>
      <c r="CJ220" s="216"/>
      <c r="CK220" s="432"/>
      <c r="CL220" s="432"/>
      <c r="CM220" s="432"/>
      <c r="CN220" s="432"/>
      <c r="CO220" s="432"/>
      <c r="CP220" s="432"/>
      <c r="CQ220" s="432"/>
      <c r="CR220" s="432"/>
      <c r="CS220" s="432"/>
      <c r="CT220" s="432"/>
      <c r="CU220" s="432"/>
      <c r="CV220" s="432"/>
    </row>
    <row r="221" spans="57:107" ht="15" hidden="1" customHeight="1" x14ac:dyDescent="0.2">
      <c r="BE221" s="432">
        <v>211</v>
      </c>
      <c r="BF221" s="432"/>
      <c r="BG221" s="432"/>
      <c r="BH221" s="216">
        <f>BH220-BH222</f>
        <v>11096.774193548386</v>
      </c>
      <c r="BI221" s="447">
        <f>BH221*0.1</f>
        <v>1109.6774193548388</v>
      </c>
      <c r="BJ221" s="447"/>
      <c r="BK221" s="447"/>
      <c r="BL221" s="447"/>
      <c r="BM221" s="447"/>
      <c r="BN221" s="447">
        <f>BH221-BI221</f>
        <v>9987.0967741935474</v>
      </c>
      <c r="BO221" s="448"/>
      <c r="BP221" s="448"/>
      <c r="BQ221" s="448"/>
      <c r="BR221" s="448"/>
      <c r="BS221" s="448"/>
      <c r="BT221" s="448"/>
      <c r="BU221" s="117" t="s">
        <v>276</v>
      </c>
      <c r="CG221" s="432"/>
      <c r="CH221" s="432"/>
      <c r="CI221" s="432"/>
      <c r="CJ221" s="216"/>
      <c r="CK221" s="435"/>
      <c r="CL221" s="435"/>
      <c r="CM221" s="435"/>
      <c r="CN221" s="435"/>
      <c r="CO221" s="435"/>
      <c r="CP221" s="435"/>
      <c r="CQ221" s="432"/>
      <c r="CR221" s="432"/>
      <c r="CS221" s="432"/>
      <c r="CT221" s="432"/>
      <c r="CU221" s="432"/>
      <c r="CV221" s="432"/>
    </row>
    <row r="222" spans="57:107" ht="15" hidden="1" customHeight="1" x14ac:dyDescent="0.2">
      <c r="BE222" s="432">
        <v>213</v>
      </c>
      <c r="BF222" s="432"/>
      <c r="BG222" s="432"/>
      <c r="BH222" s="216">
        <f>BH220*30.2/130.2</f>
        <v>3351.2258064516132</v>
      </c>
      <c r="BI222" s="435">
        <f>BI221*30.2%</f>
        <v>335.12258064516129</v>
      </c>
      <c r="BJ222" s="435"/>
      <c r="BK222" s="435"/>
      <c r="BL222" s="435"/>
      <c r="BM222" s="435"/>
      <c r="BN222" s="435">
        <f>BN221*30.2%</f>
        <v>3016.1032258064511</v>
      </c>
      <c r="BO222" s="435"/>
      <c r="BP222" s="435"/>
      <c r="BQ222" s="435"/>
      <c r="BR222" s="435"/>
      <c r="BS222" s="435"/>
      <c r="BT222" s="435"/>
      <c r="CG222" s="432"/>
      <c r="CH222" s="432"/>
      <c r="CI222" s="432"/>
      <c r="CJ222" s="216"/>
      <c r="CK222" s="435"/>
      <c r="CL222" s="435"/>
      <c r="CM222" s="435"/>
      <c r="CN222" s="435"/>
      <c r="CO222" s="435"/>
      <c r="CP222" s="435"/>
      <c r="CQ222" s="435"/>
      <c r="CR222" s="435"/>
      <c r="CS222" s="435"/>
      <c r="CT222" s="435"/>
      <c r="CU222" s="435"/>
      <c r="CV222" s="435"/>
    </row>
    <row r="223" spans="57:107" ht="15" hidden="1" customHeight="1" x14ac:dyDescent="0.2"/>
    <row r="224" spans="57:107" ht="12" hidden="1" x14ac:dyDescent="0.2">
      <c r="BE224" s="432" t="s">
        <v>337</v>
      </c>
      <c r="BF224" s="432"/>
      <c r="BG224" s="432"/>
      <c r="BH224" s="432"/>
      <c r="BI224" s="432"/>
      <c r="BJ224" s="432"/>
      <c r="BK224" s="432"/>
      <c r="BL224" s="432"/>
      <c r="BM224" s="432"/>
      <c r="BN224" s="432"/>
      <c r="BO224" s="432"/>
      <c r="BP224" s="432"/>
      <c r="BQ224" s="432"/>
      <c r="BR224" s="432"/>
      <c r="BS224" s="432"/>
      <c r="BT224" s="432"/>
      <c r="BU224" s="432"/>
      <c r="BV224" s="432"/>
      <c r="BW224" s="432"/>
      <c r="BX224" s="432"/>
      <c r="BY224" s="432"/>
      <c r="BZ224" s="432"/>
      <c r="CA224" s="432"/>
    </row>
    <row r="225" spans="57:107" ht="12" hidden="1" x14ac:dyDescent="0.2">
      <c r="BE225" s="432" t="s">
        <v>126</v>
      </c>
      <c r="BF225" s="432"/>
      <c r="BG225" s="432"/>
      <c r="BH225" s="433">
        <f>280*39</f>
        <v>10920</v>
      </c>
      <c r="BI225" s="433"/>
      <c r="BJ225" s="433"/>
      <c r="BK225" s="433"/>
      <c r="BL225" s="433"/>
      <c r="BM225" s="227" t="s">
        <v>127</v>
      </c>
      <c r="BN225" s="227"/>
      <c r="BO225" s="227"/>
      <c r="BP225" s="227"/>
      <c r="BQ225" s="227"/>
      <c r="BR225" s="227"/>
      <c r="BS225" s="227"/>
      <c r="BT225" s="227"/>
    </row>
    <row r="226" spans="57:107" ht="21.75" hidden="1" customHeight="1" x14ac:dyDescent="0.25">
      <c r="BE226" s="434">
        <v>0.6</v>
      </c>
      <c r="BF226" s="432"/>
      <c r="BG226" s="432"/>
      <c r="BH226" s="216">
        <f>BH225*BE226</f>
        <v>6552</v>
      </c>
      <c r="BI226" s="432" t="s">
        <v>128</v>
      </c>
      <c r="BJ226" s="432"/>
      <c r="BK226" s="432"/>
      <c r="BL226" s="432"/>
      <c r="BM226" s="432"/>
      <c r="BN226" s="432" t="s">
        <v>129</v>
      </c>
      <c r="BO226" s="432"/>
      <c r="BP226" s="432"/>
      <c r="BQ226" s="432"/>
      <c r="BR226" s="432"/>
      <c r="BS226" s="432"/>
      <c r="BT226" s="432"/>
      <c r="CG226" s="246"/>
      <c r="CH226" s="246"/>
      <c r="CI226" s="246"/>
      <c r="CJ226" s="432"/>
      <c r="CK226" s="443"/>
      <c r="CL226" s="443"/>
      <c r="CM226" s="443"/>
      <c r="CN226" s="443"/>
      <c r="CO226" s="246"/>
      <c r="CP226" s="246"/>
      <c r="CQ226" s="246"/>
      <c r="CR226" s="246"/>
      <c r="CS226" s="246"/>
      <c r="CT226" s="246"/>
      <c r="CU226" s="246"/>
      <c r="CV226" s="246"/>
      <c r="CW226" s="246"/>
      <c r="CX226" s="246"/>
      <c r="CY226" s="246"/>
      <c r="CZ226" s="246"/>
      <c r="DA226" s="246"/>
      <c r="DB226" s="246"/>
      <c r="DC226" s="246"/>
    </row>
    <row r="227" spans="57:107" ht="18" hidden="1" customHeight="1" x14ac:dyDescent="0.2">
      <c r="BE227" s="432">
        <v>211</v>
      </c>
      <c r="BF227" s="432"/>
      <c r="BG227" s="432"/>
      <c r="BH227" s="216">
        <f>BH226-BH228</f>
        <v>5032.2580645161288</v>
      </c>
      <c r="BI227" s="435">
        <f>BH227*0.1</f>
        <v>503.22580645161293</v>
      </c>
      <c r="BJ227" s="435"/>
      <c r="BK227" s="435"/>
      <c r="BL227" s="435"/>
      <c r="BM227" s="435"/>
      <c r="BN227" s="436">
        <f>BH227-BI227</f>
        <v>4529.0322580645161</v>
      </c>
      <c r="BO227" s="445"/>
      <c r="BP227" s="445"/>
      <c r="BQ227" s="445"/>
      <c r="BR227" s="445"/>
      <c r="BS227" s="445"/>
      <c r="BT227" s="445"/>
      <c r="CG227" s="432"/>
      <c r="CH227" s="432"/>
      <c r="CI227" s="432"/>
      <c r="CJ227" s="433"/>
      <c r="CK227" s="433"/>
      <c r="CL227" s="433"/>
      <c r="CM227" s="433"/>
      <c r="CN227" s="433"/>
      <c r="CO227" s="220"/>
      <c r="CP227" s="220"/>
      <c r="CQ227" s="220"/>
      <c r="CR227" s="220"/>
      <c r="CS227" s="220"/>
      <c r="CT227" s="220"/>
      <c r="CU227" s="220"/>
      <c r="CV227" s="220"/>
    </row>
    <row r="228" spans="57:107" ht="16.5" hidden="1" customHeight="1" x14ac:dyDescent="0.2">
      <c r="BE228" s="432">
        <v>213</v>
      </c>
      <c r="BF228" s="432"/>
      <c r="BG228" s="432"/>
      <c r="BH228" s="216">
        <f>BH226*30.2/130.2</f>
        <v>1519.741935483871</v>
      </c>
      <c r="BI228" s="435">
        <f>BI227*30.2%</f>
        <v>151.97419354838709</v>
      </c>
      <c r="BJ228" s="435"/>
      <c r="BK228" s="435"/>
      <c r="BL228" s="435"/>
      <c r="BM228" s="435"/>
      <c r="BN228" s="435">
        <f>BN227*30.2%</f>
        <v>1367.7677419354839</v>
      </c>
      <c r="BO228" s="435"/>
      <c r="BP228" s="435"/>
      <c r="BQ228" s="435"/>
      <c r="BR228" s="435"/>
      <c r="BS228" s="435"/>
      <c r="BT228" s="435"/>
      <c r="CG228" s="434"/>
      <c r="CH228" s="432"/>
      <c r="CI228" s="432"/>
      <c r="CJ228" s="216"/>
      <c r="CK228" s="432"/>
      <c r="CL228" s="432"/>
      <c r="CM228" s="432"/>
      <c r="CN228" s="432"/>
      <c r="CO228" s="432"/>
      <c r="CP228" s="432"/>
      <c r="CQ228" s="432"/>
      <c r="CR228" s="432"/>
      <c r="CS228" s="432"/>
      <c r="CT228" s="432"/>
      <c r="CU228" s="432"/>
      <c r="CV228" s="432"/>
    </row>
    <row r="229" spans="57:107" ht="14.25" hidden="1" customHeight="1" x14ac:dyDescent="0.2">
      <c r="CG229" s="432"/>
      <c r="CH229" s="432"/>
      <c r="CI229" s="432"/>
      <c r="CJ229" s="216"/>
      <c r="CK229" s="435"/>
      <c r="CL229" s="435"/>
      <c r="CM229" s="435"/>
      <c r="CN229" s="435"/>
      <c r="CO229" s="435"/>
      <c r="CP229" s="435"/>
      <c r="CQ229" s="432"/>
      <c r="CR229" s="432"/>
      <c r="CS229" s="432"/>
      <c r="CT229" s="432"/>
      <c r="CU229" s="432"/>
      <c r="CV229" s="432"/>
    </row>
    <row r="230" spans="57:107" ht="15" hidden="1" customHeight="1" x14ac:dyDescent="0.2">
      <c r="CG230" s="432"/>
      <c r="CH230" s="432"/>
      <c r="CI230" s="432"/>
      <c r="CJ230" s="216"/>
      <c r="CK230" s="435"/>
      <c r="CL230" s="435"/>
      <c r="CM230" s="435"/>
      <c r="CN230" s="435"/>
      <c r="CO230" s="435"/>
      <c r="CP230" s="435"/>
      <c r="CQ230" s="435"/>
      <c r="CR230" s="435"/>
      <c r="CS230" s="435"/>
      <c r="CT230" s="435"/>
      <c r="CU230" s="435"/>
      <c r="CV230" s="435"/>
    </row>
    <row r="231" spans="57:107" ht="12" hidden="1" x14ac:dyDescent="0.2">
      <c r="BE231" s="432" t="s">
        <v>354</v>
      </c>
      <c r="BF231" s="432"/>
      <c r="BG231" s="432"/>
      <c r="BH231" s="432"/>
      <c r="BI231" s="432"/>
      <c r="BJ231" s="432"/>
      <c r="BK231" s="432"/>
      <c r="BL231" s="432"/>
      <c r="BM231" s="432"/>
      <c r="BN231" s="432"/>
      <c r="BO231" s="432"/>
      <c r="BP231" s="432"/>
      <c r="BQ231" s="432"/>
      <c r="BR231" s="432"/>
      <c r="BS231" s="432"/>
      <c r="BT231" s="432"/>
      <c r="BU231" s="432"/>
      <c r="BV231" s="432"/>
      <c r="BW231" s="432"/>
      <c r="BX231" s="432"/>
      <c r="BY231" s="432"/>
      <c r="BZ231" s="432"/>
      <c r="CA231" s="432"/>
    </row>
    <row r="232" spans="57:107" ht="12" hidden="1" x14ac:dyDescent="0.2">
      <c r="BE232" s="432" t="s">
        <v>126</v>
      </c>
      <c r="BF232" s="432"/>
      <c r="BG232" s="432"/>
      <c r="BH232" s="433">
        <f>280*41</f>
        <v>11480</v>
      </c>
      <c r="BI232" s="433"/>
      <c r="BJ232" s="433"/>
      <c r="BK232" s="433"/>
      <c r="BL232" s="433"/>
      <c r="BM232" s="228" t="s">
        <v>127</v>
      </c>
      <c r="BN232" s="228"/>
      <c r="BO232" s="228"/>
      <c r="BP232" s="228"/>
      <c r="BQ232" s="228"/>
      <c r="BR232" s="228"/>
      <c r="BS232" s="228"/>
      <c r="BT232" s="228"/>
    </row>
    <row r="233" spans="57:107" ht="12" hidden="1" x14ac:dyDescent="0.2">
      <c r="BE233" s="434">
        <v>0.6</v>
      </c>
      <c r="BF233" s="432"/>
      <c r="BG233" s="432"/>
      <c r="BH233" s="216">
        <f>BH232*BE233</f>
        <v>6888</v>
      </c>
      <c r="BI233" s="432" t="s">
        <v>128</v>
      </c>
      <c r="BJ233" s="432"/>
      <c r="BK233" s="432"/>
      <c r="BL233" s="432"/>
      <c r="BM233" s="432"/>
      <c r="BN233" s="432" t="s">
        <v>129</v>
      </c>
      <c r="BO233" s="432"/>
      <c r="BP233" s="432"/>
      <c r="BQ233" s="432"/>
      <c r="BR233" s="432"/>
      <c r="BS233" s="432"/>
      <c r="BT233" s="432"/>
    </row>
    <row r="234" spans="57:107" ht="12" hidden="1" x14ac:dyDescent="0.2">
      <c r="BE234" s="432">
        <v>211</v>
      </c>
      <c r="BF234" s="432"/>
      <c r="BG234" s="432"/>
      <c r="BH234" s="216">
        <f>BH233-BH235</f>
        <v>5290.322580645161</v>
      </c>
      <c r="BI234" s="435">
        <f>BH234*0.1</f>
        <v>529.0322580645161</v>
      </c>
      <c r="BJ234" s="435"/>
      <c r="BK234" s="435"/>
      <c r="BL234" s="435"/>
      <c r="BM234" s="435"/>
      <c r="BN234" s="436">
        <f>BH234-BI234</f>
        <v>4761.2903225806449</v>
      </c>
      <c r="BO234" s="445"/>
      <c r="BP234" s="445"/>
      <c r="BQ234" s="445"/>
      <c r="BR234" s="445"/>
      <c r="BS234" s="445"/>
      <c r="BT234" s="445"/>
    </row>
    <row r="235" spans="57:107" ht="12" hidden="1" x14ac:dyDescent="0.2">
      <c r="BE235" s="432">
        <v>213</v>
      </c>
      <c r="BF235" s="432"/>
      <c r="BG235" s="432"/>
      <c r="BH235" s="216">
        <f>BH233*30.2/130.2</f>
        <v>1597.677419354839</v>
      </c>
      <c r="BI235" s="435">
        <f>BI234*30.2%</f>
        <v>159.76774193548385</v>
      </c>
      <c r="BJ235" s="435"/>
      <c r="BK235" s="435"/>
      <c r="BL235" s="435"/>
      <c r="BM235" s="435"/>
      <c r="BN235" s="435">
        <f>BN234*30.2%</f>
        <v>1437.9096774193547</v>
      </c>
      <c r="BO235" s="435"/>
      <c r="BP235" s="435"/>
      <c r="BQ235" s="435"/>
      <c r="BR235" s="435"/>
      <c r="BS235" s="435"/>
      <c r="BT235" s="435"/>
    </row>
    <row r="236" spans="57:107" ht="8.25" hidden="1" customHeight="1" x14ac:dyDescent="0.2">
      <c r="BE236" s="432"/>
      <c r="BF236" s="432"/>
      <c r="BG236" s="432"/>
      <c r="BH236" s="432"/>
      <c r="BI236" s="432"/>
      <c r="BJ236" s="432"/>
      <c r="BK236" s="432"/>
      <c r="BL236" s="432"/>
      <c r="BM236" s="432"/>
      <c r="BN236" s="432"/>
      <c r="BO236" s="432"/>
      <c r="BP236" s="432"/>
      <c r="BQ236" s="432"/>
      <c r="BR236" s="432"/>
      <c r="BS236" s="432"/>
      <c r="BT236" s="432"/>
      <c r="BU236" s="432"/>
      <c r="BV236" s="432"/>
      <c r="BW236" s="432"/>
      <c r="BX236" s="432"/>
      <c r="BY236" s="432"/>
      <c r="BZ236" s="432"/>
      <c r="CA236" s="432"/>
    </row>
    <row r="237" spans="57:107" ht="8.25" hidden="1" customHeight="1" x14ac:dyDescent="0.2">
      <c r="BE237" s="432"/>
      <c r="BF237" s="432"/>
      <c r="BG237" s="432"/>
      <c r="BH237" s="433"/>
      <c r="BI237" s="433"/>
      <c r="BJ237" s="433"/>
      <c r="BK237" s="433"/>
      <c r="BL237" s="433"/>
      <c r="BM237" s="220"/>
      <c r="BN237" s="220"/>
      <c r="BO237" s="220"/>
      <c r="BP237" s="220"/>
      <c r="BQ237" s="220"/>
      <c r="BR237" s="220"/>
      <c r="BS237" s="220"/>
      <c r="BT237" s="220"/>
    </row>
    <row r="238" spans="57:107" ht="12" hidden="1" x14ac:dyDescent="0.2">
      <c r="BE238" s="432" t="s">
        <v>356</v>
      </c>
      <c r="BF238" s="432"/>
      <c r="BG238" s="432"/>
      <c r="BH238" s="432"/>
      <c r="BI238" s="432"/>
      <c r="BJ238" s="432"/>
      <c r="BK238" s="432"/>
      <c r="BL238" s="432"/>
      <c r="BM238" s="432"/>
      <c r="BN238" s="432"/>
      <c r="BO238" s="432"/>
      <c r="BP238" s="432"/>
      <c r="BQ238" s="432"/>
      <c r="BR238" s="432"/>
      <c r="BS238" s="432"/>
      <c r="BT238" s="432"/>
      <c r="BU238" s="432"/>
      <c r="BV238" s="432"/>
      <c r="BW238" s="432"/>
      <c r="BX238" s="432"/>
      <c r="BY238" s="432"/>
      <c r="BZ238" s="432"/>
      <c r="CA238" s="432"/>
    </row>
    <row r="239" spans="57:107" ht="12" hidden="1" x14ac:dyDescent="0.2">
      <c r="BE239" s="432" t="s">
        <v>126</v>
      </c>
      <c r="BF239" s="432"/>
      <c r="BG239" s="432"/>
      <c r="BH239" s="433">
        <f>280*18</f>
        <v>5040</v>
      </c>
      <c r="BI239" s="433"/>
      <c r="BJ239" s="433"/>
      <c r="BK239" s="433"/>
      <c r="BL239" s="433"/>
      <c r="BM239" s="229" t="s">
        <v>127</v>
      </c>
      <c r="BN239" s="229"/>
      <c r="BO239" s="229"/>
      <c r="BP239" s="229"/>
      <c r="BQ239" s="229"/>
      <c r="BR239" s="229"/>
      <c r="BS239" s="229"/>
      <c r="BT239" s="229"/>
    </row>
    <row r="240" spans="57:107" ht="12" hidden="1" x14ac:dyDescent="0.2">
      <c r="BE240" s="434">
        <v>0.6</v>
      </c>
      <c r="BF240" s="432"/>
      <c r="BG240" s="432"/>
      <c r="BH240" s="216">
        <f>BH239*BE240</f>
        <v>3024</v>
      </c>
      <c r="BI240" s="432" t="s">
        <v>128</v>
      </c>
      <c r="BJ240" s="432"/>
      <c r="BK240" s="432"/>
      <c r="BL240" s="432"/>
      <c r="BM240" s="432"/>
      <c r="BN240" s="432" t="s">
        <v>129</v>
      </c>
      <c r="BO240" s="432"/>
      <c r="BP240" s="432"/>
      <c r="BQ240" s="432"/>
      <c r="BR240" s="432"/>
      <c r="BS240" s="432"/>
      <c r="BT240" s="432"/>
    </row>
    <row r="241" spans="57:97" ht="12" hidden="1" x14ac:dyDescent="0.2">
      <c r="BE241" s="432">
        <v>211</v>
      </c>
      <c r="BF241" s="432"/>
      <c r="BG241" s="432"/>
      <c r="BH241" s="216">
        <f>BH240-BH242</f>
        <v>2322.5806451612902</v>
      </c>
      <c r="BI241" s="435">
        <f>BH241*0.1</f>
        <v>232.25806451612902</v>
      </c>
      <c r="BJ241" s="435"/>
      <c r="BK241" s="435"/>
      <c r="BL241" s="435"/>
      <c r="BM241" s="435"/>
      <c r="BN241" s="436">
        <f>BH241-BI241</f>
        <v>2090.322580645161</v>
      </c>
      <c r="BO241" s="445"/>
      <c r="BP241" s="445"/>
      <c r="BQ241" s="445"/>
      <c r="BR241" s="445"/>
      <c r="BS241" s="445"/>
      <c r="BT241" s="445"/>
    </row>
    <row r="242" spans="57:97" ht="12" hidden="1" x14ac:dyDescent="0.2">
      <c r="BE242" s="432">
        <v>213</v>
      </c>
      <c r="BF242" s="432"/>
      <c r="BG242" s="432"/>
      <c r="BH242" s="216">
        <f>BH240*30.2/130.2</f>
        <v>701.41935483870975</v>
      </c>
      <c r="BI242" s="435">
        <f>BI241*30.2%</f>
        <v>70.141935483870967</v>
      </c>
      <c r="BJ242" s="435"/>
      <c r="BK242" s="435"/>
      <c r="BL242" s="435"/>
      <c r="BM242" s="435"/>
      <c r="BN242" s="435">
        <f>BN241*30.2%</f>
        <v>631.27741935483857</v>
      </c>
      <c r="BO242" s="435"/>
      <c r="BP242" s="435"/>
      <c r="BQ242" s="435"/>
      <c r="BR242" s="435"/>
      <c r="BS242" s="435"/>
      <c r="BT242" s="435"/>
    </row>
    <row r="243" spans="57:97" ht="8.25" hidden="1" customHeight="1" x14ac:dyDescent="0.2">
      <c r="BE243" s="434"/>
      <c r="BF243" s="432"/>
      <c r="BG243" s="432"/>
      <c r="BH243" s="216"/>
      <c r="BI243" s="432"/>
      <c r="BJ243" s="432"/>
      <c r="BK243" s="432"/>
      <c r="BL243" s="432"/>
      <c r="BM243" s="432"/>
      <c r="BN243" s="432"/>
      <c r="BO243" s="432"/>
      <c r="BP243" s="432"/>
      <c r="BQ243" s="432"/>
      <c r="BR243" s="432"/>
      <c r="BS243" s="432"/>
      <c r="BT243" s="432"/>
    </row>
    <row r="244" spans="57:97" ht="8.25" hidden="1" customHeight="1" x14ac:dyDescent="0.2">
      <c r="BE244" s="432"/>
      <c r="BF244" s="432"/>
      <c r="BG244" s="432"/>
      <c r="BH244" s="216"/>
      <c r="BI244" s="435"/>
      <c r="BJ244" s="435"/>
      <c r="BK244" s="435"/>
      <c r="BL244" s="435"/>
      <c r="BM244" s="435"/>
      <c r="BN244" s="435"/>
      <c r="BO244" s="432"/>
      <c r="BP244" s="432"/>
      <c r="BQ244" s="432"/>
      <c r="BR244" s="432"/>
      <c r="BS244" s="432"/>
      <c r="BT244" s="432"/>
    </row>
    <row r="245" spans="57:97" ht="12" hidden="1" x14ac:dyDescent="0.2">
      <c r="BE245" s="432" t="s">
        <v>375</v>
      </c>
      <c r="BF245" s="432"/>
      <c r="BG245" s="432"/>
      <c r="BH245" s="432"/>
      <c r="BI245" s="432"/>
      <c r="BJ245" s="432"/>
      <c r="BK245" s="432"/>
      <c r="BL245" s="432"/>
      <c r="BM245" s="432"/>
      <c r="BN245" s="432"/>
      <c r="BO245" s="432"/>
      <c r="BP245" s="432"/>
      <c r="BQ245" s="432"/>
      <c r="BR245" s="432"/>
      <c r="BS245" s="432"/>
      <c r="BT245" s="432"/>
      <c r="BU245" s="432"/>
      <c r="BV245" s="432"/>
      <c r="BW245" s="432"/>
      <c r="BX245" s="432"/>
      <c r="BY245" s="432"/>
      <c r="BZ245" s="432"/>
      <c r="CA245" s="432"/>
    </row>
    <row r="246" spans="57:97" ht="12" hidden="1" x14ac:dyDescent="0.2">
      <c r="BE246" s="432" t="s">
        <v>126</v>
      </c>
      <c r="BF246" s="432"/>
      <c r="BG246" s="432"/>
      <c r="BH246" s="433">
        <f>280*26</f>
        <v>7280</v>
      </c>
      <c r="BI246" s="433"/>
      <c r="BJ246" s="433"/>
      <c r="BK246" s="433"/>
      <c r="BL246" s="433"/>
      <c r="BM246" s="232" t="s">
        <v>127</v>
      </c>
      <c r="BN246" s="232"/>
      <c r="BO246" s="232"/>
      <c r="BP246" s="232"/>
      <c r="BQ246" s="232"/>
      <c r="BR246" s="232"/>
      <c r="BS246" s="232"/>
      <c r="BT246" s="232"/>
    </row>
    <row r="247" spans="57:97" ht="15" hidden="1" x14ac:dyDescent="0.25">
      <c r="BE247" s="434">
        <v>0.6</v>
      </c>
      <c r="BF247" s="432"/>
      <c r="BG247" s="432"/>
      <c r="BH247" s="216">
        <f>BH246*BE247</f>
        <v>4368</v>
      </c>
      <c r="BI247" s="432" t="s">
        <v>128</v>
      </c>
      <c r="BJ247" s="432"/>
      <c r="BK247" s="432"/>
      <c r="BL247" s="432"/>
      <c r="BM247" s="432"/>
      <c r="BN247" s="432" t="s">
        <v>129</v>
      </c>
      <c r="BO247" s="432"/>
      <c r="BP247" s="432"/>
      <c r="BQ247" s="432"/>
      <c r="BR247" s="432"/>
      <c r="BS247" s="432"/>
      <c r="BT247" s="432"/>
      <c r="CE247" s="432" t="s">
        <v>368</v>
      </c>
      <c r="CF247" s="443"/>
      <c r="CG247" s="443"/>
      <c r="CH247" s="443"/>
      <c r="CI247" s="443"/>
      <c r="CJ247" s="443"/>
      <c r="CM247" s="432" t="s">
        <v>366</v>
      </c>
      <c r="CN247" s="443"/>
      <c r="CO247" s="443"/>
      <c r="CP247" s="443"/>
      <c r="CQ247" s="443"/>
      <c r="CR247" s="443"/>
      <c r="CS247" s="443"/>
    </row>
    <row r="248" spans="57:97" ht="15" hidden="1" x14ac:dyDescent="0.25">
      <c r="BE248" s="432">
        <v>211</v>
      </c>
      <c r="BF248" s="432"/>
      <c r="BG248" s="432"/>
      <c r="BH248" s="216">
        <f>BH247-BH249</f>
        <v>3354.8387096774195</v>
      </c>
      <c r="BI248" s="435">
        <f>BH248*0.2</f>
        <v>670.9677419354839</v>
      </c>
      <c r="BJ248" s="435"/>
      <c r="BK248" s="435"/>
      <c r="BL248" s="435"/>
      <c r="BM248" s="435"/>
      <c r="BN248" s="436">
        <f>BH248-BI248</f>
        <v>2683.8709677419356</v>
      </c>
      <c r="BO248" s="445"/>
      <c r="BP248" s="445"/>
      <c r="BQ248" s="445"/>
      <c r="BR248" s="445"/>
      <c r="BS248" s="445"/>
      <c r="BT248" s="445"/>
      <c r="CE248" s="437">
        <f>BI248*15/20</f>
        <v>503.22580645161287</v>
      </c>
      <c r="CF248" s="446"/>
      <c r="CG248" s="446"/>
      <c r="CH248" s="446"/>
      <c r="CI248" s="446"/>
      <c r="CJ248" s="446"/>
      <c r="CK248" s="235"/>
      <c r="CL248" s="235"/>
      <c r="CM248" s="437">
        <f>BI248*5/20</f>
        <v>167.74193548387098</v>
      </c>
      <c r="CN248" s="446"/>
      <c r="CO248" s="446"/>
      <c r="CP248" s="446"/>
      <c r="CQ248" s="446"/>
      <c r="CR248" s="446"/>
      <c r="CS248" s="446"/>
    </row>
    <row r="249" spans="57:97" ht="12" hidden="1" x14ac:dyDescent="0.2">
      <c r="BE249" s="432">
        <v>213</v>
      </c>
      <c r="BF249" s="432"/>
      <c r="BG249" s="432"/>
      <c r="BH249" s="216">
        <f>BH247*30.2/130.2</f>
        <v>1013.1612903225807</v>
      </c>
      <c r="BI249" s="435">
        <f>BI248*30.2%</f>
        <v>202.63225806451612</v>
      </c>
      <c r="BJ249" s="435"/>
      <c r="BK249" s="435"/>
      <c r="BL249" s="435"/>
      <c r="BM249" s="435"/>
      <c r="BN249" s="435">
        <f>BN248*30.2%</f>
        <v>810.52903225806449</v>
      </c>
      <c r="BO249" s="435"/>
      <c r="BP249" s="435"/>
      <c r="BQ249" s="435"/>
      <c r="BR249" s="435"/>
      <c r="BS249" s="435"/>
      <c r="BT249" s="435"/>
      <c r="CJ249" s="236"/>
    </row>
    <row r="250" spans="57:97" ht="8.25" hidden="1" customHeight="1" x14ac:dyDescent="0.2"/>
    <row r="251" spans="57:97" ht="8.25" hidden="1" customHeight="1" x14ac:dyDescent="0.2"/>
    <row r="252" spans="57:97" ht="12" hidden="1" x14ac:dyDescent="0.2">
      <c r="BE252" s="432" t="s">
        <v>435</v>
      </c>
      <c r="BF252" s="432"/>
      <c r="BG252" s="432"/>
      <c r="BH252" s="432"/>
      <c r="BI252" s="432"/>
      <c r="BJ252" s="432"/>
      <c r="BK252" s="432"/>
      <c r="BL252" s="432"/>
      <c r="BM252" s="432"/>
      <c r="BN252" s="432"/>
      <c r="BO252" s="432"/>
      <c r="BP252" s="432"/>
      <c r="BQ252" s="432"/>
      <c r="BR252" s="432"/>
      <c r="BS252" s="432"/>
      <c r="BT252" s="432"/>
      <c r="BU252" s="432"/>
      <c r="BV252" s="432"/>
      <c r="BW252" s="432"/>
      <c r="BX252" s="432"/>
      <c r="BY252" s="432"/>
      <c r="BZ252" s="432"/>
      <c r="CA252" s="432"/>
    </row>
    <row r="253" spans="57:97" ht="12" hidden="1" x14ac:dyDescent="0.2">
      <c r="BE253" s="432" t="s">
        <v>126</v>
      </c>
      <c r="BF253" s="432"/>
      <c r="BG253" s="432"/>
      <c r="BH253" s="433">
        <f>300*24</f>
        <v>7200</v>
      </c>
      <c r="BI253" s="433"/>
      <c r="BJ253" s="433"/>
      <c r="BK253" s="433"/>
      <c r="BL253" s="433"/>
      <c r="BM253" s="240" t="s">
        <v>127</v>
      </c>
      <c r="BN253" s="240"/>
      <c r="BO253" s="240"/>
      <c r="BP253" s="240"/>
      <c r="BQ253" s="240"/>
      <c r="BR253" s="240"/>
      <c r="BS253" s="240"/>
      <c r="BT253" s="240"/>
    </row>
    <row r="254" spans="57:97" ht="15" hidden="1" x14ac:dyDescent="0.25">
      <c r="BE254" s="434">
        <v>0.6</v>
      </c>
      <c r="BF254" s="432"/>
      <c r="BG254" s="432"/>
      <c r="BH254" s="216">
        <f>BH253*BE254</f>
        <v>4320</v>
      </c>
      <c r="BI254" s="432" t="s">
        <v>128</v>
      </c>
      <c r="BJ254" s="432"/>
      <c r="BK254" s="432"/>
      <c r="BL254" s="432"/>
      <c r="BM254" s="432"/>
      <c r="BN254" s="432" t="s">
        <v>129</v>
      </c>
      <c r="BO254" s="432"/>
      <c r="BP254" s="432"/>
      <c r="BQ254" s="432"/>
      <c r="BR254" s="432"/>
      <c r="BS254" s="432"/>
      <c r="BT254" s="432"/>
      <c r="CE254" s="432" t="s">
        <v>368</v>
      </c>
      <c r="CF254" s="443"/>
      <c r="CG254" s="443"/>
      <c r="CH254" s="443"/>
      <c r="CI254" s="443"/>
      <c r="CJ254" s="443"/>
      <c r="CM254" s="432" t="s">
        <v>366</v>
      </c>
      <c r="CN254" s="443"/>
      <c r="CO254" s="443"/>
      <c r="CP254" s="443"/>
      <c r="CQ254" s="443"/>
      <c r="CR254" s="443"/>
      <c r="CS254" s="443"/>
    </row>
    <row r="255" spans="57:97" ht="15" hidden="1" x14ac:dyDescent="0.25">
      <c r="BE255" s="432">
        <v>211</v>
      </c>
      <c r="BF255" s="432"/>
      <c r="BG255" s="432"/>
      <c r="BH255" s="216">
        <f>BH254-BH256</f>
        <v>3317.9723502304146</v>
      </c>
      <c r="BI255" s="435">
        <f>BH255*0.2</f>
        <v>663.59447004608296</v>
      </c>
      <c r="BJ255" s="435"/>
      <c r="BK255" s="435"/>
      <c r="BL255" s="435"/>
      <c r="BM255" s="435"/>
      <c r="BN255" s="436">
        <f>BH255-BI255</f>
        <v>2654.3778801843318</v>
      </c>
      <c r="BO255" s="445"/>
      <c r="BP255" s="445"/>
      <c r="BQ255" s="445"/>
      <c r="BR255" s="445"/>
      <c r="BS255" s="445"/>
      <c r="BT255" s="445"/>
      <c r="CE255" s="437">
        <f>BI255*15/20</f>
        <v>497.69585253456228</v>
      </c>
      <c r="CF255" s="446"/>
      <c r="CG255" s="446"/>
      <c r="CH255" s="446"/>
      <c r="CI255" s="446"/>
      <c r="CJ255" s="446"/>
      <c r="CK255" s="241"/>
      <c r="CL255" s="241"/>
      <c r="CM255" s="437">
        <f>BI255*5/20</f>
        <v>165.89861751152074</v>
      </c>
      <c r="CN255" s="446"/>
      <c r="CO255" s="446"/>
      <c r="CP255" s="446"/>
      <c r="CQ255" s="446"/>
      <c r="CR255" s="446"/>
      <c r="CS255" s="446"/>
    </row>
    <row r="256" spans="57:97" ht="12" hidden="1" x14ac:dyDescent="0.2">
      <c r="BE256" s="432">
        <v>213</v>
      </c>
      <c r="BF256" s="432"/>
      <c r="BG256" s="432"/>
      <c r="BH256" s="216">
        <f>BH254*30.2/130.2</f>
        <v>1002.0276497695853</v>
      </c>
      <c r="BI256" s="435">
        <f>BI255*30.2%</f>
        <v>200.40552995391704</v>
      </c>
      <c r="BJ256" s="435"/>
      <c r="BK256" s="435"/>
      <c r="BL256" s="435"/>
      <c r="BM256" s="435"/>
      <c r="BN256" s="435">
        <f>BN255*30.2%</f>
        <v>801.62211981566816</v>
      </c>
      <c r="BO256" s="435"/>
      <c r="BP256" s="435"/>
      <c r="BQ256" s="435"/>
      <c r="BR256" s="435"/>
      <c r="BS256" s="435"/>
      <c r="BT256" s="435"/>
      <c r="CJ256" s="236"/>
    </row>
    <row r="257" spans="57:97" ht="8.25" hidden="1" customHeight="1" x14ac:dyDescent="0.2"/>
    <row r="258" spans="57:97" ht="8.25" hidden="1" customHeight="1" x14ac:dyDescent="0.2"/>
    <row r="259" spans="57:97" ht="12" hidden="1" x14ac:dyDescent="0.2">
      <c r="BE259" s="432" t="s">
        <v>449</v>
      </c>
      <c r="BF259" s="432"/>
      <c r="BG259" s="432"/>
      <c r="BH259" s="432"/>
      <c r="BI259" s="432"/>
      <c r="BJ259" s="432"/>
      <c r="BK259" s="432"/>
      <c r="BL259" s="432"/>
      <c r="BM259" s="432"/>
      <c r="BN259" s="432"/>
      <c r="BO259" s="432"/>
      <c r="BP259" s="432"/>
      <c r="BQ259" s="432"/>
      <c r="BR259" s="432"/>
      <c r="BS259" s="432"/>
      <c r="BT259" s="432"/>
      <c r="BU259" s="432"/>
      <c r="BV259" s="432"/>
      <c r="BW259" s="432"/>
      <c r="BX259" s="432"/>
      <c r="BY259" s="432"/>
      <c r="BZ259" s="432"/>
      <c r="CA259" s="432"/>
    </row>
    <row r="260" spans="57:97" ht="12" hidden="1" x14ac:dyDescent="0.2">
      <c r="BE260" s="432" t="s">
        <v>126</v>
      </c>
      <c r="BF260" s="432"/>
      <c r="BG260" s="432"/>
      <c r="BH260" s="433">
        <f>300*19</f>
        <v>5700</v>
      </c>
      <c r="BI260" s="433"/>
      <c r="BJ260" s="433"/>
      <c r="BK260" s="433"/>
      <c r="BL260" s="433"/>
      <c r="BM260" s="284" t="s">
        <v>127</v>
      </c>
      <c r="BN260" s="284"/>
      <c r="BO260" s="284"/>
      <c r="BP260" s="284"/>
      <c r="BQ260" s="284"/>
      <c r="BR260" s="284"/>
      <c r="BS260" s="284"/>
      <c r="BT260" s="284"/>
    </row>
    <row r="261" spans="57:97" ht="15" hidden="1" x14ac:dyDescent="0.25">
      <c r="BE261" s="434">
        <v>0.6</v>
      </c>
      <c r="BF261" s="432"/>
      <c r="BG261" s="432"/>
      <c r="BH261" s="216">
        <f>BH260*BE261</f>
        <v>3420</v>
      </c>
      <c r="BI261" s="432" t="s">
        <v>128</v>
      </c>
      <c r="BJ261" s="432"/>
      <c r="BK261" s="432"/>
      <c r="BL261" s="432"/>
      <c r="BM261" s="432"/>
      <c r="BN261" s="432" t="s">
        <v>129</v>
      </c>
      <c r="BO261" s="432"/>
      <c r="BP261" s="432"/>
      <c r="BQ261" s="432"/>
      <c r="BR261" s="432"/>
      <c r="BS261" s="432"/>
      <c r="BT261" s="432"/>
      <c r="CE261" s="432" t="s">
        <v>368</v>
      </c>
      <c r="CF261" s="443"/>
      <c r="CG261" s="443"/>
      <c r="CH261" s="443"/>
      <c r="CI261" s="443"/>
      <c r="CJ261" s="443"/>
      <c r="CM261" s="432" t="s">
        <v>366</v>
      </c>
      <c r="CN261" s="443"/>
      <c r="CO261" s="443"/>
      <c r="CP261" s="443"/>
      <c r="CQ261" s="443"/>
      <c r="CR261" s="443"/>
      <c r="CS261" s="443"/>
    </row>
    <row r="262" spans="57:97" ht="15" hidden="1" x14ac:dyDescent="0.25">
      <c r="BE262" s="432">
        <v>211</v>
      </c>
      <c r="BF262" s="432"/>
      <c r="BG262" s="432"/>
      <c r="BH262" s="216">
        <f>BH261-BH263</f>
        <v>2626.7281105990783</v>
      </c>
      <c r="BI262" s="435">
        <f>BH262*0.2</f>
        <v>525.34562211981563</v>
      </c>
      <c r="BJ262" s="435"/>
      <c r="BK262" s="435"/>
      <c r="BL262" s="435"/>
      <c r="BM262" s="435"/>
      <c r="BN262" s="436">
        <f>BH262-BI262</f>
        <v>2101.3824884792625</v>
      </c>
      <c r="BO262" s="445"/>
      <c r="BP262" s="445"/>
      <c r="BQ262" s="445"/>
      <c r="BR262" s="445"/>
      <c r="BS262" s="445"/>
      <c r="BT262" s="445"/>
      <c r="CE262" s="437">
        <f>BI262*15/20</f>
        <v>394.00921658986169</v>
      </c>
      <c r="CF262" s="446"/>
      <c r="CG262" s="446"/>
      <c r="CH262" s="446"/>
      <c r="CI262" s="446"/>
      <c r="CJ262" s="446"/>
      <c r="CK262" s="285"/>
      <c r="CL262" s="285"/>
      <c r="CM262" s="437">
        <f>BI262*5/20</f>
        <v>131.33640552995391</v>
      </c>
      <c r="CN262" s="446"/>
      <c r="CO262" s="446"/>
      <c r="CP262" s="446"/>
      <c r="CQ262" s="446"/>
      <c r="CR262" s="446"/>
      <c r="CS262" s="446"/>
    </row>
    <row r="263" spans="57:97" ht="12" hidden="1" x14ac:dyDescent="0.2">
      <c r="BE263" s="432">
        <v>213</v>
      </c>
      <c r="BF263" s="432"/>
      <c r="BG263" s="432"/>
      <c r="BH263" s="216">
        <f>BH261*30.2/130.2</f>
        <v>793.27188940092174</v>
      </c>
      <c r="BI263" s="435">
        <f>BI262*30.2%</f>
        <v>158.65437788018431</v>
      </c>
      <c r="BJ263" s="435"/>
      <c r="BK263" s="435"/>
      <c r="BL263" s="435"/>
      <c r="BM263" s="435"/>
      <c r="BN263" s="435">
        <f>BN262*30.2%</f>
        <v>634.61751152073725</v>
      </c>
      <c r="BO263" s="435"/>
      <c r="BP263" s="435"/>
      <c r="BQ263" s="435"/>
      <c r="BR263" s="435"/>
      <c r="BS263" s="435"/>
      <c r="BT263" s="435"/>
      <c r="CJ263" s="236"/>
    </row>
    <row r="264" spans="57:97" ht="8.25" hidden="1" customHeight="1" x14ac:dyDescent="0.2"/>
    <row r="265" spans="57:97" ht="8.25" hidden="1" customHeight="1" x14ac:dyDescent="0.2"/>
    <row r="266" spans="57:97" ht="12" hidden="1" x14ac:dyDescent="0.2">
      <c r="BE266" s="432" t="s">
        <v>444</v>
      </c>
      <c r="BF266" s="432"/>
      <c r="BG266" s="432"/>
      <c r="BH266" s="432"/>
      <c r="BI266" s="432"/>
      <c r="BJ266" s="432"/>
      <c r="BK266" s="432"/>
      <c r="BL266" s="432"/>
      <c r="BM266" s="432"/>
      <c r="BN266" s="432"/>
      <c r="BO266" s="432"/>
      <c r="BP266" s="432"/>
      <c r="BQ266" s="432"/>
      <c r="BR266" s="432"/>
      <c r="BS266" s="432"/>
      <c r="BT266" s="432"/>
      <c r="BU266" s="432"/>
      <c r="BV266" s="432"/>
      <c r="BW266" s="432"/>
      <c r="BX266" s="432"/>
      <c r="BY266" s="432"/>
      <c r="BZ266" s="432"/>
      <c r="CA266" s="432"/>
    </row>
    <row r="267" spans="57:97" ht="12" hidden="1" x14ac:dyDescent="0.2">
      <c r="BE267" s="432" t="s">
        <v>126</v>
      </c>
      <c r="BF267" s="432"/>
      <c r="BG267" s="432"/>
      <c r="BH267" s="433">
        <f>300*95</f>
        <v>28500</v>
      </c>
      <c r="BI267" s="433"/>
      <c r="BJ267" s="433"/>
      <c r="BK267" s="433"/>
      <c r="BL267" s="433"/>
      <c r="BM267" s="284" t="s">
        <v>127</v>
      </c>
      <c r="BN267" s="284"/>
      <c r="BO267" s="284"/>
      <c r="BP267" s="284"/>
      <c r="BQ267" s="284"/>
      <c r="BR267" s="284"/>
      <c r="BS267" s="284"/>
      <c r="BT267" s="284"/>
    </row>
    <row r="268" spans="57:97" ht="15" hidden="1" x14ac:dyDescent="0.25">
      <c r="BE268" s="434">
        <v>0.6</v>
      </c>
      <c r="BF268" s="432"/>
      <c r="BG268" s="432"/>
      <c r="BH268" s="216">
        <f>BH267*BE268</f>
        <v>17100</v>
      </c>
      <c r="BI268" s="432" t="s">
        <v>128</v>
      </c>
      <c r="BJ268" s="432"/>
      <c r="BK268" s="432"/>
      <c r="BL268" s="432"/>
      <c r="BM268" s="432"/>
      <c r="BN268" s="432" t="s">
        <v>129</v>
      </c>
      <c r="BO268" s="432"/>
      <c r="BP268" s="432"/>
      <c r="BQ268" s="432"/>
      <c r="BR268" s="432"/>
      <c r="BS268" s="432"/>
      <c r="BT268" s="432"/>
      <c r="CE268" s="432" t="s">
        <v>368</v>
      </c>
      <c r="CF268" s="443"/>
      <c r="CG268" s="443"/>
      <c r="CH268" s="443"/>
      <c r="CI268" s="443"/>
      <c r="CJ268" s="443"/>
      <c r="CM268" s="432" t="s">
        <v>366</v>
      </c>
      <c r="CN268" s="443"/>
      <c r="CO268" s="443"/>
      <c r="CP268" s="443"/>
      <c r="CQ268" s="443"/>
      <c r="CR268" s="443"/>
      <c r="CS268" s="443"/>
    </row>
    <row r="269" spans="57:97" ht="15" hidden="1" x14ac:dyDescent="0.25">
      <c r="BE269" s="432">
        <v>211</v>
      </c>
      <c r="BF269" s="432"/>
      <c r="BG269" s="432"/>
      <c r="BH269" s="216">
        <f>BH268-BH270</f>
        <v>13133.640552995392</v>
      </c>
      <c r="BI269" s="435">
        <f>BH269*0.2</f>
        <v>2626.7281105990787</v>
      </c>
      <c r="BJ269" s="435"/>
      <c r="BK269" s="435"/>
      <c r="BL269" s="435"/>
      <c r="BM269" s="435"/>
      <c r="BN269" s="436">
        <f>BH269-BI269</f>
        <v>10506.912442396313</v>
      </c>
      <c r="BO269" s="445"/>
      <c r="BP269" s="445"/>
      <c r="BQ269" s="445"/>
      <c r="BR269" s="445"/>
      <c r="BS269" s="445"/>
      <c r="BT269" s="445"/>
      <c r="CE269" s="437">
        <f>BI269*15/20</f>
        <v>1970.046082949309</v>
      </c>
      <c r="CF269" s="446"/>
      <c r="CG269" s="446"/>
      <c r="CH269" s="446"/>
      <c r="CI269" s="446"/>
      <c r="CJ269" s="446"/>
      <c r="CK269" s="285"/>
      <c r="CL269" s="285"/>
      <c r="CM269" s="437">
        <f>BI269*5/20</f>
        <v>656.68202764976968</v>
      </c>
      <c r="CN269" s="446"/>
      <c r="CO269" s="446"/>
      <c r="CP269" s="446"/>
      <c r="CQ269" s="446"/>
      <c r="CR269" s="446"/>
      <c r="CS269" s="446"/>
    </row>
    <row r="270" spans="57:97" ht="12" hidden="1" x14ac:dyDescent="0.2">
      <c r="BE270" s="432">
        <v>213</v>
      </c>
      <c r="BF270" s="432"/>
      <c r="BG270" s="432"/>
      <c r="BH270" s="216">
        <f>BH268*30.2/130.2</f>
        <v>3966.3594470046087</v>
      </c>
      <c r="BI270" s="435">
        <f>BI269*30.2%</f>
        <v>793.27188940092174</v>
      </c>
      <c r="BJ270" s="435"/>
      <c r="BK270" s="435"/>
      <c r="BL270" s="435"/>
      <c r="BM270" s="435"/>
      <c r="BN270" s="435">
        <f>BN269*30.2%</f>
        <v>3173.0875576036865</v>
      </c>
      <c r="BO270" s="435"/>
      <c r="BP270" s="435"/>
      <c r="BQ270" s="435"/>
      <c r="BR270" s="435"/>
      <c r="BS270" s="435"/>
      <c r="BT270" s="435"/>
      <c r="CJ270" s="236"/>
    </row>
    <row r="271" spans="57:97" ht="8.25" hidden="1" customHeight="1" x14ac:dyDescent="0.2"/>
    <row r="272" spans="57:97" ht="8.25" hidden="1" customHeight="1" x14ac:dyDescent="0.2"/>
    <row r="273" spans="57:97" ht="12" hidden="1" x14ac:dyDescent="0.2">
      <c r="BE273" s="432" t="s">
        <v>459</v>
      </c>
      <c r="BF273" s="432"/>
      <c r="BG273" s="432"/>
      <c r="BH273" s="432"/>
      <c r="BI273" s="432"/>
      <c r="BJ273" s="432"/>
      <c r="BK273" s="432"/>
      <c r="BL273" s="432"/>
      <c r="BM273" s="432"/>
      <c r="BN273" s="432"/>
      <c r="BO273" s="432"/>
      <c r="BP273" s="432"/>
      <c r="BQ273" s="432"/>
      <c r="BR273" s="432"/>
      <c r="BS273" s="432"/>
      <c r="BT273" s="432"/>
      <c r="BU273" s="432"/>
      <c r="BV273" s="432"/>
      <c r="BW273" s="432"/>
      <c r="BX273" s="432"/>
      <c r="BY273" s="432"/>
      <c r="BZ273" s="432"/>
      <c r="CA273" s="432"/>
    </row>
    <row r="274" spans="57:97" ht="12" hidden="1" x14ac:dyDescent="0.2">
      <c r="BE274" s="432" t="s">
        <v>126</v>
      </c>
      <c r="BF274" s="432"/>
      <c r="BG274" s="432"/>
      <c r="BH274" s="433">
        <f>300*49</f>
        <v>14700</v>
      </c>
      <c r="BI274" s="433"/>
      <c r="BJ274" s="433"/>
      <c r="BK274" s="433"/>
      <c r="BL274" s="433"/>
      <c r="BM274" s="289" t="s">
        <v>127</v>
      </c>
      <c r="BN274" s="289"/>
      <c r="BO274" s="289"/>
      <c r="BP274" s="289"/>
      <c r="BQ274" s="289"/>
      <c r="BR274" s="289"/>
      <c r="BS274" s="289"/>
      <c r="BT274" s="289"/>
    </row>
    <row r="275" spans="57:97" ht="15" hidden="1" x14ac:dyDescent="0.25">
      <c r="BE275" s="434">
        <v>0.6</v>
      </c>
      <c r="BF275" s="432"/>
      <c r="BG275" s="432"/>
      <c r="BH275" s="216">
        <f>BH274*BE275</f>
        <v>8820</v>
      </c>
      <c r="BI275" s="432" t="s">
        <v>128</v>
      </c>
      <c r="BJ275" s="432"/>
      <c r="BK275" s="432"/>
      <c r="BL275" s="432"/>
      <c r="BM275" s="432"/>
      <c r="BN275" s="432" t="s">
        <v>129</v>
      </c>
      <c r="BO275" s="432"/>
      <c r="BP275" s="432"/>
      <c r="BQ275" s="432"/>
      <c r="BR275" s="432"/>
      <c r="BS275" s="432"/>
      <c r="BT275" s="432"/>
      <c r="CE275" s="432" t="s">
        <v>368</v>
      </c>
      <c r="CF275" s="443"/>
      <c r="CG275" s="443"/>
      <c r="CH275" s="443"/>
      <c r="CI275" s="443"/>
      <c r="CJ275" s="443"/>
      <c r="CM275" s="432" t="s">
        <v>366</v>
      </c>
      <c r="CN275" s="443"/>
      <c r="CO275" s="443"/>
      <c r="CP275" s="443"/>
      <c r="CQ275" s="443"/>
      <c r="CR275" s="443"/>
      <c r="CS275" s="443"/>
    </row>
    <row r="276" spans="57:97" ht="15" hidden="1" x14ac:dyDescent="0.25">
      <c r="BE276" s="432">
        <v>211</v>
      </c>
      <c r="BF276" s="432"/>
      <c r="BG276" s="432"/>
      <c r="BH276" s="216">
        <f>BH275-BH277</f>
        <v>6774.1935483870966</v>
      </c>
      <c r="BI276" s="435">
        <f>BH276*0.2</f>
        <v>1354.8387096774195</v>
      </c>
      <c r="BJ276" s="435"/>
      <c r="BK276" s="435"/>
      <c r="BL276" s="435"/>
      <c r="BM276" s="435"/>
      <c r="BN276" s="436">
        <f>BH276-BI276</f>
        <v>5419.3548387096771</v>
      </c>
      <c r="BO276" s="445"/>
      <c r="BP276" s="445"/>
      <c r="BQ276" s="445"/>
      <c r="BR276" s="445"/>
      <c r="BS276" s="445"/>
      <c r="BT276" s="445"/>
      <c r="CE276" s="437">
        <f>BI276*15/20</f>
        <v>1016.1290322580646</v>
      </c>
      <c r="CF276" s="446"/>
      <c r="CG276" s="446"/>
      <c r="CH276" s="446"/>
      <c r="CI276" s="446"/>
      <c r="CJ276" s="446"/>
      <c r="CK276" s="288"/>
      <c r="CL276" s="288"/>
      <c r="CM276" s="437">
        <f>BI276*5/20</f>
        <v>338.70967741935488</v>
      </c>
      <c r="CN276" s="446"/>
      <c r="CO276" s="446"/>
      <c r="CP276" s="446"/>
      <c r="CQ276" s="446"/>
      <c r="CR276" s="446"/>
      <c r="CS276" s="446"/>
    </row>
    <row r="277" spans="57:97" ht="12" hidden="1" x14ac:dyDescent="0.2">
      <c r="BE277" s="432">
        <v>213</v>
      </c>
      <c r="BF277" s="432"/>
      <c r="BG277" s="432"/>
      <c r="BH277" s="216">
        <f>BH275*30.2/130.2</f>
        <v>2045.8064516129034</v>
      </c>
      <c r="BI277" s="435">
        <f>BI276*30.2%</f>
        <v>409.16129032258067</v>
      </c>
      <c r="BJ277" s="435"/>
      <c r="BK277" s="435"/>
      <c r="BL277" s="435"/>
      <c r="BM277" s="435"/>
      <c r="BN277" s="435">
        <f>BN276*30.2%</f>
        <v>1636.6451612903224</v>
      </c>
      <c r="BO277" s="435"/>
      <c r="BP277" s="435"/>
      <c r="BQ277" s="435"/>
      <c r="BR277" s="435"/>
      <c r="BS277" s="435"/>
      <c r="BT277" s="435"/>
      <c r="CJ277" s="236"/>
    </row>
    <row r="278" spans="57:97" ht="8.25" hidden="1" customHeight="1" x14ac:dyDescent="0.2"/>
    <row r="279" spans="57:97" ht="8.25" hidden="1" customHeight="1" x14ac:dyDescent="0.2"/>
    <row r="280" spans="57:97" ht="12" hidden="1" x14ac:dyDescent="0.2">
      <c r="BE280" s="432" t="s">
        <v>460</v>
      </c>
      <c r="BF280" s="432"/>
      <c r="BG280" s="432"/>
      <c r="BH280" s="432"/>
      <c r="BI280" s="432"/>
      <c r="BJ280" s="432"/>
      <c r="BK280" s="432"/>
      <c r="BL280" s="432"/>
      <c r="BM280" s="432"/>
      <c r="BN280" s="432"/>
      <c r="BO280" s="432"/>
      <c r="BP280" s="432"/>
      <c r="BQ280" s="432"/>
      <c r="BR280" s="432"/>
      <c r="BS280" s="432"/>
      <c r="BT280" s="432"/>
      <c r="BU280" s="432"/>
      <c r="BV280" s="432"/>
      <c r="BW280" s="432"/>
      <c r="BX280" s="432"/>
      <c r="BY280" s="432"/>
      <c r="BZ280" s="432"/>
      <c r="CA280" s="432"/>
    </row>
    <row r="281" spans="57:97" ht="12" hidden="1" x14ac:dyDescent="0.2">
      <c r="BE281" s="432" t="s">
        <v>126</v>
      </c>
      <c r="BF281" s="432"/>
      <c r="BG281" s="432"/>
      <c r="BH281" s="433">
        <f>300*52</f>
        <v>15600</v>
      </c>
      <c r="BI281" s="433"/>
      <c r="BJ281" s="433"/>
      <c r="BK281" s="433"/>
      <c r="BL281" s="433"/>
      <c r="BM281" s="289" t="s">
        <v>127</v>
      </c>
      <c r="BN281" s="289"/>
      <c r="BO281" s="289"/>
      <c r="BP281" s="289"/>
      <c r="BQ281" s="289"/>
      <c r="BR281" s="289"/>
      <c r="BS281" s="289"/>
      <c r="BT281" s="289"/>
    </row>
    <row r="282" spans="57:97" ht="15" hidden="1" x14ac:dyDescent="0.25">
      <c r="BE282" s="434">
        <v>0.6</v>
      </c>
      <c r="BF282" s="432"/>
      <c r="BG282" s="432"/>
      <c r="BH282" s="216">
        <f>BH281*BE282</f>
        <v>9360</v>
      </c>
      <c r="BI282" s="432" t="s">
        <v>128</v>
      </c>
      <c r="BJ282" s="432"/>
      <c r="BK282" s="432"/>
      <c r="BL282" s="432"/>
      <c r="BM282" s="432"/>
      <c r="BN282" s="432" t="s">
        <v>129</v>
      </c>
      <c r="BO282" s="432"/>
      <c r="BP282" s="432"/>
      <c r="BQ282" s="432"/>
      <c r="BR282" s="432"/>
      <c r="BS282" s="432"/>
      <c r="BT282" s="432"/>
      <c r="CE282" s="432" t="s">
        <v>368</v>
      </c>
      <c r="CF282" s="443"/>
      <c r="CG282" s="443"/>
      <c r="CH282" s="443"/>
      <c r="CI282" s="443"/>
      <c r="CJ282" s="443"/>
      <c r="CM282" s="432" t="s">
        <v>366</v>
      </c>
      <c r="CN282" s="443"/>
      <c r="CO282" s="443"/>
      <c r="CP282" s="443"/>
      <c r="CQ282" s="443"/>
      <c r="CR282" s="443"/>
      <c r="CS282" s="443"/>
    </row>
    <row r="283" spans="57:97" ht="15" hidden="1" x14ac:dyDescent="0.25">
      <c r="BE283" s="432">
        <v>211</v>
      </c>
      <c r="BF283" s="432"/>
      <c r="BG283" s="432"/>
      <c r="BH283" s="216">
        <f>BH282-BH284</f>
        <v>7188.940092165898</v>
      </c>
      <c r="BI283" s="435">
        <f>BH283*0.2</f>
        <v>1437.7880184331798</v>
      </c>
      <c r="BJ283" s="435"/>
      <c r="BK283" s="435"/>
      <c r="BL283" s="435"/>
      <c r="BM283" s="435"/>
      <c r="BN283" s="436">
        <f>BH283-BI283</f>
        <v>5751.1520737327182</v>
      </c>
      <c r="BO283" s="445"/>
      <c r="BP283" s="445"/>
      <c r="BQ283" s="445"/>
      <c r="BR283" s="445"/>
      <c r="BS283" s="445"/>
      <c r="BT283" s="445"/>
      <c r="CE283" s="437">
        <f>BI283*15/20</f>
        <v>1078.3410138248848</v>
      </c>
      <c r="CF283" s="446"/>
      <c r="CG283" s="446"/>
      <c r="CH283" s="446"/>
      <c r="CI283" s="446"/>
      <c r="CJ283" s="446"/>
      <c r="CK283" s="288"/>
      <c r="CL283" s="288"/>
      <c r="CM283" s="437">
        <f>BI283*5/20</f>
        <v>359.44700460829495</v>
      </c>
      <c r="CN283" s="446"/>
      <c r="CO283" s="446"/>
      <c r="CP283" s="446"/>
      <c r="CQ283" s="446"/>
      <c r="CR283" s="446"/>
      <c r="CS283" s="446"/>
    </row>
    <row r="284" spans="57:97" ht="12" hidden="1" x14ac:dyDescent="0.2">
      <c r="BE284" s="432">
        <v>213</v>
      </c>
      <c r="BF284" s="432"/>
      <c r="BG284" s="432"/>
      <c r="BH284" s="216">
        <f>BH282*30.2/130.2</f>
        <v>2171.0599078341015</v>
      </c>
      <c r="BI284" s="435">
        <f>BI283*30.2%</f>
        <v>434.21198156682027</v>
      </c>
      <c r="BJ284" s="435"/>
      <c r="BK284" s="435"/>
      <c r="BL284" s="435"/>
      <c r="BM284" s="435"/>
      <c r="BN284" s="435">
        <f>BN283*30.2%</f>
        <v>1736.8479262672809</v>
      </c>
      <c r="BO284" s="435"/>
      <c r="BP284" s="435"/>
      <c r="BQ284" s="435"/>
      <c r="BR284" s="435"/>
      <c r="BS284" s="435"/>
      <c r="BT284" s="435"/>
      <c r="CJ284" s="236"/>
    </row>
    <row r="285" spans="57:97" ht="12" hidden="1" x14ac:dyDescent="0.2"/>
    <row r="286" spans="57:97" ht="12" hidden="1" x14ac:dyDescent="0.2"/>
    <row r="287" spans="57:97" ht="12" hidden="1" x14ac:dyDescent="0.2">
      <c r="BE287" s="432" t="s">
        <v>464</v>
      </c>
      <c r="BF287" s="432"/>
      <c r="BG287" s="432"/>
      <c r="BH287" s="432"/>
      <c r="BI287" s="432"/>
      <c r="BJ287" s="432"/>
      <c r="BK287" s="432"/>
      <c r="BL287" s="432"/>
      <c r="BM287" s="432"/>
      <c r="BN287" s="432"/>
      <c r="BO287" s="432"/>
      <c r="BP287" s="432"/>
      <c r="BQ287" s="432"/>
      <c r="BR287" s="432"/>
      <c r="BS287" s="432"/>
      <c r="BT287" s="432"/>
      <c r="BU287" s="432"/>
      <c r="BV287" s="432"/>
      <c r="BW287" s="432"/>
      <c r="BX287" s="432"/>
      <c r="BY287" s="432"/>
      <c r="BZ287" s="432"/>
      <c r="CA287" s="432"/>
    </row>
    <row r="288" spans="57:97" ht="12" hidden="1" x14ac:dyDescent="0.2">
      <c r="BE288" s="432" t="s">
        <v>126</v>
      </c>
      <c r="BF288" s="432"/>
      <c r="BG288" s="432"/>
      <c r="BH288" s="433">
        <f>300*64</f>
        <v>19200</v>
      </c>
      <c r="BI288" s="433"/>
      <c r="BJ288" s="433"/>
      <c r="BK288" s="433"/>
      <c r="BL288" s="433"/>
      <c r="BM288" s="291" t="s">
        <v>127</v>
      </c>
      <c r="BN288" s="291"/>
      <c r="BO288" s="291"/>
      <c r="BP288" s="291"/>
      <c r="BQ288" s="291"/>
      <c r="BR288" s="291"/>
      <c r="BS288" s="291"/>
      <c r="BT288" s="291"/>
    </row>
    <row r="289" spans="57:97" ht="15" hidden="1" x14ac:dyDescent="0.25">
      <c r="BE289" s="434">
        <v>0.6</v>
      </c>
      <c r="BF289" s="432"/>
      <c r="BG289" s="432"/>
      <c r="BH289" s="216">
        <f>BH288*BE289</f>
        <v>11520</v>
      </c>
      <c r="BI289" s="432" t="s">
        <v>128</v>
      </c>
      <c r="BJ289" s="432"/>
      <c r="BK289" s="432"/>
      <c r="BL289" s="432"/>
      <c r="BM289" s="432"/>
      <c r="BN289" s="432" t="s">
        <v>129</v>
      </c>
      <c r="BO289" s="432"/>
      <c r="BP289" s="432"/>
      <c r="BQ289" s="432"/>
      <c r="BR289" s="432"/>
      <c r="BS289" s="432"/>
      <c r="BT289" s="432"/>
      <c r="CE289" s="432" t="s">
        <v>368</v>
      </c>
      <c r="CF289" s="443"/>
      <c r="CG289" s="443"/>
      <c r="CH289" s="443"/>
      <c r="CI289" s="443"/>
      <c r="CJ289" s="443"/>
      <c r="CM289" s="432" t="s">
        <v>366</v>
      </c>
      <c r="CN289" s="443"/>
      <c r="CO289" s="443"/>
      <c r="CP289" s="443"/>
      <c r="CQ289" s="443"/>
      <c r="CR289" s="443"/>
      <c r="CS289" s="443"/>
    </row>
    <row r="290" spans="57:97" ht="15" hidden="1" x14ac:dyDescent="0.25">
      <c r="BE290" s="432">
        <v>211</v>
      </c>
      <c r="BF290" s="432"/>
      <c r="BG290" s="432"/>
      <c r="BH290" s="216">
        <f>BH289-BH291</f>
        <v>8847.9262672811055</v>
      </c>
      <c r="BI290" s="435">
        <f>BH290*0.2</f>
        <v>1769.5852534562212</v>
      </c>
      <c r="BJ290" s="435"/>
      <c r="BK290" s="435"/>
      <c r="BL290" s="435"/>
      <c r="BM290" s="435"/>
      <c r="BN290" s="436">
        <f>BH290-BI290</f>
        <v>7078.3410138248846</v>
      </c>
      <c r="BO290" s="445"/>
      <c r="BP290" s="445"/>
      <c r="BQ290" s="445"/>
      <c r="BR290" s="445"/>
      <c r="BS290" s="445"/>
      <c r="BT290" s="445"/>
      <c r="CE290" s="437">
        <f>BI290*15/20</f>
        <v>1327.1889400921659</v>
      </c>
      <c r="CF290" s="446"/>
      <c r="CG290" s="446"/>
      <c r="CH290" s="446"/>
      <c r="CI290" s="446"/>
      <c r="CJ290" s="446"/>
      <c r="CK290" s="290"/>
      <c r="CL290" s="290"/>
      <c r="CM290" s="437">
        <f>BI290*5/20</f>
        <v>442.39631336405529</v>
      </c>
      <c r="CN290" s="446"/>
      <c r="CO290" s="446"/>
      <c r="CP290" s="446"/>
      <c r="CQ290" s="446"/>
      <c r="CR290" s="446"/>
      <c r="CS290" s="446"/>
    </row>
    <row r="291" spans="57:97" ht="12" hidden="1" x14ac:dyDescent="0.2">
      <c r="BE291" s="432">
        <v>213</v>
      </c>
      <c r="BF291" s="432"/>
      <c r="BG291" s="432"/>
      <c r="BH291" s="216">
        <f>BH289*30.2/130.2</f>
        <v>2672.0737327188945</v>
      </c>
      <c r="BI291" s="435">
        <f>BI290*30.2%</f>
        <v>534.41474654377873</v>
      </c>
      <c r="BJ291" s="435"/>
      <c r="BK291" s="435"/>
      <c r="BL291" s="435"/>
      <c r="BM291" s="435"/>
      <c r="BN291" s="435">
        <f>BN290*30.2%</f>
        <v>2137.6589861751149</v>
      </c>
      <c r="BO291" s="435"/>
      <c r="BP291" s="435"/>
      <c r="BQ291" s="435"/>
      <c r="BR291" s="435"/>
      <c r="BS291" s="435"/>
      <c r="BT291" s="435"/>
      <c r="CJ291" s="236"/>
    </row>
    <row r="292" spans="57:97" ht="8.25" hidden="1" customHeight="1" x14ac:dyDescent="0.2"/>
    <row r="293" spans="57:97" ht="12" hidden="1" x14ac:dyDescent="0.2"/>
    <row r="294" spans="57:97" ht="12" hidden="1" x14ac:dyDescent="0.2">
      <c r="BE294" s="432" t="s">
        <v>463</v>
      </c>
      <c r="BF294" s="432"/>
      <c r="BG294" s="432"/>
      <c r="BH294" s="432"/>
      <c r="BI294" s="432"/>
      <c r="BJ294" s="432"/>
      <c r="BK294" s="432"/>
      <c r="BL294" s="432"/>
      <c r="BM294" s="432"/>
      <c r="BN294" s="432"/>
      <c r="BO294" s="432"/>
      <c r="BP294" s="432"/>
      <c r="BQ294" s="432"/>
      <c r="BR294" s="432"/>
      <c r="BS294" s="432"/>
      <c r="BT294" s="432"/>
      <c r="BU294" s="432"/>
      <c r="BV294" s="432"/>
      <c r="BW294" s="432"/>
      <c r="BX294" s="432"/>
      <c r="BY294" s="432"/>
      <c r="BZ294" s="432"/>
      <c r="CA294" s="432"/>
    </row>
    <row r="295" spans="57:97" ht="12" hidden="1" x14ac:dyDescent="0.2">
      <c r="BE295" s="432" t="s">
        <v>126</v>
      </c>
      <c r="BF295" s="432"/>
      <c r="BG295" s="432"/>
      <c r="BH295" s="433">
        <f>300*49</f>
        <v>14700</v>
      </c>
      <c r="BI295" s="433"/>
      <c r="BJ295" s="433"/>
      <c r="BK295" s="433"/>
      <c r="BL295" s="433"/>
      <c r="BM295" s="291" t="s">
        <v>127</v>
      </c>
      <c r="BN295" s="291"/>
      <c r="BO295" s="291"/>
      <c r="BP295" s="291"/>
      <c r="BQ295" s="291"/>
      <c r="BR295" s="291"/>
      <c r="BS295" s="291"/>
      <c r="BT295" s="291"/>
    </row>
    <row r="296" spans="57:97" ht="15" hidden="1" x14ac:dyDescent="0.25">
      <c r="BE296" s="434">
        <v>0.6</v>
      </c>
      <c r="BF296" s="432"/>
      <c r="BG296" s="432"/>
      <c r="BH296" s="216">
        <f>BH295*BE296</f>
        <v>8820</v>
      </c>
      <c r="BI296" s="432" t="s">
        <v>128</v>
      </c>
      <c r="BJ296" s="432"/>
      <c r="BK296" s="432"/>
      <c r="BL296" s="432"/>
      <c r="BM296" s="432"/>
      <c r="BN296" s="432" t="s">
        <v>129</v>
      </c>
      <c r="BO296" s="432"/>
      <c r="BP296" s="432"/>
      <c r="BQ296" s="432"/>
      <c r="BR296" s="432"/>
      <c r="BS296" s="432"/>
      <c r="BT296" s="432"/>
      <c r="CE296" s="432" t="s">
        <v>368</v>
      </c>
      <c r="CF296" s="443"/>
      <c r="CG296" s="443"/>
      <c r="CH296" s="443"/>
      <c r="CI296" s="443"/>
      <c r="CJ296" s="443"/>
      <c r="CM296" s="432" t="s">
        <v>366</v>
      </c>
      <c r="CN296" s="443"/>
      <c r="CO296" s="443"/>
      <c r="CP296" s="443"/>
      <c r="CQ296" s="443"/>
      <c r="CR296" s="443"/>
      <c r="CS296" s="443"/>
    </row>
    <row r="297" spans="57:97" ht="15" hidden="1" x14ac:dyDescent="0.25">
      <c r="BE297" s="432">
        <v>211</v>
      </c>
      <c r="BF297" s="432"/>
      <c r="BG297" s="432"/>
      <c r="BH297" s="216">
        <f>BH296-BH298</f>
        <v>6774.1935483870966</v>
      </c>
      <c r="BI297" s="435">
        <f>BH297*0.2</f>
        <v>1354.8387096774195</v>
      </c>
      <c r="BJ297" s="435"/>
      <c r="BK297" s="435"/>
      <c r="BL297" s="435"/>
      <c r="BM297" s="435"/>
      <c r="BN297" s="436">
        <f>BH297-BI297</f>
        <v>5419.3548387096771</v>
      </c>
      <c r="BO297" s="445"/>
      <c r="BP297" s="445"/>
      <c r="BQ297" s="445"/>
      <c r="BR297" s="445"/>
      <c r="BS297" s="445"/>
      <c r="BT297" s="445"/>
      <c r="CE297" s="437">
        <f>BI297*15/20</f>
        <v>1016.1290322580646</v>
      </c>
      <c r="CF297" s="446"/>
      <c r="CG297" s="446"/>
      <c r="CH297" s="446"/>
      <c r="CI297" s="446"/>
      <c r="CJ297" s="446"/>
      <c r="CK297" s="290"/>
      <c r="CL297" s="290"/>
      <c r="CM297" s="437">
        <f>BI297*5/20</f>
        <v>338.70967741935488</v>
      </c>
      <c r="CN297" s="446"/>
      <c r="CO297" s="446"/>
      <c r="CP297" s="446"/>
      <c r="CQ297" s="446"/>
      <c r="CR297" s="446"/>
      <c r="CS297" s="446"/>
    </row>
    <row r="298" spans="57:97" ht="12" hidden="1" x14ac:dyDescent="0.2">
      <c r="BE298" s="432">
        <v>213</v>
      </c>
      <c r="BF298" s="432"/>
      <c r="BG298" s="432"/>
      <c r="BH298" s="216">
        <f>BH296*30.2/130.2</f>
        <v>2045.8064516129034</v>
      </c>
      <c r="BI298" s="435">
        <f>BI297*30.2%</f>
        <v>409.16129032258067</v>
      </c>
      <c r="BJ298" s="435"/>
      <c r="BK298" s="435"/>
      <c r="BL298" s="435"/>
      <c r="BM298" s="435"/>
      <c r="BN298" s="435">
        <f>BN297*30.2%</f>
        <v>1636.6451612903224</v>
      </c>
      <c r="BO298" s="435"/>
      <c r="BP298" s="435"/>
      <c r="BQ298" s="435"/>
      <c r="BR298" s="435"/>
      <c r="BS298" s="435"/>
      <c r="BT298" s="435"/>
      <c r="CJ298" s="236"/>
    </row>
    <row r="299" spans="57:97" ht="8.25" hidden="1" customHeight="1" x14ac:dyDescent="0.2"/>
    <row r="300" spans="57:97" ht="8.25" hidden="1" customHeight="1" x14ac:dyDescent="0.2"/>
    <row r="301" spans="57:97" ht="12" hidden="1" x14ac:dyDescent="0.2">
      <c r="BE301" s="432" t="s">
        <v>472</v>
      </c>
      <c r="BF301" s="432"/>
      <c r="BG301" s="432"/>
      <c r="BH301" s="432"/>
      <c r="BI301" s="432"/>
      <c r="BJ301" s="432"/>
      <c r="BK301" s="432"/>
      <c r="BL301" s="432"/>
      <c r="BM301" s="432"/>
      <c r="BN301" s="432"/>
      <c r="BO301" s="432"/>
      <c r="BP301" s="432"/>
      <c r="BQ301" s="432"/>
      <c r="BR301" s="432"/>
      <c r="BS301" s="432"/>
      <c r="BT301" s="432"/>
      <c r="BU301" s="432"/>
      <c r="BV301" s="432"/>
      <c r="BW301" s="432"/>
      <c r="BX301" s="432"/>
      <c r="BY301" s="432"/>
      <c r="BZ301" s="432"/>
      <c r="CA301" s="432"/>
    </row>
    <row r="302" spans="57:97" ht="12" hidden="1" x14ac:dyDescent="0.2">
      <c r="BE302" s="432" t="s">
        <v>126</v>
      </c>
      <c r="BF302" s="432"/>
      <c r="BG302" s="432"/>
      <c r="BH302" s="433">
        <f>300*30</f>
        <v>9000</v>
      </c>
      <c r="BI302" s="433"/>
      <c r="BJ302" s="433"/>
      <c r="BK302" s="433"/>
      <c r="BL302" s="433"/>
      <c r="BM302" s="293" t="s">
        <v>127</v>
      </c>
      <c r="BN302" s="293"/>
      <c r="BO302" s="293"/>
      <c r="BP302" s="293"/>
      <c r="BQ302" s="293"/>
      <c r="BR302" s="293"/>
      <c r="BS302" s="293"/>
      <c r="BT302" s="293"/>
    </row>
    <row r="303" spans="57:97" ht="15" hidden="1" x14ac:dyDescent="0.25">
      <c r="BE303" s="434">
        <v>0.6</v>
      </c>
      <c r="BF303" s="432"/>
      <c r="BG303" s="432"/>
      <c r="BH303" s="216">
        <f>BH302*BE303</f>
        <v>5400</v>
      </c>
      <c r="BI303" s="432" t="s">
        <v>128</v>
      </c>
      <c r="BJ303" s="432"/>
      <c r="BK303" s="432"/>
      <c r="BL303" s="432"/>
      <c r="BM303" s="432"/>
      <c r="BN303" s="432" t="s">
        <v>129</v>
      </c>
      <c r="BO303" s="432"/>
      <c r="BP303" s="432"/>
      <c r="BQ303" s="432"/>
      <c r="BR303" s="432"/>
      <c r="BS303" s="432"/>
      <c r="BT303" s="432"/>
      <c r="CE303" s="432" t="s">
        <v>368</v>
      </c>
      <c r="CF303" s="443"/>
      <c r="CG303" s="443"/>
      <c r="CH303" s="443"/>
      <c r="CI303" s="443"/>
      <c r="CJ303" s="443"/>
      <c r="CM303" s="432" t="s">
        <v>366</v>
      </c>
      <c r="CN303" s="443"/>
      <c r="CO303" s="443"/>
      <c r="CP303" s="443"/>
      <c r="CQ303" s="443"/>
      <c r="CR303" s="443"/>
      <c r="CS303" s="443"/>
    </row>
    <row r="304" spans="57:97" ht="15" hidden="1" x14ac:dyDescent="0.25">
      <c r="BE304" s="432">
        <v>211</v>
      </c>
      <c r="BF304" s="432"/>
      <c r="BG304" s="432"/>
      <c r="BH304" s="216">
        <f>BH303-BH305</f>
        <v>4147.4654377880179</v>
      </c>
      <c r="BI304" s="435">
        <f>BH304*0.2</f>
        <v>829.49308755760364</v>
      </c>
      <c r="BJ304" s="435"/>
      <c r="BK304" s="435"/>
      <c r="BL304" s="435"/>
      <c r="BM304" s="435"/>
      <c r="BN304" s="436">
        <f>BH304-BI304</f>
        <v>3317.9723502304141</v>
      </c>
      <c r="BO304" s="445"/>
      <c r="BP304" s="445"/>
      <c r="BQ304" s="445"/>
      <c r="BR304" s="445"/>
      <c r="BS304" s="445"/>
      <c r="BT304" s="445"/>
      <c r="CE304" s="437">
        <f>BI304*15/20</f>
        <v>622.11981566820282</v>
      </c>
      <c r="CF304" s="446"/>
      <c r="CG304" s="446"/>
      <c r="CH304" s="446"/>
      <c r="CI304" s="446"/>
      <c r="CJ304" s="446"/>
      <c r="CK304" s="292"/>
      <c r="CL304" s="292"/>
      <c r="CM304" s="437">
        <f>BI304*5/20</f>
        <v>207.37327188940088</v>
      </c>
      <c r="CN304" s="446"/>
      <c r="CO304" s="446"/>
      <c r="CP304" s="446"/>
      <c r="CQ304" s="446"/>
      <c r="CR304" s="446"/>
      <c r="CS304" s="446"/>
    </row>
    <row r="305" spans="57:97" ht="12" hidden="1" x14ac:dyDescent="0.2">
      <c r="BE305" s="432">
        <v>213</v>
      </c>
      <c r="BF305" s="432"/>
      <c r="BG305" s="432"/>
      <c r="BH305" s="216">
        <f>BH303*30.2/130.2</f>
        <v>1252.5345622119817</v>
      </c>
      <c r="BI305" s="435">
        <f>BI304*30.2%</f>
        <v>250.5069124423963</v>
      </c>
      <c r="BJ305" s="435"/>
      <c r="BK305" s="435"/>
      <c r="BL305" s="435"/>
      <c r="BM305" s="435"/>
      <c r="BN305" s="435">
        <f>BN304*30.2%</f>
        <v>1002.0276497695851</v>
      </c>
      <c r="BO305" s="435"/>
      <c r="BP305" s="435"/>
      <c r="BQ305" s="435"/>
      <c r="BR305" s="435"/>
      <c r="BS305" s="435"/>
      <c r="BT305" s="435"/>
      <c r="CJ305" s="236"/>
    </row>
    <row r="306" spans="57:97" ht="12" hidden="1" x14ac:dyDescent="0.2"/>
    <row r="307" spans="57:97" ht="12" hidden="1" x14ac:dyDescent="0.2"/>
    <row r="308" spans="57:97" ht="12" hidden="1" x14ac:dyDescent="0.2">
      <c r="BE308" s="432" t="s">
        <v>478</v>
      </c>
      <c r="BF308" s="432"/>
      <c r="BG308" s="432"/>
      <c r="BH308" s="432"/>
      <c r="BI308" s="432"/>
      <c r="BJ308" s="432"/>
      <c r="BK308" s="432"/>
      <c r="BL308" s="432"/>
      <c r="BM308" s="432"/>
      <c r="BN308" s="432"/>
      <c r="BO308" s="432"/>
      <c r="BP308" s="432"/>
      <c r="BQ308" s="432"/>
      <c r="BR308" s="432"/>
      <c r="BS308" s="432"/>
      <c r="BT308" s="432"/>
      <c r="BU308" s="432"/>
      <c r="BV308" s="432"/>
      <c r="BW308" s="432"/>
      <c r="BX308" s="432"/>
      <c r="BY308" s="432"/>
      <c r="BZ308" s="432"/>
      <c r="CA308" s="432"/>
    </row>
    <row r="309" spans="57:97" ht="12" hidden="1" x14ac:dyDescent="0.2">
      <c r="BE309" s="432" t="s">
        <v>126</v>
      </c>
      <c r="BF309" s="432"/>
      <c r="BG309" s="432"/>
      <c r="BH309" s="433">
        <f>300*61</f>
        <v>18300</v>
      </c>
      <c r="BI309" s="433"/>
      <c r="BJ309" s="433"/>
      <c r="BK309" s="433"/>
      <c r="BL309" s="433"/>
      <c r="BM309" s="293" t="s">
        <v>127</v>
      </c>
      <c r="BN309" s="293"/>
      <c r="BO309" s="293"/>
      <c r="BP309" s="293"/>
      <c r="BQ309" s="293"/>
      <c r="BR309" s="293"/>
      <c r="BS309" s="293"/>
      <c r="BT309" s="293"/>
    </row>
    <row r="310" spans="57:97" ht="15" hidden="1" x14ac:dyDescent="0.25">
      <c r="BE310" s="434">
        <v>0.6</v>
      </c>
      <c r="BF310" s="432"/>
      <c r="BG310" s="432"/>
      <c r="BH310" s="216">
        <f>BH309*BE310</f>
        <v>10980</v>
      </c>
      <c r="BI310" s="432" t="s">
        <v>128</v>
      </c>
      <c r="BJ310" s="432"/>
      <c r="BK310" s="432"/>
      <c r="BL310" s="432"/>
      <c r="BM310" s="432"/>
      <c r="BN310" s="432" t="s">
        <v>129</v>
      </c>
      <c r="BO310" s="432"/>
      <c r="BP310" s="432"/>
      <c r="BQ310" s="432"/>
      <c r="BR310" s="432"/>
      <c r="BS310" s="432"/>
      <c r="BT310" s="432"/>
      <c r="CE310" s="432" t="s">
        <v>368</v>
      </c>
      <c r="CF310" s="443"/>
      <c r="CG310" s="443"/>
      <c r="CH310" s="443"/>
      <c r="CI310" s="443"/>
      <c r="CJ310" s="443"/>
      <c r="CM310" s="432" t="s">
        <v>366</v>
      </c>
      <c r="CN310" s="443"/>
      <c r="CO310" s="443"/>
      <c r="CP310" s="443"/>
      <c r="CQ310" s="443"/>
      <c r="CR310" s="443"/>
      <c r="CS310" s="443"/>
    </row>
    <row r="311" spans="57:97" ht="15" hidden="1" x14ac:dyDescent="0.25">
      <c r="BE311" s="432">
        <v>211</v>
      </c>
      <c r="BF311" s="432"/>
      <c r="BG311" s="432"/>
      <c r="BH311" s="216">
        <f>BH310-BH312</f>
        <v>8433.1797235023041</v>
      </c>
      <c r="BI311" s="435">
        <f>BH311*0.2</f>
        <v>1686.6359447004609</v>
      </c>
      <c r="BJ311" s="435"/>
      <c r="BK311" s="435"/>
      <c r="BL311" s="435"/>
      <c r="BM311" s="435"/>
      <c r="BN311" s="436">
        <f>BH311-BI311</f>
        <v>6746.5437788018435</v>
      </c>
      <c r="BO311" s="445"/>
      <c r="BP311" s="445"/>
      <c r="BQ311" s="445"/>
      <c r="BR311" s="445"/>
      <c r="BS311" s="445"/>
      <c r="BT311" s="445"/>
      <c r="CE311" s="437">
        <f>BI311*15/20</f>
        <v>1264.9769585253457</v>
      </c>
      <c r="CF311" s="446"/>
      <c r="CG311" s="446"/>
      <c r="CH311" s="446"/>
      <c r="CI311" s="446"/>
      <c r="CJ311" s="446"/>
      <c r="CK311" s="292"/>
      <c r="CL311" s="292"/>
      <c r="CM311" s="437">
        <f>BI311*5/20</f>
        <v>421.65898617511522</v>
      </c>
      <c r="CN311" s="446"/>
      <c r="CO311" s="446"/>
      <c r="CP311" s="446"/>
      <c r="CQ311" s="446"/>
      <c r="CR311" s="446"/>
      <c r="CS311" s="446"/>
    </row>
    <row r="312" spans="57:97" ht="12" hidden="1" x14ac:dyDescent="0.2">
      <c r="BE312" s="432">
        <v>213</v>
      </c>
      <c r="BF312" s="432"/>
      <c r="BG312" s="432"/>
      <c r="BH312" s="216">
        <f>BH310*30.2/130.2</f>
        <v>2546.8202764976959</v>
      </c>
      <c r="BI312" s="435">
        <f>BI311*30.2%</f>
        <v>509.36405529953919</v>
      </c>
      <c r="BJ312" s="435"/>
      <c r="BK312" s="435"/>
      <c r="BL312" s="435"/>
      <c r="BM312" s="435"/>
      <c r="BN312" s="435">
        <f>BN311*30.2%</f>
        <v>2037.4562211981568</v>
      </c>
      <c r="BO312" s="435"/>
      <c r="BP312" s="435"/>
      <c r="BQ312" s="435"/>
      <c r="BR312" s="435"/>
      <c r="BS312" s="435"/>
      <c r="BT312" s="435"/>
      <c r="CJ312" s="236"/>
    </row>
    <row r="313" spans="57:97" ht="8.25" hidden="1" customHeight="1" x14ac:dyDescent="0.2"/>
    <row r="314" spans="57:97" ht="8.25" hidden="1" customHeight="1" x14ac:dyDescent="0.2"/>
    <row r="315" spans="57:97" ht="8.25" hidden="1" customHeight="1" x14ac:dyDescent="0.2"/>
    <row r="316" spans="57:97" ht="8.25" hidden="1" customHeight="1" x14ac:dyDescent="0.2"/>
    <row r="317" spans="57:97" ht="12" hidden="1" x14ac:dyDescent="0.2">
      <c r="BE317" s="432" t="s">
        <v>479</v>
      </c>
      <c r="BF317" s="432"/>
      <c r="BG317" s="432"/>
      <c r="BH317" s="432"/>
      <c r="BI317" s="432"/>
      <c r="BJ317" s="432"/>
      <c r="BK317" s="432"/>
      <c r="BL317" s="432"/>
      <c r="BM317" s="432"/>
      <c r="BN317" s="432"/>
      <c r="BO317" s="432"/>
      <c r="BP317" s="432"/>
      <c r="BQ317" s="432"/>
      <c r="BR317" s="432"/>
      <c r="BS317" s="432"/>
      <c r="BT317" s="432"/>
      <c r="BU317" s="432"/>
      <c r="BV317" s="432"/>
      <c r="BW317" s="432"/>
      <c r="BX317" s="432"/>
      <c r="BY317" s="432"/>
      <c r="BZ317" s="432"/>
      <c r="CA317" s="432"/>
    </row>
    <row r="318" spans="57:97" ht="12" hidden="1" x14ac:dyDescent="0.2">
      <c r="BE318" s="432" t="s">
        <v>126</v>
      </c>
      <c r="BF318" s="432"/>
      <c r="BG318" s="432"/>
      <c r="BH318" s="433">
        <f>300*29</f>
        <v>8700</v>
      </c>
      <c r="BI318" s="433"/>
      <c r="BJ318" s="433"/>
      <c r="BK318" s="433"/>
      <c r="BL318" s="433"/>
      <c r="BM318" s="295" t="s">
        <v>127</v>
      </c>
      <c r="BN318" s="295"/>
      <c r="BO318" s="295"/>
      <c r="BP318" s="295"/>
      <c r="BQ318" s="295"/>
      <c r="BR318" s="295"/>
      <c r="BS318" s="295"/>
      <c r="BT318" s="295"/>
    </row>
    <row r="319" spans="57:97" ht="15" hidden="1" x14ac:dyDescent="0.25">
      <c r="BE319" s="434">
        <v>0.6</v>
      </c>
      <c r="BF319" s="432"/>
      <c r="BG319" s="432"/>
      <c r="BH319" s="216">
        <f>BH318*BE319</f>
        <v>5220</v>
      </c>
      <c r="BI319" s="432" t="s">
        <v>128</v>
      </c>
      <c r="BJ319" s="432"/>
      <c r="BK319" s="432"/>
      <c r="BL319" s="432"/>
      <c r="BM319" s="432"/>
      <c r="BN319" s="432" t="s">
        <v>129</v>
      </c>
      <c r="BO319" s="432"/>
      <c r="BP319" s="432"/>
      <c r="BQ319" s="432"/>
      <c r="BR319" s="432"/>
      <c r="BS319" s="432"/>
      <c r="BT319" s="432"/>
      <c r="CE319" s="432" t="s">
        <v>368</v>
      </c>
      <c r="CF319" s="443"/>
      <c r="CG319" s="443"/>
      <c r="CH319" s="443"/>
      <c r="CI319" s="443"/>
      <c r="CJ319" s="443"/>
      <c r="CM319" s="432" t="s">
        <v>366</v>
      </c>
      <c r="CN319" s="443"/>
      <c r="CO319" s="443"/>
      <c r="CP319" s="443"/>
      <c r="CQ319" s="443"/>
      <c r="CR319" s="443"/>
      <c r="CS319" s="443"/>
    </row>
    <row r="320" spans="57:97" ht="15" hidden="1" x14ac:dyDescent="0.25">
      <c r="BE320" s="432">
        <v>211</v>
      </c>
      <c r="BF320" s="432"/>
      <c r="BG320" s="432"/>
      <c r="BH320" s="216">
        <f>BH319-BH321</f>
        <v>4009.2165898617513</v>
      </c>
      <c r="BI320" s="435">
        <f>BH320*0.2</f>
        <v>801.84331797235029</v>
      </c>
      <c r="BJ320" s="435"/>
      <c r="BK320" s="435"/>
      <c r="BL320" s="435"/>
      <c r="BM320" s="435"/>
      <c r="BN320" s="436">
        <f>BH320-BI320</f>
        <v>3207.3732718894012</v>
      </c>
      <c r="BO320" s="445"/>
      <c r="BP320" s="445"/>
      <c r="BQ320" s="445"/>
      <c r="BR320" s="445"/>
      <c r="BS320" s="445"/>
      <c r="BT320" s="445"/>
      <c r="CE320" s="437">
        <f>BI320*15/20</f>
        <v>601.38248847926275</v>
      </c>
      <c r="CF320" s="446"/>
      <c r="CG320" s="446"/>
      <c r="CH320" s="446"/>
      <c r="CI320" s="446"/>
      <c r="CJ320" s="446"/>
      <c r="CK320" s="294"/>
      <c r="CL320" s="294"/>
      <c r="CM320" s="437">
        <f>BI320*5/20</f>
        <v>200.46082949308757</v>
      </c>
      <c r="CN320" s="446"/>
      <c r="CO320" s="446"/>
      <c r="CP320" s="446"/>
      <c r="CQ320" s="446"/>
      <c r="CR320" s="446"/>
      <c r="CS320" s="446"/>
    </row>
    <row r="321" spans="57:97" ht="12" hidden="1" x14ac:dyDescent="0.2">
      <c r="BE321" s="432">
        <v>213</v>
      </c>
      <c r="BF321" s="432"/>
      <c r="BG321" s="432"/>
      <c r="BH321" s="216">
        <f>BH319*30.2/130.2</f>
        <v>1210.7834101382489</v>
      </c>
      <c r="BI321" s="435">
        <f>BI320*30.2%</f>
        <v>242.15668202764979</v>
      </c>
      <c r="BJ321" s="435"/>
      <c r="BK321" s="435"/>
      <c r="BL321" s="435"/>
      <c r="BM321" s="435"/>
      <c r="BN321" s="435">
        <f>BN320*30.2%</f>
        <v>968.62672811059917</v>
      </c>
      <c r="BO321" s="435"/>
      <c r="BP321" s="435"/>
      <c r="BQ321" s="435"/>
      <c r="BR321" s="435"/>
      <c r="BS321" s="435"/>
      <c r="BT321" s="435"/>
      <c r="CJ321" s="236"/>
    </row>
    <row r="322" spans="57:97" ht="8.25" hidden="1" customHeight="1" x14ac:dyDescent="0.2"/>
    <row r="323" spans="57:97" ht="8.25" hidden="1" customHeight="1" x14ac:dyDescent="0.2"/>
    <row r="324" spans="57:97" ht="8.25" hidden="1" customHeight="1" x14ac:dyDescent="0.2"/>
    <row r="325" spans="57:97" ht="12" hidden="1" x14ac:dyDescent="0.2">
      <c r="BE325" s="432" t="s">
        <v>481</v>
      </c>
      <c r="BF325" s="432"/>
      <c r="BG325" s="432"/>
      <c r="BH325" s="432"/>
      <c r="BI325" s="432"/>
      <c r="BJ325" s="432"/>
      <c r="BK325" s="432"/>
      <c r="BL325" s="432"/>
      <c r="BM325" s="432"/>
      <c r="BN325" s="432"/>
      <c r="BO325" s="432"/>
      <c r="BP325" s="432"/>
      <c r="BQ325" s="432"/>
      <c r="BR325" s="432"/>
      <c r="BS325" s="432"/>
      <c r="BT325" s="432"/>
      <c r="BU325" s="432"/>
      <c r="BV325" s="432"/>
      <c r="BW325" s="432"/>
      <c r="BX325" s="432"/>
      <c r="BY325" s="432"/>
      <c r="BZ325" s="432"/>
      <c r="CA325" s="432"/>
    </row>
    <row r="326" spans="57:97" ht="12" hidden="1" x14ac:dyDescent="0.2">
      <c r="BE326" s="432" t="s">
        <v>126</v>
      </c>
      <c r="BF326" s="432"/>
      <c r="BG326" s="432"/>
      <c r="BH326" s="433">
        <f>300*27</f>
        <v>8100</v>
      </c>
      <c r="BI326" s="433"/>
      <c r="BJ326" s="433"/>
      <c r="BK326" s="433"/>
      <c r="BL326" s="433"/>
      <c r="BM326" s="295" t="s">
        <v>127</v>
      </c>
      <c r="BN326" s="295"/>
      <c r="BO326" s="295"/>
      <c r="BP326" s="295"/>
      <c r="BQ326" s="295"/>
      <c r="BR326" s="295"/>
      <c r="BS326" s="295"/>
      <c r="BT326" s="295"/>
    </row>
    <row r="327" spans="57:97" ht="15" hidden="1" x14ac:dyDescent="0.25">
      <c r="BE327" s="434">
        <v>0.6</v>
      </c>
      <c r="BF327" s="432"/>
      <c r="BG327" s="432"/>
      <c r="BH327" s="216">
        <f>BH326*BE327</f>
        <v>4860</v>
      </c>
      <c r="BI327" s="432" t="s">
        <v>128</v>
      </c>
      <c r="BJ327" s="432"/>
      <c r="BK327" s="432"/>
      <c r="BL327" s="432"/>
      <c r="BM327" s="432"/>
      <c r="BN327" s="432" t="s">
        <v>129</v>
      </c>
      <c r="BO327" s="432"/>
      <c r="BP327" s="432"/>
      <c r="BQ327" s="432"/>
      <c r="BR327" s="432"/>
      <c r="BS327" s="432"/>
      <c r="BT327" s="432"/>
      <c r="CE327" s="432" t="s">
        <v>368</v>
      </c>
      <c r="CF327" s="443"/>
      <c r="CG327" s="443"/>
      <c r="CH327" s="443"/>
      <c r="CI327" s="443"/>
      <c r="CJ327" s="443"/>
      <c r="CM327" s="432" t="s">
        <v>366</v>
      </c>
      <c r="CN327" s="443"/>
      <c r="CO327" s="443"/>
      <c r="CP327" s="443"/>
      <c r="CQ327" s="443"/>
      <c r="CR327" s="443"/>
      <c r="CS327" s="443"/>
    </row>
    <row r="328" spans="57:97" ht="15" hidden="1" x14ac:dyDescent="0.25">
      <c r="BE328" s="432">
        <v>211</v>
      </c>
      <c r="BF328" s="432"/>
      <c r="BG328" s="432"/>
      <c r="BH328" s="216">
        <f>BH327-BH329</f>
        <v>3732.7188940092165</v>
      </c>
      <c r="BI328" s="435">
        <f>BH328*0.2</f>
        <v>746.54377880184336</v>
      </c>
      <c r="BJ328" s="435"/>
      <c r="BK328" s="435"/>
      <c r="BL328" s="435"/>
      <c r="BM328" s="435"/>
      <c r="BN328" s="436">
        <f>BH328-BI328</f>
        <v>2986.175115207373</v>
      </c>
      <c r="BO328" s="445"/>
      <c r="BP328" s="445"/>
      <c r="BQ328" s="445"/>
      <c r="BR328" s="445"/>
      <c r="BS328" s="445"/>
      <c r="BT328" s="445"/>
      <c r="CE328" s="437">
        <f>BI328*15/20</f>
        <v>559.9078341013826</v>
      </c>
      <c r="CF328" s="446"/>
      <c r="CG328" s="446"/>
      <c r="CH328" s="446"/>
      <c r="CI328" s="446"/>
      <c r="CJ328" s="446"/>
      <c r="CK328" s="294"/>
      <c r="CL328" s="294"/>
      <c r="CM328" s="437">
        <f>BI328*5/20</f>
        <v>186.63594470046084</v>
      </c>
      <c r="CN328" s="446"/>
      <c r="CO328" s="446"/>
      <c r="CP328" s="446"/>
      <c r="CQ328" s="446"/>
      <c r="CR328" s="446"/>
      <c r="CS328" s="446"/>
    </row>
    <row r="329" spans="57:97" ht="12" hidden="1" x14ac:dyDescent="0.2">
      <c r="BE329" s="432">
        <v>213</v>
      </c>
      <c r="BF329" s="432"/>
      <c r="BG329" s="432"/>
      <c r="BH329" s="216">
        <f>BH327*30.2/130.2</f>
        <v>1127.2811059907835</v>
      </c>
      <c r="BI329" s="435">
        <f>BI328*30.2%</f>
        <v>225.4562211981567</v>
      </c>
      <c r="BJ329" s="435"/>
      <c r="BK329" s="435"/>
      <c r="BL329" s="435"/>
      <c r="BM329" s="435"/>
      <c r="BN329" s="435">
        <f>BN328*30.2%</f>
        <v>901.82488479262656</v>
      </c>
      <c r="BO329" s="435"/>
      <c r="BP329" s="435"/>
      <c r="BQ329" s="435"/>
      <c r="BR329" s="435"/>
      <c r="BS329" s="435"/>
      <c r="BT329" s="435"/>
      <c r="CJ329" s="236"/>
    </row>
    <row r="330" spans="57:97" ht="8.25" hidden="1" customHeight="1" x14ac:dyDescent="0.2"/>
    <row r="331" spans="57:97" ht="8.25" hidden="1" customHeight="1" x14ac:dyDescent="0.2"/>
    <row r="332" spans="57:97" ht="12" hidden="1" x14ac:dyDescent="0.2">
      <c r="BE332" s="432" t="s">
        <v>488</v>
      </c>
      <c r="BF332" s="432"/>
      <c r="BG332" s="432"/>
      <c r="BH332" s="432"/>
      <c r="BI332" s="432"/>
      <c r="BJ332" s="432"/>
      <c r="BK332" s="432"/>
      <c r="BL332" s="432"/>
      <c r="BM332" s="432"/>
      <c r="BN332" s="432"/>
      <c r="BO332" s="432"/>
      <c r="BP332" s="432"/>
      <c r="BQ332" s="432"/>
      <c r="BR332" s="432"/>
      <c r="BS332" s="432"/>
      <c r="BT332" s="432"/>
      <c r="BU332" s="432"/>
      <c r="BV332" s="432"/>
      <c r="BW332" s="432"/>
      <c r="BX332" s="432"/>
      <c r="BY332" s="432"/>
      <c r="BZ332" s="432"/>
      <c r="CA332" s="432"/>
    </row>
    <row r="333" spans="57:97" ht="12" hidden="1" x14ac:dyDescent="0.2">
      <c r="BE333" s="432" t="s">
        <v>126</v>
      </c>
      <c r="BF333" s="432"/>
      <c r="BG333" s="432"/>
      <c r="BH333" s="433">
        <f>300*49</f>
        <v>14700</v>
      </c>
      <c r="BI333" s="433"/>
      <c r="BJ333" s="433"/>
      <c r="BK333" s="433"/>
      <c r="BL333" s="433"/>
      <c r="BM333" s="297" t="s">
        <v>127</v>
      </c>
      <c r="BN333" s="297"/>
      <c r="BO333" s="297"/>
      <c r="BP333" s="297"/>
      <c r="BQ333" s="297"/>
      <c r="BR333" s="297"/>
      <c r="BS333" s="297"/>
      <c r="BT333" s="297"/>
    </row>
    <row r="334" spans="57:97" ht="15" hidden="1" x14ac:dyDescent="0.25">
      <c r="BE334" s="434">
        <v>0.6</v>
      </c>
      <c r="BF334" s="432"/>
      <c r="BG334" s="432"/>
      <c r="BH334" s="216">
        <f>BH333*BE334</f>
        <v>8820</v>
      </c>
      <c r="BI334" s="432" t="s">
        <v>128</v>
      </c>
      <c r="BJ334" s="432"/>
      <c r="BK334" s="432"/>
      <c r="BL334" s="432"/>
      <c r="BM334" s="432"/>
      <c r="BN334" s="432" t="s">
        <v>129</v>
      </c>
      <c r="BO334" s="432"/>
      <c r="BP334" s="432"/>
      <c r="BQ334" s="432"/>
      <c r="BR334" s="432"/>
      <c r="BS334" s="432"/>
      <c r="BT334" s="432"/>
      <c r="CE334" s="432" t="s">
        <v>368</v>
      </c>
      <c r="CF334" s="443"/>
      <c r="CG334" s="443"/>
      <c r="CH334" s="443"/>
      <c r="CI334" s="443"/>
      <c r="CJ334" s="443"/>
      <c r="CM334" s="432" t="s">
        <v>366</v>
      </c>
      <c r="CN334" s="443"/>
      <c r="CO334" s="443"/>
      <c r="CP334" s="443"/>
      <c r="CQ334" s="443"/>
      <c r="CR334" s="443"/>
      <c r="CS334" s="443"/>
    </row>
    <row r="335" spans="57:97" ht="15" hidden="1" x14ac:dyDescent="0.25">
      <c r="BE335" s="432">
        <v>211</v>
      </c>
      <c r="BF335" s="432"/>
      <c r="BG335" s="432"/>
      <c r="BH335" s="216">
        <f>BH334-BH336</f>
        <v>6774.1935483870966</v>
      </c>
      <c r="BI335" s="435">
        <f>BH335*0.2</f>
        <v>1354.8387096774195</v>
      </c>
      <c r="BJ335" s="435"/>
      <c r="BK335" s="435"/>
      <c r="BL335" s="435"/>
      <c r="BM335" s="435"/>
      <c r="BN335" s="436">
        <f>BH335-BI335</f>
        <v>5419.3548387096771</v>
      </c>
      <c r="BO335" s="445"/>
      <c r="BP335" s="445"/>
      <c r="BQ335" s="445"/>
      <c r="BR335" s="445"/>
      <c r="BS335" s="445"/>
      <c r="BT335" s="445"/>
      <c r="CE335" s="437">
        <f>BI335*15/20</f>
        <v>1016.1290322580646</v>
      </c>
      <c r="CF335" s="446"/>
      <c r="CG335" s="446"/>
      <c r="CH335" s="446"/>
      <c r="CI335" s="446"/>
      <c r="CJ335" s="446"/>
      <c r="CK335" s="296"/>
      <c r="CL335" s="296"/>
      <c r="CM335" s="437">
        <f>BI335*5/20</f>
        <v>338.70967741935488</v>
      </c>
      <c r="CN335" s="446"/>
      <c r="CO335" s="446"/>
      <c r="CP335" s="446"/>
      <c r="CQ335" s="446"/>
      <c r="CR335" s="446"/>
      <c r="CS335" s="446"/>
    </row>
    <row r="336" spans="57:97" ht="12" hidden="1" x14ac:dyDescent="0.2">
      <c r="BE336" s="432">
        <v>213</v>
      </c>
      <c r="BF336" s="432"/>
      <c r="BG336" s="432"/>
      <c r="BH336" s="216">
        <f>BH334*30.2/130.2</f>
        <v>2045.8064516129034</v>
      </c>
      <c r="BI336" s="435">
        <f>BI335*30.2%</f>
        <v>409.16129032258067</v>
      </c>
      <c r="BJ336" s="435"/>
      <c r="BK336" s="435"/>
      <c r="BL336" s="435"/>
      <c r="BM336" s="435"/>
      <c r="BN336" s="435">
        <f>BN335*30.2%</f>
        <v>1636.6451612903224</v>
      </c>
      <c r="BO336" s="435"/>
      <c r="BP336" s="435"/>
      <c r="BQ336" s="435"/>
      <c r="BR336" s="435"/>
      <c r="BS336" s="435"/>
      <c r="BT336" s="435"/>
      <c r="CJ336" s="236"/>
    </row>
    <row r="337" spans="57:97" ht="8.25" hidden="1" customHeight="1" x14ac:dyDescent="0.2"/>
    <row r="338" spans="57:97" ht="8.25" hidden="1" customHeight="1" x14ac:dyDescent="0.2"/>
    <row r="339" spans="57:97" ht="12" hidden="1" x14ac:dyDescent="0.2">
      <c r="BE339" s="432" t="s">
        <v>492</v>
      </c>
      <c r="BF339" s="432"/>
      <c r="BG339" s="432"/>
      <c r="BH339" s="432"/>
      <c r="BI339" s="432"/>
      <c r="BJ339" s="432"/>
      <c r="BK339" s="432"/>
      <c r="BL339" s="432"/>
      <c r="BM339" s="432"/>
      <c r="BN339" s="432"/>
      <c r="BO339" s="432"/>
      <c r="BP339" s="432"/>
      <c r="BQ339" s="432"/>
      <c r="BR339" s="432"/>
      <c r="BS339" s="432"/>
      <c r="BT339" s="432"/>
      <c r="BU339" s="432"/>
      <c r="BV339" s="432"/>
      <c r="BW339" s="432"/>
      <c r="BX339" s="432"/>
      <c r="BY339" s="432"/>
      <c r="BZ339" s="432"/>
      <c r="CA339" s="432"/>
    </row>
    <row r="340" spans="57:97" ht="12" hidden="1" x14ac:dyDescent="0.2">
      <c r="BE340" s="432" t="s">
        <v>126</v>
      </c>
      <c r="BF340" s="432"/>
      <c r="BG340" s="432"/>
      <c r="BH340" s="433">
        <f>300*37</f>
        <v>11100</v>
      </c>
      <c r="BI340" s="433"/>
      <c r="BJ340" s="433"/>
      <c r="BK340" s="433"/>
      <c r="BL340" s="433"/>
      <c r="BM340" s="297" t="s">
        <v>127</v>
      </c>
      <c r="BN340" s="297"/>
      <c r="BO340" s="297"/>
      <c r="BP340" s="297"/>
      <c r="BQ340" s="297"/>
      <c r="BR340" s="297"/>
      <c r="BS340" s="297"/>
      <c r="BT340" s="297"/>
    </row>
    <row r="341" spans="57:97" ht="15" hidden="1" x14ac:dyDescent="0.25">
      <c r="BE341" s="434">
        <v>0.6</v>
      </c>
      <c r="BF341" s="432"/>
      <c r="BG341" s="432"/>
      <c r="BH341" s="216">
        <f>BH340*BE341</f>
        <v>6660</v>
      </c>
      <c r="BI341" s="432" t="s">
        <v>128</v>
      </c>
      <c r="BJ341" s="432"/>
      <c r="BK341" s="432"/>
      <c r="BL341" s="432"/>
      <c r="BM341" s="432"/>
      <c r="BN341" s="432" t="s">
        <v>129</v>
      </c>
      <c r="BO341" s="432"/>
      <c r="BP341" s="432"/>
      <c r="BQ341" s="432"/>
      <c r="BR341" s="432"/>
      <c r="BS341" s="432"/>
      <c r="BT341" s="432"/>
      <c r="CE341" s="432" t="s">
        <v>368</v>
      </c>
      <c r="CF341" s="443"/>
      <c r="CG341" s="443"/>
      <c r="CH341" s="443"/>
      <c r="CI341" s="443"/>
      <c r="CJ341" s="443"/>
      <c r="CM341" s="432" t="s">
        <v>366</v>
      </c>
      <c r="CN341" s="443"/>
      <c r="CO341" s="443"/>
      <c r="CP341" s="443"/>
      <c r="CQ341" s="443"/>
      <c r="CR341" s="443"/>
      <c r="CS341" s="443"/>
    </row>
    <row r="342" spans="57:97" ht="15" hidden="1" x14ac:dyDescent="0.25">
      <c r="BE342" s="432">
        <v>211</v>
      </c>
      <c r="BF342" s="432"/>
      <c r="BG342" s="432"/>
      <c r="BH342" s="216">
        <f>BH341-BH343</f>
        <v>5115.2073732718891</v>
      </c>
      <c r="BI342" s="435">
        <f>BH342*0.2</f>
        <v>1023.0414746543779</v>
      </c>
      <c r="BJ342" s="435"/>
      <c r="BK342" s="435"/>
      <c r="BL342" s="435"/>
      <c r="BM342" s="435"/>
      <c r="BN342" s="436">
        <f>BH342-BI342</f>
        <v>4092.1658986175112</v>
      </c>
      <c r="BO342" s="445"/>
      <c r="BP342" s="445"/>
      <c r="BQ342" s="445"/>
      <c r="BR342" s="445"/>
      <c r="BS342" s="445"/>
      <c r="BT342" s="445"/>
      <c r="CE342" s="437">
        <f>BI342*15/20</f>
        <v>767.28110599078343</v>
      </c>
      <c r="CF342" s="446"/>
      <c r="CG342" s="446"/>
      <c r="CH342" s="446"/>
      <c r="CI342" s="446"/>
      <c r="CJ342" s="446"/>
      <c r="CK342" s="296"/>
      <c r="CL342" s="296"/>
      <c r="CM342" s="437">
        <f>BI342*5/20</f>
        <v>255.76036866359445</v>
      </c>
      <c r="CN342" s="446"/>
      <c r="CO342" s="446"/>
      <c r="CP342" s="446"/>
      <c r="CQ342" s="446"/>
      <c r="CR342" s="446"/>
      <c r="CS342" s="446"/>
    </row>
    <row r="343" spans="57:97" ht="12" hidden="1" x14ac:dyDescent="0.2">
      <c r="BE343" s="432">
        <v>213</v>
      </c>
      <c r="BF343" s="432"/>
      <c r="BG343" s="432"/>
      <c r="BH343" s="216">
        <f>BH341*30.2/130.2</f>
        <v>1544.7926267281107</v>
      </c>
      <c r="BI343" s="435">
        <f>BI342*30.2%</f>
        <v>308.95852534562209</v>
      </c>
      <c r="BJ343" s="435"/>
      <c r="BK343" s="435"/>
      <c r="BL343" s="435"/>
      <c r="BM343" s="435"/>
      <c r="BN343" s="435">
        <f>BN342*30.2%</f>
        <v>1235.8341013824884</v>
      </c>
      <c r="BO343" s="435"/>
      <c r="BP343" s="435"/>
      <c r="BQ343" s="435"/>
      <c r="BR343" s="435"/>
      <c r="BS343" s="435"/>
      <c r="BT343" s="435"/>
      <c r="CJ343" s="236"/>
    </row>
    <row r="344" spans="57:97" ht="12" hidden="1" x14ac:dyDescent="0.2"/>
    <row r="345" spans="57:97" ht="8.25" hidden="1" customHeight="1" x14ac:dyDescent="0.2"/>
    <row r="346" spans="57:97" ht="12" hidden="1" x14ac:dyDescent="0.2">
      <c r="BE346" s="432" t="s">
        <v>505</v>
      </c>
      <c r="BF346" s="432"/>
      <c r="BG346" s="432"/>
      <c r="BH346" s="432"/>
      <c r="BI346" s="432"/>
      <c r="BJ346" s="432"/>
      <c r="BK346" s="432"/>
      <c r="BL346" s="432"/>
      <c r="BM346" s="432"/>
      <c r="BN346" s="432"/>
      <c r="BO346" s="432"/>
      <c r="BP346" s="432"/>
      <c r="BQ346" s="432"/>
      <c r="BR346" s="432"/>
      <c r="BS346" s="432"/>
      <c r="BT346" s="432"/>
      <c r="BU346" s="432"/>
      <c r="BV346" s="432"/>
      <c r="BW346" s="432"/>
      <c r="BX346" s="432"/>
      <c r="BY346" s="432"/>
      <c r="BZ346" s="432"/>
      <c r="CA346" s="432"/>
    </row>
    <row r="347" spans="57:97" ht="12" hidden="1" x14ac:dyDescent="0.2">
      <c r="BE347" s="432" t="s">
        <v>126</v>
      </c>
      <c r="BF347" s="432"/>
      <c r="BG347" s="432"/>
      <c r="BH347" s="433">
        <f>300*37</f>
        <v>11100</v>
      </c>
      <c r="BI347" s="433"/>
      <c r="BJ347" s="433"/>
      <c r="BK347" s="433"/>
      <c r="BL347" s="433"/>
      <c r="BM347" s="300" t="s">
        <v>127</v>
      </c>
      <c r="BN347" s="300"/>
      <c r="BO347" s="300"/>
      <c r="BP347" s="300"/>
      <c r="BQ347" s="300"/>
      <c r="BR347" s="300"/>
      <c r="BS347" s="300"/>
      <c r="BT347" s="300"/>
    </row>
    <row r="348" spans="57:97" ht="15" hidden="1" x14ac:dyDescent="0.25">
      <c r="BE348" s="434">
        <v>0.6</v>
      </c>
      <c r="BF348" s="432"/>
      <c r="BG348" s="432"/>
      <c r="BH348" s="216">
        <f>BH347*BE348</f>
        <v>6660</v>
      </c>
      <c r="BI348" s="432" t="s">
        <v>128</v>
      </c>
      <c r="BJ348" s="432"/>
      <c r="BK348" s="432"/>
      <c r="BL348" s="432"/>
      <c r="BM348" s="432"/>
      <c r="BN348" s="432" t="s">
        <v>129</v>
      </c>
      <c r="BO348" s="432"/>
      <c r="BP348" s="432"/>
      <c r="BQ348" s="432"/>
      <c r="BR348" s="432"/>
      <c r="BS348" s="432"/>
      <c r="BT348" s="432"/>
      <c r="CE348" s="432" t="s">
        <v>368</v>
      </c>
      <c r="CF348" s="443"/>
      <c r="CG348" s="443"/>
      <c r="CH348" s="443"/>
      <c r="CI348" s="443"/>
      <c r="CJ348" s="443"/>
      <c r="CM348" s="432" t="s">
        <v>366</v>
      </c>
      <c r="CN348" s="443"/>
      <c r="CO348" s="443"/>
      <c r="CP348" s="443"/>
      <c r="CQ348" s="443"/>
      <c r="CR348" s="443"/>
      <c r="CS348" s="443"/>
    </row>
    <row r="349" spans="57:97" ht="15" hidden="1" x14ac:dyDescent="0.25">
      <c r="BE349" s="432">
        <v>211</v>
      </c>
      <c r="BF349" s="432"/>
      <c r="BG349" s="432"/>
      <c r="BH349" s="216">
        <f>BH348-BH350</f>
        <v>5115.2073732718891</v>
      </c>
      <c r="BI349" s="435">
        <f>BH349*0.2</f>
        <v>1023.0414746543779</v>
      </c>
      <c r="BJ349" s="435"/>
      <c r="BK349" s="435"/>
      <c r="BL349" s="435"/>
      <c r="BM349" s="435"/>
      <c r="BN349" s="436">
        <f>BH349-BI349</f>
        <v>4092.1658986175112</v>
      </c>
      <c r="BO349" s="445"/>
      <c r="BP349" s="445"/>
      <c r="BQ349" s="445"/>
      <c r="BR349" s="445"/>
      <c r="BS349" s="445"/>
      <c r="BT349" s="445"/>
      <c r="CE349" s="437">
        <f>BI349*15/20</f>
        <v>767.28110599078343</v>
      </c>
      <c r="CF349" s="446"/>
      <c r="CG349" s="446"/>
      <c r="CH349" s="446"/>
      <c r="CI349" s="446"/>
      <c r="CJ349" s="446"/>
      <c r="CK349" s="299"/>
      <c r="CL349" s="299"/>
      <c r="CM349" s="437">
        <f>BI349*5/20</f>
        <v>255.76036866359445</v>
      </c>
      <c r="CN349" s="446"/>
      <c r="CO349" s="446"/>
      <c r="CP349" s="446"/>
      <c r="CQ349" s="446"/>
      <c r="CR349" s="446"/>
      <c r="CS349" s="446"/>
    </row>
    <row r="350" spans="57:97" ht="12" hidden="1" x14ac:dyDescent="0.2">
      <c r="BE350" s="432">
        <v>213</v>
      </c>
      <c r="BF350" s="432"/>
      <c r="BG350" s="432"/>
      <c r="BH350" s="216">
        <f>BH348*30.2/130.2</f>
        <v>1544.7926267281107</v>
      </c>
      <c r="BI350" s="435">
        <f>BI349*30.2%</f>
        <v>308.95852534562209</v>
      </c>
      <c r="BJ350" s="435"/>
      <c r="BK350" s="435"/>
      <c r="BL350" s="435"/>
      <c r="BM350" s="435"/>
      <c r="BN350" s="435">
        <f>BN349*30.2%</f>
        <v>1235.8341013824884</v>
      </c>
      <c r="BO350" s="435"/>
      <c r="BP350" s="435"/>
      <c r="BQ350" s="435"/>
      <c r="BR350" s="435"/>
      <c r="BS350" s="435"/>
      <c r="BT350" s="435"/>
      <c r="CJ350" s="236"/>
    </row>
    <row r="351" spans="57:97" ht="8.25" hidden="1" customHeight="1" x14ac:dyDescent="0.2"/>
    <row r="352" spans="57:97" ht="8.25" hidden="1" customHeight="1" x14ac:dyDescent="0.2"/>
    <row r="353" spans="57:97" ht="8.25" hidden="1" customHeight="1" x14ac:dyDescent="0.2"/>
    <row r="354" spans="57:97" ht="12" hidden="1" x14ac:dyDescent="0.2">
      <c r="BE354" s="432" t="s">
        <v>506</v>
      </c>
      <c r="BF354" s="432"/>
      <c r="BG354" s="432"/>
      <c r="BH354" s="432"/>
      <c r="BI354" s="432"/>
      <c r="BJ354" s="432"/>
      <c r="BK354" s="432"/>
      <c r="BL354" s="432"/>
      <c r="BM354" s="432"/>
      <c r="BN354" s="432"/>
      <c r="BO354" s="432"/>
      <c r="BP354" s="432"/>
      <c r="BQ354" s="432"/>
      <c r="BR354" s="432"/>
      <c r="BS354" s="432"/>
      <c r="BT354" s="432"/>
      <c r="BU354" s="432"/>
      <c r="BV354" s="432"/>
      <c r="BW354" s="432"/>
      <c r="BX354" s="432"/>
      <c r="BY354" s="432"/>
      <c r="BZ354" s="432"/>
      <c r="CA354" s="432"/>
    </row>
    <row r="355" spans="57:97" ht="12" hidden="1" x14ac:dyDescent="0.2">
      <c r="BE355" s="432" t="s">
        <v>126</v>
      </c>
      <c r="BF355" s="432"/>
      <c r="BG355" s="432"/>
      <c r="BH355" s="433">
        <f>300*55</f>
        <v>16500</v>
      </c>
      <c r="BI355" s="433"/>
      <c r="BJ355" s="433"/>
      <c r="BK355" s="433"/>
      <c r="BL355" s="433"/>
      <c r="BM355" s="300" t="s">
        <v>127</v>
      </c>
      <c r="BN355" s="300"/>
      <c r="BO355" s="300"/>
      <c r="BP355" s="300"/>
      <c r="BQ355" s="300"/>
      <c r="BR355" s="300"/>
      <c r="BS355" s="300"/>
      <c r="BT355" s="300"/>
    </row>
    <row r="356" spans="57:97" ht="15" hidden="1" x14ac:dyDescent="0.25">
      <c r="BE356" s="434">
        <v>0.6</v>
      </c>
      <c r="BF356" s="432"/>
      <c r="BG356" s="432"/>
      <c r="BH356" s="216">
        <f>BH355*BE356</f>
        <v>9900</v>
      </c>
      <c r="BI356" s="432" t="s">
        <v>128</v>
      </c>
      <c r="BJ356" s="432"/>
      <c r="BK356" s="432"/>
      <c r="BL356" s="432"/>
      <c r="BM356" s="432"/>
      <c r="BN356" s="432" t="s">
        <v>129</v>
      </c>
      <c r="BO356" s="432"/>
      <c r="BP356" s="432"/>
      <c r="BQ356" s="432"/>
      <c r="BR356" s="432"/>
      <c r="BS356" s="432"/>
      <c r="BT356" s="432"/>
      <c r="CE356" s="432" t="s">
        <v>368</v>
      </c>
      <c r="CF356" s="443"/>
      <c r="CG356" s="443"/>
      <c r="CH356" s="443"/>
      <c r="CI356" s="443"/>
      <c r="CJ356" s="443"/>
      <c r="CM356" s="432" t="s">
        <v>366</v>
      </c>
      <c r="CN356" s="443"/>
      <c r="CO356" s="443"/>
      <c r="CP356" s="443"/>
      <c r="CQ356" s="443"/>
      <c r="CR356" s="443"/>
      <c r="CS356" s="443"/>
    </row>
    <row r="357" spans="57:97" ht="15" hidden="1" x14ac:dyDescent="0.25">
      <c r="BE357" s="432">
        <v>211</v>
      </c>
      <c r="BF357" s="432"/>
      <c r="BG357" s="432"/>
      <c r="BH357" s="216">
        <f>BH356-BH358</f>
        <v>7603.6866359447004</v>
      </c>
      <c r="BI357" s="435">
        <f>BH357*0.2</f>
        <v>1520.7373271889401</v>
      </c>
      <c r="BJ357" s="435"/>
      <c r="BK357" s="435"/>
      <c r="BL357" s="435"/>
      <c r="BM357" s="435"/>
      <c r="BN357" s="436">
        <f>BH357-BI357</f>
        <v>6082.9493087557603</v>
      </c>
      <c r="BO357" s="445"/>
      <c r="BP357" s="445"/>
      <c r="BQ357" s="445"/>
      <c r="BR357" s="445"/>
      <c r="BS357" s="445"/>
      <c r="BT357" s="445"/>
      <c r="CE357" s="437">
        <f>BI357*15/20</f>
        <v>1140.5529953917051</v>
      </c>
      <c r="CF357" s="446"/>
      <c r="CG357" s="446"/>
      <c r="CH357" s="446"/>
      <c r="CI357" s="446"/>
      <c r="CJ357" s="446"/>
      <c r="CK357" s="299"/>
      <c r="CL357" s="299"/>
      <c r="CM357" s="437">
        <f>BI357*5/20</f>
        <v>380.18433179723502</v>
      </c>
      <c r="CN357" s="446"/>
      <c r="CO357" s="446"/>
      <c r="CP357" s="446"/>
      <c r="CQ357" s="446"/>
      <c r="CR357" s="446"/>
      <c r="CS357" s="446"/>
    </row>
    <row r="358" spans="57:97" ht="12" hidden="1" x14ac:dyDescent="0.2">
      <c r="BE358" s="432">
        <v>213</v>
      </c>
      <c r="BF358" s="432"/>
      <c r="BG358" s="432"/>
      <c r="BH358" s="216">
        <f>BH356*30.2/130.2</f>
        <v>2296.3133640552996</v>
      </c>
      <c r="BI358" s="435">
        <f>BI357*30.2%</f>
        <v>459.26267281105987</v>
      </c>
      <c r="BJ358" s="435"/>
      <c r="BK358" s="435"/>
      <c r="BL358" s="435"/>
      <c r="BM358" s="435"/>
      <c r="BN358" s="435">
        <f>BN357*30.2%</f>
        <v>1837.0506912442395</v>
      </c>
      <c r="BO358" s="435"/>
      <c r="BP358" s="435"/>
      <c r="BQ358" s="435"/>
      <c r="BR358" s="435"/>
      <c r="BS358" s="435"/>
      <c r="BT358" s="435"/>
      <c r="CJ358" s="236"/>
    </row>
    <row r="359" spans="57:97" ht="8.25" hidden="1" customHeight="1" x14ac:dyDescent="0.2"/>
    <row r="360" spans="57:97" ht="8.25" hidden="1" customHeight="1" x14ac:dyDescent="0.2"/>
    <row r="361" spans="57:97" ht="12" hidden="1" x14ac:dyDescent="0.2">
      <c r="BE361" s="432" t="s">
        <v>509</v>
      </c>
      <c r="BF361" s="432"/>
      <c r="BG361" s="432"/>
      <c r="BH361" s="432"/>
      <c r="BI361" s="432"/>
      <c r="BJ361" s="432"/>
      <c r="BK361" s="432"/>
      <c r="BL361" s="432"/>
      <c r="BM361" s="432"/>
      <c r="BN361" s="432"/>
      <c r="BO361" s="432"/>
      <c r="BP361" s="432"/>
      <c r="BQ361" s="432"/>
      <c r="BR361" s="432"/>
      <c r="BS361" s="432"/>
      <c r="BT361" s="432"/>
      <c r="BU361" s="432"/>
      <c r="BV361" s="432"/>
      <c r="BW361" s="432"/>
      <c r="BX361" s="432"/>
      <c r="BY361" s="432"/>
      <c r="BZ361" s="432"/>
      <c r="CA361" s="432"/>
    </row>
    <row r="362" spans="57:97" ht="12" hidden="1" x14ac:dyDescent="0.2">
      <c r="BE362" s="432" t="s">
        <v>126</v>
      </c>
      <c r="BF362" s="432"/>
      <c r="BG362" s="432"/>
      <c r="BH362" s="433">
        <f>300*18</f>
        <v>5400</v>
      </c>
      <c r="BI362" s="433"/>
      <c r="BJ362" s="433"/>
      <c r="BK362" s="433"/>
      <c r="BL362" s="433"/>
      <c r="BM362" s="304" t="s">
        <v>127</v>
      </c>
      <c r="BN362" s="304"/>
      <c r="BO362" s="304"/>
      <c r="BP362" s="304"/>
      <c r="BQ362" s="304"/>
      <c r="BR362" s="304"/>
      <c r="BS362" s="304"/>
      <c r="BT362" s="304"/>
    </row>
    <row r="363" spans="57:97" ht="15" hidden="1" x14ac:dyDescent="0.25">
      <c r="BE363" s="434">
        <v>0.6</v>
      </c>
      <c r="BF363" s="432"/>
      <c r="BG363" s="432"/>
      <c r="BH363" s="216">
        <f>BH362*BE363</f>
        <v>3240</v>
      </c>
      <c r="BI363" s="432" t="s">
        <v>128</v>
      </c>
      <c r="BJ363" s="432"/>
      <c r="BK363" s="432"/>
      <c r="BL363" s="432"/>
      <c r="BM363" s="432"/>
      <c r="BN363" s="432" t="s">
        <v>129</v>
      </c>
      <c r="BO363" s="432"/>
      <c r="BP363" s="432"/>
      <c r="BQ363" s="432"/>
      <c r="BR363" s="432"/>
      <c r="BS363" s="432"/>
      <c r="BT363" s="432"/>
      <c r="CE363" s="432" t="s">
        <v>368</v>
      </c>
      <c r="CF363" s="443"/>
      <c r="CG363" s="443"/>
      <c r="CH363" s="443"/>
      <c r="CI363" s="443"/>
      <c r="CJ363" s="443"/>
      <c r="CM363" s="432" t="s">
        <v>366</v>
      </c>
      <c r="CN363" s="443"/>
      <c r="CO363" s="443"/>
      <c r="CP363" s="443"/>
      <c r="CQ363" s="443"/>
      <c r="CR363" s="443"/>
      <c r="CS363" s="443"/>
    </row>
    <row r="364" spans="57:97" ht="15" hidden="1" x14ac:dyDescent="0.25">
      <c r="BE364" s="432">
        <v>211</v>
      </c>
      <c r="BF364" s="432"/>
      <c r="BG364" s="432"/>
      <c r="BH364" s="216">
        <f>BH363-BH365</f>
        <v>2488.4792626728113</v>
      </c>
      <c r="BI364" s="435">
        <f>BH364*0.2</f>
        <v>497.69585253456228</v>
      </c>
      <c r="BJ364" s="435"/>
      <c r="BK364" s="435"/>
      <c r="BL364" s="435"/>
      <c r="BM364" s="435"/>
      <c r="BN364" s="436">
        <f>BH364-BI364</f>
        <v>1990.7834101382491</v>
      </c>
      <c r="BO364" s="445"/>
      <c r="BP364" s="445"/>
      <c r="BQ364" s="445"/>
      <c r="BR364" s="445"/>
      <c r="BS364" s="445"/>
      <c r="BT364" s="445"/>
      <c r="CE364" s="437">
        <f>BI364*15/20</f>
        <v>373.27188940092168</v>
      </c>
      <c r="CF364" s="446"/>
      <c r="CG364" s="446"/>
      <c r="CH364" s="446"/>
      <c r="CI364" s="446"/>
      <c r="CJ364" s="446"/>
      <c r="CK364" s="303"/>
      <c r="CL364" s="303"/>
      <c r="CM364" s="437">
        <f>BI364*5/20</f>
        <v>124.42396313364057</v>
      </c>
      <c r="CN364" s="446"/>
      <c r="CO364" s="446"/>
      <c r="CP364" s="446"/>
      <c r="CQ364" s="446"/>
      <c r="CR364" s="446"/>
      <c r="CS364" s="446"/>
    </row>
    <row r="365" spans="57:97" ht="12" hidden="1" x14ac:dyDescent="0.2">
      <c r="BE365" s="432">
        <v>213</v>
      </c>
      <c r="BF365" s="432"/>
      <c r="BG365" s="432"/>
      <c r="BH365" s="216">
        <f>BH363*30.2/130.2</f>
        <v>751.52073732718895</v>
      </c>
      <c r="BI365" s="435">
        <f>BI364*30.2%</f>
        <v>150.30414746543781</v>
      </c>
      <c r="BJ365" s="435"/>
      <c r="BK365" s="435"/>
      <c r="BL365" s="435"/>
      <c r="BM365" s="435"/>
      <c r="BN365" s="435">
        <f>BN364*30.2%</f>
        <v>601.21658986175123</v>
      </c>
      <c r="BO365" s="435"/>
      <c r="BP365" s="435"/>
      <c r="BQ365" s="435"/>
      <c r="BR365" s="435"/>
      <c r="BS365" s="435"/>
      <c r="BT365" s="435"/>
      <c r="CJ365" s="236"/>
    </row>
    <row r="368" spans="57:97" ht="12" hidden="1" x14ac:dyDescent="0.2">
      <c r="BE368" s="432" t="s">
        <v>510</v>
      </c>
      <c r="BF368" s="432"/>
      <c r="BG368" s="432"/>
      <c r="BH368" s="432"/>
      <c r="BI368" s="432"/>
      <c r="BJ368" s="432"/>
      <c r="BK368" s="432"/>
      <c r="BL368" s="432"/>
      <c r="BM368" s="432"/>
      <c r="BN368" s="432"/>
      <c r="BO368" s="432"/>
      <c r="BP368" s="432"/>
      <c r="BQ368" s="432"/>
      <c r="BR368" s="432"/>
      <c r="BS368" s="432"/>
      <c r="BT368" s="432"/>
      <c r="BU368" s="432"/>
      <c r="BV368" s="432"/>
      <c r="BW368" s="432"/>
      <c r="BX368" s="432"/>
      <c r="BY368" s="432"/>
      <c r="BZ368" s="432"/>
      <c r="CA368" s="432"/>
    </row>
    <row r="369" spans="1:98" ht="12" hidden="1" x14ac:dyDescent="0.2">
      <c r="BE369" s="432" t="s">
        <v>126</v>
      </c>
      <c r="BF369" s="432"/>
      <c r="BG369" s="432"/>
      <c r="BH369" s="433">
        <f>300*33</f>
        <v>9900</v>
      </c>
      <c r="BI369" s="433"/>
      <c r="BJ369" s="433"/>
      <c r="BK369" s="433"/>
      <c r="BL369" s="433"/>
      <c r="BM369" s="304" t="s">
        <v>127</v>
      </c>
      <c r="BN369" s="304"/>
      <c r="BO369" s="304"/>
      <c r="BP369" s="304"/>
      <c r="BQ369" s="304"/>
      <c r="BR369" s="304"/>
      <c r="BS369" s="304"/>
      <c r="BT369" s="304"/>
    </row>
    <row r="370" spans="1:98" ht="15" hidden="1" x14ac:dyDescent="0.25">
      <c r="BE370" s="434">
        <v>0.6</v>
      </c>
      <c r="BF370" s="432"/>
      <c r="BG370" s="432"/>
      <c r="BH370" s="216">
        <f>BH369*BE370</f>
        <v>5940</v>
      </c>
      <c r="BI370" s="432" t="s">
        <v>128</v>
      </c>
      <c r="BJ370" s="432"/>
      <c r="BK370" s="432"/>
      <c r="BL370" s="432"/>
      <c r="BM370" s="432"/>
      <c r="BN370" s="432" t="s">
        <v>129</v>
      </c>
      <c r="BO370" s="432"/>
      <c r="BP370" s="432"/>
      <c r="BQ370" s="432"/>
      <c r="BR370" s="432"/>
      <c r="BS370" s="432"/>
      <c r="BT370" s="432"/>
      <c r="CE370" s="432" t="s">
        <v>368</v>
      </c>
      <c r="CF370" s="443"/>
      <c r="CG370" s="443"/>
      <c r="CH370" s="443"/>
      <c r="CI370" s="443"/>
      <c r="CJ370" s="443"/>
      <c r="CM370" s="432" t="s">
        <v>366</v>
      </c>
      <c r="CN370" s="443"/>
      <c r="CO370" s="443"/>
      <c r="CP370" s="443"/>
      <c r="CQ370" s="443"/>
      <c r="CR370" s="443"/>
      <c r="CS370" s="443"/>
    </row>
    <row r="371" spans="1:98" ht="15" hidden="1" x14ac:dyDescent="0.25">
      <c r="BE371" s="432">
        <v>211</v>
      </c>
      <c r="BF371" s="432"/>
      <c r="BG371" s="432"/>
      <c r="BH371" s="216">
        <f>BH370-BH372</f>
        <v>4562.2119815668202</v>
      </c>
      <c r="BI371" s="435">
        <f>BH371*0.2</f>
        <v>912.44239631336404</v>
      </c>
      <c r="BJ371" s="435"/>
      <c r="BK371" s="435"/>
      <c r="BL371" s="435"/>
      <c r="BM371" s="435"/>
      <c r="BN371" s="436">
        <f>BH371-BI371</f>
        <v>3649.7695852534562</v>
      </c>
      <c r="BO371" s="445"/>
      <c r="BP371" s="445"/>
      <c r="BQ371" s="445"/>
      <c r="BR371" s="445"/>
      <c r="BS371" s="445"/>
      <c r="BT371" s="445"/>
      <c r="CE371" s="437">
        <f>BI371*15/20</f>
        <v>684.33179723502303</v>
      </c>
      <c r="CF371" s="446"/>
      <c r="CG371" s="446"/>
      <c r="CH371" s="446"/>
      <c r="CI371" s="446"/>
      <c r="CJ371" s="446"/>
      <c r="CK371" s="303"/>
      <c r="CL371" s="303"/>
      <c r="CM371" s="437">
        <f>BI371*5/20</f>
        <v>228.11059907834101</v>
      </c>
      <c r="CN371" s="446"/>
      <c r="CO371" s="446"/>
      <c r="CP371" s="446"/>
      <c r="CQ371" s="446"/>
      <c r="CR371" s="446"/>
      <c r="CS371" s="446"/>
    </row>
    <row r="372" spans="1:98" ht="12" hidden="1" x14ac:dyDescent="0.2">
      <c r="BE372" s="432">
        <v>213</v>
      </c>
      <c r="BF372" s="432"/>
      <c r="BG372" s="432"/>
      <c r="BH372" s="216">
        <f>BH370*30.2/130.2</f>
        <v>1377.7880184331798</v>
      </c>
      <c r="BI372" s="435">
        <f>BI371*30.2%</f>
        <v>275.55760368663596</v>
      </c>
      <c r="BJ372" s="435"/>
      <c r="BK372" s="435"/>
      <c r="BL372" s="435"/>
      <c r="BM372" s="435"/>
      <c r="BN372" s="435">
        <f>BN371*30.2%</f>
        <v>1102.2304147465438</v>
      </c>
      <c r="BO372" s="435"/>
      <c r="BP372" s="435"/>
      <c r="BQ372" s="435"/>
      <c r="BR372" s="435"/>
      <c r="BS372" s="435"/>
      <c r="BT372" s="435"/>
      <c r="CJ372" s="236"/>
    </row>
    <row r="373" spans="1:98" ht="8.25" hidden="1" customHeight="1" x14ac:dyDescent="0.2"/>
    <row r="374" spans="1:98" ht="12" hidden="1" x14ac:dyDescent="0.2">
      <c r="C374" s="117" t="s">
        <v>434</v>
      </c>
    </row>
    <row r="375" spans="1:98" ht="8.25" hidden="1" customHeight="1" x14ac:dyDescent="0.2"/>
    <row r="376" spans="1:98" ht="15" hidden="1" x14ac:dyDescent="0.25">
      <c r="CM376" s="778">
        <f>CM255+CM262+CM269+CM276+CM283+CM290+CM297+CM304+CM311+CM320+CM328+CM335+CM342+CM349+CM357+CM364+CM371</f>
        <v>5032.2580645161288</v>
      </c>
      <c r="CN376" s="779"/>
      <c r="CO376" s="779"/>
      <c r="CP376" s="779"/>
      <c r="CQ376" s="779"/>
      <c r="CR376" s="779"/>
      <c r="CS376" s="779"/>
      <c r="CT376" s="779"/>
    </row>
    <row r="377" spans="1:98" ht="15" x14ac:dyDescent="0.25">
      <c r="A377" s="444" t="s">
        <v>125</v>
      </c>
      <c r="B377" s="441"/>
      <c r="C377" s="441"/>
      <c r="D377" s="441"/>
      <c r="E377" s="441"/>
      <c r="F377" s="441"/>
    </row>
    <row r="378" spans="1:98" ht="12" hidden="1" x14ac:dyDescent="0.2">
      <c r="BE378" s="432" t="s">
        <v>532</v>
      </c>
      <c r="BF378" s="432"/>
      <c r="BG378" s="432"/>
      <c r="BH378" s="432"/>
      <c r="BI378" s="432"/>
      <c r="BJ378" s="432"/>
      <c r="BK378" s="432"/>
      <c r="BL378" s="432"/>
      <c r="BM378" s="432"/>
      <c r="BN378" s="432"/>
      <c r="BO378" s="432"/>
      <c r="BP378" s="432"/>
      <c r="BQ378" s="432"/>
      <c r="BR378" s="432"/>
      <c r="BS378" s="432"/>
      <c r="BT378" s="432"/>
      <c r="BU378" s="432"/>
      <c r="BV378" s="432"/>
      <c r="BW378" s="432"/>
      <c r="BX378" s="432"/>
      <c r="BY378" s="432"/>
      <c r="BZ378" s="432"/>
      <c r="CA378" s="432"/>
    </row>
    <row r="379" spans="1:98" ht="12" hidden="1" x14ac:dyDescent="0.2">
      <c r="BE379" s="432" t="s">
        <v>126</v>
      </c>
      <c r="BF379" s="432"/>
      <c r="BG379" s="432"/>
      <c r="BH379" s="433">
        <f>300*49</f>
        <v>14700</v>
      </c>
      <c r="BI379" s="433"/>
      <c r="BJ379" s="433"/>
      <c r="BK379" s="433"/>
      <c r="BL379" s="433"/>
      <c r="BM379" s="317" t="s">
        <v>127</v>
      </c>
      <c r="BN379" s="317"/>
      <c r="BO379" s="317"/>
      <c r="BP379" s="317"/>
      <c r="BQ379" s="317"/>
      <c r="BR379" s="317"/>
      <c r="BS379" s="317"/>
      <c r="BT379" s="317"/>
    </row>
    <row r="380" spans="1:98" ht="12" hidden="1" x14ac:dyDescent="0.2">
      <c r="BE380" s="434">
        <v>0.6</v>
      </c>
      <c r="BF380" s="434"/>
      <c r="BG380" s="434"/>
      <c r="BH380" s="216">
        <f>BH379*BE380</f>
        <v>8820</v>
      </c>
      <c r="BI380" s="432" t="s">
        <v>128</v>
      </c>
      <c r="BJ380" s="432"/>
      <c r="BK380" s="432"/>
      <c r="BL380" s="432"/>
      <c r="BM380" s="432"/>
      <c r="BN380" s="432" t="s">
        <v>129</v>
      </c>
      <c r="BO380" s="432"/>
      <c r="BP380" s="432"/>
      <c r="BQ380" s="432"/>
      <c r="BR380" s="432"/>
      <c r="BS380" s="432"/>
      <c r="BT380" s="432"/>
      <c r="CE380" s="432" t="s">
        <v>368</v>
      </c>
      <c r="CF380" s="432"/>
      <c r="CG380" s="432"/>
      <c r="CH380" s="432"/>
      <c r="CI380" s="432"/>
      <c r="CJ380" s="432"/>
      <c r="CM380" s="432" t="s">
        <v>366</v>
      </c>
      <c r="CN380" s="432"/>
      <c r="CO380" s="432"/>
      <c r="CP380" s="432"/>
      <c r="CQ380" s="432"/>
      <c r="CR380" s="432"/>
      <c r="CS380" s="432"/>
    </row>
    <row r="381" spans="1:98" ht="12" hidden="1" x14ac:dyDescent="0.2">
      <c r="BE381" s="432">
        <v>211</v>
      </c>
      <c r="BF381" s="432"/>
      <c r="BG381" s="432"/>
      <c r="BH381" s="216">
        <f>BH380-BH382</f>
        <v>6774.1935483870966</v>
      </c>
      <c r="BI381" s="435">
        <f>BH381*0.2</f>
        <v>1354.8387096774195</v>
      </c>
      <c r="BJ381" s="435"/>
      <c r="BK381" s="435"/>
      <c r="BL381" s="435"/>
      <c r="BM381" s="435"/>
      <c r="BN381" s="436">
        <f>BH381-BI381</f>
        <v>5419.3548387096771</v>
      </c>
      <c r="BO381" s="436"/>
      <c r="BP381" s="436"/>
      <c r="BQ381" s="436"/>
      <c r="BR381" s="436"/>
      <c r="BS381" s="436"/>
      <c r="BT381" s="436"/>
      <c r="CE381" s="437">
        <f>BI381*15/20</f>
        <v>1016.1290322580646</v>
      </c>
      <c r="CF381" s="437"/>
      <c r="CG381" s="437"/>
      <c r="CH381" s="437"/>
      <c r="CI381" s="437"/>
      <c r="CJ381" s="437"/>
      <c r="CK381" s="316"/>
      <c r="CL381" s="316"/>
      <c r="CM381" s="437">
        <f>BI381*5/20</f>
        <v>338.70967741935488</v>
      </c>
      <c r="CN381" s="437"/>
      <c r="CO381" s="437"/>
      <c r="CP381" s="437"/>
      <c r="CQ381" s="437"/>
      <c r="CR381" s="437"/>
      <c r="CS381" s="437"/>
    </row>
    <row r="382" spans="1:98" ht="12" hidden="1" x14ac:dyDescent="0.2">
      <c r="BE382" s="432">
        <v>213</v>
      </c>
      <c r="BF382" s="432"/>
      <c r="BG382" s="432"/>
      <c r="BH382" s="216">
        <f>BH380*30.2/130.2</f>
        <v>2045.8064516129034</v>
      </c>
      <c r="BI382" s="435">
        <f>BI381*30.2%</f>
        <v>409.16129032258067</v>
      </c>
      <c r="BJ382" s="435"/>
      <c r="BK382" s="435"/>
      <c r="BL382" s="435"/>
      <c r="BM382" s="435"/>
      <c r="BN382" s="435">
        <f>BN381*30.2%</f>
        <v>1636.6451612903224</v>
      </c>
      <c r="BO382" s="435"/>
      <c r="BP382" s="435"/>
      <c r="BQ382" s="435"/>
      <c r="BR382" s="435"/>
      <c r="BS382" s="435"/>
      <c r="BT382" s="435"/>
      <c r="CJ382" s="236"/>
    </row>
    <row r="383" spans="1:98" ht="12" hidden="1" x14ac:dyDescent="0.2"/>
    <row r="384" spans="1:98" ht="12" hidden="1" x14ac:dyDescent="0.2"/>
    <row r="385" spans="57:97" ht="12" hidden="1" x14ac:dyDescent="0.2">
      <c r="BE385" s="432" t="s">
        <v>542</v>
      </c>
      <c r="BF385" s="432"/>
      <c r="BG385" s="432"/>
      <c r="BH385" s="432"/>
      <c r="BI385" s="432"/>
      <c r="BJ385" s="432"/>
      <c r="BK385" s="432"/>
      <c r="BL385" s="432"/>
      <c r="BM385" s="432"/>
      <c r="BN385" s="432"/>
      <c r="BO385" s="432"/>
      <c r="BP385" s="432"/>
      <c r="BQ385" s="432"/>
      <c r="BR385" s="432"/>
      <c r="BS385" s="432"/>
      <c r="BT385" s="432"/>
      <c r="BU385" s="432"/>
      <c r="BV385" s="432"/>
      <c r="BW385" s="432"/>
      <c r="BX385" s="432"/>
      <c r="BY385" s="432"/>
      <c r="BZ385" s="432"/>
      <c r="CA385" s="432"/>
    </row>
    <row r="386" spans="57:97" ht="12" hidden="1" x14ac:dyDescent="0.2">
      <c r="BE386" s="432" t="s">
        <v>126</v>
      </c>
      <c r="BF386" s="432"/>
      <c r="BG386" s="432"/>
      <c r="BH386" s="433">
        <f>300*51</f>
        <v>15300</v>
      </c>
      <c r="BI386" s="433"/>
      <c r="BJ386" s="433"/>
      <c r="BK386" s="433"/>
      <c r="BL386" s="433"/>
      <c r="BM386" s="320" t="s">
        <v>127</v>
      </c>
      <c r="BN386" s="320"/>
      <c r="BO386" s="320"/>
      <c r="BP386" s="320"/>
      <c r="BQ386" s="320"/>
      <c r="BR386" s="320"/>
      <c r="BS386" s="320"/>
      <c r="BT386" s="320"/>
    </row>
    <row r="387" spans="57:97" ht="12" hidden="1" x14ac:dyDescent="0.2">
      <c r="BE387" s="434">
        <v>0.6</v>
      </c>
      <c r="BF387" s="434"/>
      <c r="BG387" s="434"/>
      <c r="BH387" s="216">
        <f>BH386*BE387</f>
        <v>9180</v>
      </c>
      <c r="BI387" s="432" t="s">
        <v>128</v>
      </c>
      <c r="BJ387" s="432"/>
      <c r="BK387" s="432"/>
      <c r="BL387" s="432"/>
      <c r="BM387" s="432"/>
      <c r="BN387" s="432" t="s">
        <v>129</v>
      </c>
      <c r="BO387" s="432"/>
      <c r="BP387" s="432"/>
      <c r="BQ387" s="432"/>
      <c r="BR387" s="432"/>
      <c r="BS387" s="432"/>
      <c r="BT387" s="432"/>
      <c r="CE387" s="432" t="s">
        <v>368</v>
      </c>
      <c r="CF387" s="432"/>
      <c r="CG387" s="432"/>
      <c r="CH387" s="432"/>
      <c r="CI387" s="432"/>
      <c r="CJ387" s="432"/>
      <c r="CM387" s="432" t="s">
        <v>366</v>
      </c>
      <c r="CN387" s="432"/>
      <c r="CO387" s="432"/>
      <c r="CP387" s="432"/>
      <c r="CQ387" s="432"/>
      <c r="CR387" s="432"/>
      <c r="CS387" s="432"/>
    </row>
    <row r="388" spans="57:97" ht="12" hidden="1" x14ac:dyDescent="0.2">
      <c r="BE388" s="432">
        <v>211</v>
      </c>
      <c r="BF388" s="432"/>
      <c r="BG388" s="432"/>
      <c r="BH388" s="216">
        <f>BH387-BH389</f>
        <v>7050.6912442396315</v>
      </c>
      <c r="BI388" s="435">
        <f>BH388*0.2</f>
        <v>1410.1382488479264</v>
      </c>
      <c r="BJ388" s="435"/>
      <c r="BK388" s="435"/>
      <c r="BL388" s="435"/>
      <c r="BM388" s="435"/>
      <c r="BN388" s="436">
        <f>BH388-BI388</f>
        <v>5640.5529953917048</v>
      </c>
      <c r="BO388" s="436"/>
      <c r="BP388" s="436"/>
      <c r="BQ388" s="436"/>
      <c r="BR388" s="436"/>
      <c r="BS388" s="436"/>
      <c r="BT388" s="436"/>
      <c r="CE388" s="437">
        <f>BI388*15/20</f>
        <v>1057.603686635945</v>
      </c>
      <c r="CF388" s="437"/>
      <c r="CG388" s="437"/>
      <c r="CH388" s="437"/>
      <c r="CI388" s="437"/>
      <c r="CJ388" s="437"/>
      <c r="CK388" s="319"/>
      <c r="CL388" s="319"/>
      <c r="CM388" s="437">
        <f>BI388*5/20</f>
        <v>352.53456221198161</v>
      </c>
      <c r="CN388" s="437"/>
      <c r="CO388" s="437"/>
      <c r="CP388" s="437"/>
      <c r="CQ388" s="437"/>
      <c r="CR388" s="437"/>
      <c r="CS388" s="437"/>
    </row>
    <row r="389" spans="57:97" ht="12" hidden="1" x14ac:dyDescent="0.2">
      <c r="BE389" s="432">
        <v>213</v>
      </c>
      <c r="BF389" s="432"/>
      <c r="BG389" s="432"/>
      <c r="BH389" s="216">
        <f>BH387*30.2/130.2</f>
        <v>2129.308755760369</v>
      </c>
      <c r="BI389" s="435">
        <f>BI388*30.2%</f>
        <v>425.86175115207379</v>
      </c>
      <c r="BJ389" s="435"/>
      <c r="BK389" s="435"/>
      <c r="BL389" s="435"/>
      <c r="BM389" s="435"/>
      <c r="BN389" s="435">
        <f>BN388*30.2%</f>
        <v>1703.4470046082947</v>
      </c>
      <c r="BO389" s="435"/>
      <c r="BP389" s="435"/>
      <c r="BQ389" s="435"/>
      <c r="BR389" s="435"/>
      <c r="BS389" s="435"/>
      <c r="BT389" s="435"/>
      <c r="CJ389" s="236"/>
    </row>
    <row r="390" spans="57:97" ht="8.25" hidden="1" customHeight="1" x14ac:dyDescent="0.2"/>
    <row r="391" spans="57:97" ht="8.25" hidden="1" customHeight="1" x14ac:dyDescent="0.2"/>
    <row r="392" spans="57:97" ht="12" hidden="1" x14ac:dyDescent="0.2">
      <c r="BE392" s="432" t="s">
        <v>543</v>
      </c>
      <c r="BF392" s="432"/>
      <c r="BG392" s="432"/>
      <c r="BH392" s="432"/>
      <c r="BI392" s="432"/>
      <c r="BJ392" s="432"/>
      <c r="BK392" s="432"/>
      <c r="BL392" s="432"/>
      <c r="BM392" s="432"/>
      <c r="BN392" s="432"/>
      <c r="BO392" s="432"/>
      <c r="BP392" s="432"/>
      <c r="BQ392" s="432"/>
      <c r="BR392" s="432"/>
      <c r="BS392" s="432"/>
      <c r="BT392" s="432"/>
      <c r="BU392" s="432"/>
      <c r="BV392" s="432"/>
      <c r="BW392" s="432"/>
      <c r="BX392" s="432"/>
      <c r="BY392" s="432"/>
      <c r="BZ392" s="432"/>
      <c r="CA392" s="432"/>
    </row>
    <row r="393" spans="57:97" ht="12" hidden="1" x14ac:dyDescent="0.2">
      <c r="BE393" s="432" t="s">
        <v>126</v>
      </c>
      <c r="BF393" s="432"/>
      <c r="BG393" s="432"/>
      <c r="BH393" s="433">
        <f>300*50</f>
        <v>15000</v>
      </c>
      <c r="BI393" s="433"/>
      <c r="BJ393" s="433"/>
      <c r="BK393" s="433"/>
      <c r="BL393" s="433"/>
      <c r="BM393" s="320" t="s">
        <v>127</v>
      </c>
      <c r="BN393" s="320"/>
      <c r="BO393" s="320"/>
      <c r="BP393" s="320"/>
      <c r="BQ393" s="320"/>
      <c r="BR393" s="320"/>
      <c r="BS393" s="320"/>
      <c r="BT393" s="320"/>
    </row>
    <row r="394" spans="57:97" ht="12" hidden="1" x14ac:dyDescent="0.2">
      <c r="BE394" s="434">
        <v>0.6</v>
      </c>
      <c r="BF394" s="434"/>
      <c r="BG394" s="434"/>
      <c r="BH394" s="216">
        <f>BH393*BE394</f>
        <v>9000</v>
      </c>
      <c r="BI394" s="432" t="s">
        <v>128</v>
      </c>
      <c r="BJ394" s="432"/>
      <c r="BK394" s="432"/>
      <c r="BL394" s="432"/>
      <c r="BM394" s="432"/>
      <c r="BN394" s="432" t="s">
        <v>129</v>
      </c>
      <c r="BO394" s="432"/>
      <c r="BP394" s="432"/>
      <c r="BQ394" s="432"/>
      <c r="BR394" s="432"/>
      <c r="BS394" s="432"/>
      <c r="BT394" s="432"/>
      <c r="CE394" s="432" t="s">
        <v>368</v>
      </c>
      <c r="CF394" s="432"/>
      <c r="CG394" s="432"/>
      <c r="CH394" s="432"/>
      <c r="CI394" s="432"/>
      <c r="CJ394" s="432"/>
      <c r="CM394" s="432" t="s">
        <v>366</v>
      </c>
      <c r="CN394" s="432"/>
      <c r="CO394" s="432"/>
      <c r="CP394" s="432"/>
      <c r="CQ394" s="432"/>
      <c r="CR394" s="432"/>
      <c r="CS394" s="432"/>
    </row>
    <row r="395" spans="57:97" ht="12" hidden="1" x14ac:dyDescent="0.2">
      <c r="BE395" s="432">
        <v>211</v>
      </c>
      <c r="BF395" s="432"/>
      <c r="BG395" s="432"/>
      <c r="BH395" s="216">
        <f>BH394-BH396</f>
        <v>6912.442396313364</v>
      </c>
      <c r="BI395" s="435">
        <f>BH395*0.2</f>
        <v>1382.4884792626729</v>
      </c>
      <c r="BJ395" s="435"/>
      <c r="BK395" s="435"/>
      <c r="BL395" s="435"/>
      <c r="BM395" s="435"/>
      <c r="BN395" s="436">
        <f>BH395-BI395</f>
        <v>5529.9539170506914</v>
      </c>
      <c r="BO395" s="436"/>
      <c r="BP395" s="436"/>
      <c r="BQ395" s="436"/>
      <c r="BR395" s="436"/>
      <c r="BS395" s="436"/>
      <c r="BT395" s="436"/>
      <c r="CE395" s="437">
        <f>BI395*15/20</f>
        <v>1036.8663594470047</v>
      </c>
      <c r="CF395" s="437"/>
      <c r="CG395" s="437"/>
      <c r="CH395" s="437"/>
      <c r="CI395" s="437"/>
      <c r="CJ395" s="437"/>
      <c r="CK395" s="319"/>
      <c r="CL395" s="319"/>
      <c r="CM395" s="437">
        <f>BI395*5/20</f>
        <v>345.62211981566821</v>
      </c>
      <c r="CN395" s="437"/>
      <c r="CO395" s="437"/>
      <c r="CP395" s="437"/>
      <c r="CQ395" s="437"/>
      <c r="CR395" s="437"/>
      <c r="CS395" s="437"/>
    </row>
    <row r="396" spans="57:97" ht="12" hidden="1" x14ac:dyDescent="0.2">
      <c r="BE396" s="432">
        <v>213</v>
      </c>
      <c r="BF396" s="432"/>
      <c r="BG396" s="432"/>
      <c r="BH396" s="216">
        <f>BH394*30.2/130.2</f>
        <v>2087.557603686636</v>
      </c>
      <c r="BI396" s="435">
        <f>BI395*30.2%</f>
        <v>417.5115207373272</v>
      </c>
      <c r="BJ396" s="435"/>
      <c r="BK396" s="435"/>
      <c r="BL396" s="435"/>
      <c r="BM396" s="435"/>
      <c r="BN396" s="435">
        <f>BN395*30.2%</f>
        <v>1670.0460829493088</v>
      </c>
      <c r="BO396" s="435"/>
      <c r="BP396" s="435"/>
      <c r="BQ396" s="435"/>
      <c r="BR396" s="435"/>
      <c r="BS396" s="435"/>
      <c r="BT396" s="435"/>
      <c r="CJ396" s="236"/>
    </row>
    <row r="397" spans="57:97" ht="8.25" hidden="1" customHeight="1" x14ac:dyDescent="0.2"/>
    <row r="398" spans="57:97" ht="8.25" hidden="1" customHeight="1" x14ac:dyDescent="0.2"/>
    <row r="399" spans="57:97" ht="12" hidden="1" x14ac:dyDescent="0.2">
      <c r="BE399" s="432" t="s">
        <v>560</v>
      </c>
      <c r="BF399" s="432"/>
      <c r="BG399" s="432"/>
      <c r="BH399" s="432"/>
      <c r="BI399" s="432"/>
      <c r="BJ399" s="432"/>
      <c r="BK399" s="432"/>
      <c r="BL399" s="432"/>
      <c r="BM399" s="432"/>
      <c r="BN399" s="432"/>
      <c r="BO399" s="432"/>
      <c r="BP399" s="432"/>
      <c r="BQ399" s="432"/>
      <c r="BR399" s="432"/>
      <c r="BS399" s="432"/>
      <c r="BT399" s="432"/>
      <c r="BU399" s="432"/>
      <c r="BV399" s="432"/>
      <c r="BW399" s="432"/>
      <c r="BX399" s="432"/>
      <c r="BY399" s="432"/>
      <c r="BZ399" s="432"/>
      <c r="CA399" s="432"/>
    </row>
    <row r="400" spans="57:97" ht="12" hidden="1" x14ac:dyDescent="0.2">
      <c r="BE400" s="432" t="s">
        <v>126</v>
      </c>
      <c r="BF400" s="432"/>
      <c r="BG400" s="432"/>
      <c r="BH400" s="433">
        <f>300*147</f>
        <v>44100</v>
      </c>
      <c r="BI400" s="433"/>
      <c r="BJ400" s="433"/>
      <c r="BK400" s="433"/>
      <c r="BL400" s="433"/>
      <c r="BM400" s="320" t="s">
        <v>127</v>
      </c>
      <c r="BN400" s="320"/>
      <c r="BO400" s="320"/>
      <c r="BP400" s="320"/>
      <c r="BQ400" s="320"/>
      <c r="BR400" s="320"/>
      <c r="BS400" s="320"/>
      <c r="BT400" s="320"/>
    </row>
    <row r="401" spans="57:97" ht="12" hidden="1" x14ac:dyDescent="0.2">
      <c r="BE401" s="434">
        <v>0.6</v>
      </c>
      <c r="BF401" s="434"/>
      <c r="BG401" s="434"/>
      <c r="BH401" s="216">
        <f>BH400*BE401</f>
        <v>26460</v>
      </c>
      <c r="BI401" s="432" t="s">
        <v>128</v>
      </c>
      <c r="BJ401" s="432"/>
      <c r="BK401" s="432"/>
      <c r="BL401" s="432"/>
      <c r="BM401" s="432"/>
      <c r="BN401" s="432" t="s">
        <v>129</v>
      </c>
      <c r="BO401" s="432"/>
      <c r="BP401" s="432"/>
      <c r="BQ401" s="432"/>
      <c r="BR401" s="432"/>
      <c r="BS401" s="432"/>
      <c r="BT401" s="432"/>
      <c r="CE401" s="432" t="s">
        <v>368</v>
      </c>
      <c r="CF401" s="432"/>
      <c r="CG401" s="432"/>
      <c r="CH401" s="432"/>
      <c r="CI401" s="432"/>
      <c r="CJ401" s="432"/>
      <c r="CM401" s="432" t="s">
        <v>366</v>
      </c>
      <c r="CN401" s="432"/>
      <c r="CO401" s="432"/>
      <c r="CP401" s="432"/>
      <c r="CQ401" s="432"/>
      <c r="CR401" s="432"/>
      <c r="CS401" s="432"/>
    </row>
    <row r="402" spans="57:97" ht="12" hidden="1" x14ac:dyDescent="0.2">
      <c r="BE402" s="432">
        <v>211</v>
      </c>
      <c r="BF402" s="432"/>
      <c r="BG402" s="432"/>
      <c r="BH402" s="216">
        <f>BH401-BH403</f>
        <v>20322.580645161288</v>
      </c>
      <c r="BI402" s="435">
        <f>BH402*0.2</f>
        <v>4064.5161290322576</v>
      </c>
      <c r="BJ402" s="435"/>
      <c r="BK402" s="435"/>
      <c r="BL402" s="435"/>
      <c r="BM402" s="435"/>
      <c r="BN402" s="436">
        <f>BH402-BI402</f>
        <v>16258.06451612903</v>
      </c>
      <c r="BO402" s="436"/>
      <c r="BP402" s="436"/>
      <c r="BQ402" s="436"/>
      <c r="BR402" s="436"/>
      <c r="BS402" s="436"/>
      <c r="BT402" s="436"/>
      <c r="CE402" s="437">
        <f>BI402*15/20</f>
        <v>3048.3870967741932</v>
      </c>
      <c r="CF402" s="437"/>
      <c r="CG402" s="437"/>
      <c r="CH402" s="437"/>
      <c r="CI402" s="437"/>
      <c r="CJ402" s="437"/>
      <c r="CK402" s="319"/>
      <c r="CL402" s="319"/>
      <c r="CM402" s="437">
        <f>BI402*5/20</f>
        <v>1016.1290322580644</v>
      </c>
      <c r="CN402" s="437"/>
      <c r="CO402" s="437"/>
      <c r="CP402" s="437"/>
      <c r="CQ402" s="437"/>
      <c r="CR402" s="437"/>
      <c r="CS402" s="437"/>
    </row>
    <row r="403" spans="57:97" ht="12" hidden="1" x14ac:dyDescent="0.2">
      <c r="BE403" s="432">
        <v>213</v>
      </c>
      <c r="BF403" s="432"/>
      <c r="BG403" s="432"/>
      <c r="BH403" s="216">
        <f>BH401*30.2/130.2</f>
        <v>6137.4193548387102</v>
      </c>
      <c r="BI403" s="435">
        <f>BI402*30.2%</f>
        <v>1227.4838709677417</v>
      </c>
      <c r="BJ403" s="435"/>
      <c r="BK403" s="435"/>
      <c r="BL403" s="435"/>
      <c r="BM403" s="435"/>
      <c r="BN403" s="435">
        <f>BN402*30.2%</f>
        <v>4909.9354838709669</v>
      </c>
      <c r="BO403" s="435"/>
      <c r="BP403" s="435"/>
      <c r="BQ403" s="435"/>
      <c r="BR403" s="435"/>
      <c r="BS403" s="435"/>
      <c r="BT403" s="435"/>
      <c r="CJ403" s="236"/>
    </row>
    <row r="404" spans="57:97" ht="12" hidden="1" x14ac:dyDescent="0.2"/>
    <row r="405" spans="57:97" ht="8.25" hidden="1" customHeight="1" x14ac:dyDescent="0.2"/>
    <row r="406" spans="57:97" ht="12" hidden="1" x14ac:dyDescent="0.2">
      <c r="BE406" s="432" t="s">
        <v>562</v>
      </c>
      <c r="BF406" s="432"/>
      <c r="BG406" s="432"/>
      <c r="BH406" s="432"/>
      <c r="BI406" s="432"/>
      <c r="BJ406" s="432"/>
      <c r="BK406" s="432"/>
      <c r="BL406" s="432"/>
      <c r="BM406" s="432"/>
      <c r="BN406" s="432"/>
      <c r="BO406" s="432"/>
      <c r="BP406" s="432"/>
      <c r="BQ406" s="432"/>
      <c r="BR406" s="432"/>
      <c r="BS406" s="432"/>
      <c r="BT406" s="432"/>
      <c r="BU406" s="432"/>
      <c r="BV406" s="432"/>
      <c r="BW406" s="432"/>
      <c r="BX406" s="432"/>
      <c r="BY406" s="432"/>
      <c r="BZ406" s="432"/>
      <c r="CA406" s="432"/>
    </row>
    <row r="407" spans="57:97" ht="12" hidden="1" x14ac:dyDescent="0.2">
      <c r="BE407" s="432" t="s">
        <v>126</v>
      </c>
      <c r="BF407" s="432"/>
      <c r="BG407" s="432"/>
      <c r="BH407" s="433">
        <f>300*86</f>
        <v>25800</v>
      </c>
      <c r="BI407" s="433"/>
      <c r="BJ407" s="433"/>
      <c r="BK407" s="433"/>
      <c r="BL407" s="433"/>
      <c r="BM407" s="324" t="s">
        <v>127</v>
      </c>
      <c r="BN407" s="324"/>
      <c r="BO407" s="324"/>
      <c r="BP407" s="324"/>
      <c r="BQ407" s="324"/>
      <c r="BR407" s="324"/>
      <c r="BS407" s="324"/>
      <c r="BT407" s="324"/>
    </row>
    <row r="408" spans="57:97" ht="12" hidden="1" x14ac:dyDescent="0.2">
      <c r="BE408" s="434">
        <v>0.6</v>
      </c>
      <c r="BF408" s="434"/>
      <c r="BG408" s="434"/>
      <c r="BH408" s="216">
        <f>BH407*BE408</f>
        <v>15480</v>
      </c>
      <c r="BI408" s="432" t="s">
        <v>128</v>
      </c>
      <c r="BJ408" s="432"/>
      <c r="BK408" s="432"/>
      <c r="BL408" s="432"/>
      <c r="BM408" s="432"/>
      <c r="BN408" s="432" t="s">
        <v>129</v>
      </c>
      <c r="BO408" s="432"/>
      <c r="BP408" s="432"/>
      <c r="BQ408" s="432"/>
      <c r="BR408" s="432"/>
      <c r="BS408" s="432"/>
      <c r="BT408" s="432"/>
      <c r="CE408" s="432" t="s">
        <v>368</v>
      </c>
      <c r="CF408" s="432"/>
      <c r="CG408" s="432"/>
      <c r="CH408" s="432"/>
      <c r="CI408" s="432"/>
      <c r="CJ408" s="432"/>
      <c r="CM408" s="432" t="s">
        <v>366</v>
      </c>
      <c r="CN408" s="432"/>
      <c r="CO408" s="432"/>
      <c r="CP408" s="432"/>
      <c r="CQ408" s="432"/>
      <c r="CR408" s="432"/>
      <c r="CS408" s="432"/>
    </row>
    <row r="409" spans="57:97" ht="12" hidden="1" x14ac:dyDescent="0.2">
      <c r="BE409" s="432">
        <v>211</v>
      </c>
      <c r="BF409" s="432"/>
      <c r="BG409" s="432"/>
      <c r="BH409" s="216">
        <f>BH408-BH410</f>
        <v>11889.400921658986</v>
      </c>
      <c r="BI409" s="435">
        <f>BH409*0.2</f>
        <v>2377.8801843317974</v>
      </c>
      <c r="BJ409" s="435"/>
      <c r="BK409" s="435"/>
      <c r="BL409" s="435"/>
      <c r="BM409" s="435"/>
      <c r="BN409" s="436">
        <f>BH409-BI409</f>
        <v>9511.5207373271878</v>
      </c>
      <c r="BO409" s="436"/>
      <c r="BP409" s="436"/>
      <c r="BQ409" s="436"/>
      <c r="BR409" s="436"/>
      <c r="BS409" s="436"/>
      <c r="BT409" s="436"/>
      <c r="CE409" s="437">
        <f>BI409*15/20</f>
        <v>1783.4101382488479</v>
      </c>
      <c r="CF409" s="437"/>
      <c r="CG409" s="437"/>
      <c r="CH409" s="437"/>
      <c r="CI409" s="437"/>
      <c r="CJ409" s="437"/>
      <c r="CK409" s="323"/>
      <c r="CL409" s="323"/>
      <c r="CM409" s="437">
        <f>BI409*5/20</f>
        <v>594.47004608294935</v>
      </c>
      <c r="CN409" s="437"/>
      <c r="CO409" s="437"/>
      <c r="CP409" s="437"/>
      <c r="CQ409" s="437"/>
      <c r="CR409" s="437"/>
      <c r="CS409" s="437"/>
    </row>
    <row r="410" spans="57:97" ht="12" hidden="1" x14ac:dyDescent="0.2">
      <c r="BE410" s="432">
        <v>213</v>
      </c>
      <c r="BF410" s="432"/>
      <c r="BG410" s="432"/>
      <c r="BH410" s="216">
        <f>BH408*30.2/130.2</f>
        <v>3590.5990783410143</v>
      </c>
      <c r="BI410" s="435">
        <f>BI409*30.2%</f>
        <v>718.11981566820282</v>
      </c>
      <c r="BJ410" s="435"/>
      <c r="BK410" s="435"/>
      <c r="BL410" s="435"/>
      <c r="BM410" s="435"/>
      <c r="BN410" s="435">
        <f>BN409*30.2%</f>
        <v>2872.4792626728108</v>
      </c>
      <c r="BO410" s="435"/>
      <c r="BP410" s="435"/>
      <c r="BQ410" s="435"/>
      <c r="BR410" s="435"/>
      <c r="BS410" s="435"/>
      <c r="BT410" s="435"/>
      <c r="CJ410" s="236"/>
    </row>
    <row r="411" spans="57:97" ht="8.25" hidden="1" customHeight="1" x14ac:dyDescent="0.2"/>
    <row r="412" spans="57:97" ht="8.25" hidden="1" customHeight="1" x14ac:dyDescent="0.2"/>
    <row r="413" spans="57:97" ht="12" hidden="1" x14ac:dyDescent="0.2">
      <c r="BE413" s="432" t="s">
        <v>575</v>
      </c>
      <c r="BF413" s="432"/>
      <c r="BG413" s="432"/>
      <c r="BH413" s="432"/>
      <c r="BI413" s="432"/>
      <c r="BJ413" s="432"/>
      <c r="BK413" s="432"/>
      <c r="BL413" s="432"/>
      <c r="BM413" s="432"/>
      <c r="BN413" s="432"/>
      <c r="BO413" s="432"/>
      <c r="BP413" s="432"/>
      <c r="BQ413" s="432"/>
      <c r="BR413" s="432"/>
      <c r="BS413" s="432"/>
      <c r="BT413" s="432"/>
      <c r="BU413" s="432"/>
      <c r="BV413" s="432"/>
      <c r="BW413" s="432"/>
      <c r="BX413" s="432"/>
      <c r="BY413" s="432"/>
      <c r="BZ413" s="432"/>
      <c r="CA413" s="432"/>
    </row>
    <row r="414" spans="57:97" ht="12" hidden="1" x14ac:dyDescent="0.2">
      <c r="BE414" s="432" t="s">
        <v>126</v>
      </c>
      <c r="BF414" s="432"/>
      <c r="BG414" s="432"/>
      <c r="BH414" s="433">
        <f>300*33</f>
        <v>9900</v>
      </c>
      <c r="BI414" s="433"/>
      <c r="BJ414" s="433"/>
      <c r="BK414" s="433"/>
      <c r="BL414" s="433"/>
      <c r="BM414" s="324" t="s">
        <v>127</v>
      </c>
      <c r="BN414" s="324"/>
      <c r="BO414" s="324"/>
      <c r="BP414" s="324"/>
      <c r="BQ414" s="324"/>
      <c r="BR414" s="324"/>
      <c r="BS414" s="324"/>
      <c r="BT414" s="324"/>
    </row>
    <row r="415" spans="57:97" ht="12" hidden="1" x14ac:dyDescent="0.2">
      <c r="BE415" s="434">
        <v>0.6</v>
      </c>
      <c r="BF415" s="434"/>
      <c r="BG415" s="434"/>
      <c r="BH415" s="216">
        <f>BH414*BE415</f>
        <v>5940</v>
      </c>
      <c r="BI415" s="432" t="s">
        <v>128</v>
      </c>
      <c r="BJ415" s="432"/>
      <c r="BK415" s="432"/>
      <c r="BL415" s="432"/>
      <c r="BM415" s="432"/>
      <c r="BN415" s="432" t="s">
        <v>129</v>
      </c>
      <c r="BO415" s="432"/>
      <c r="BP415" s="432"/>
      <c r="BQ415" s="432"/>
      <c r="BR415" s="432"/>
      <c r="BS415" s="432"/>
      <c r="BT415" s="432"/>
      <c r="CE415" s="432" t="s">
        <v>368</v>
      </c>
      <c r="CF415" s="432"/>
      <c r="CG415" s="432"/>
      <c r="CH415" s="432"/>
      <c r="CI415" s="432"/>
      <c r="CJ415" s="432"/>
      <c r="CM415" s="432" t="s">
        <v>366</v>
      </c>
      <c r="CN415" s="432"/>
      <c r="CO415" s="432"/>
      <c r="CP415" s="432"/>
      <c r="CQ415" s="432"/>
      <c r="CR415" s="432"/>
      <c r="CS415" s="432"/>
    </row>
    <row r="416" spans="57:97" ht="12" hidden="1" x14ac:dyDescent="0.2">
      <c r="BE416" s="432">
        <v>211</v>
      </c>
      <c r="BF416" s="432"/>
      <c r="BG416" s="432"/>
      <c r="BH416" s="216">
        <f>BH415-BH417</f>
        <v>4562.2119815668202</v>
      </c>
      <c r="BI416" s="435">
        <f>BH416*0.2</f>
        <v>912.44239631336404</v>
      </c>
      <c r="BJ416" s="435"/>
      <c r="BK416" s="435"/>
      <c r="BL416" s="435"/>
      <c r="BM416" s="435"/>
      <c r="BN416" s="436">
        <f>BH416-BI416</f>
        <v>3649.7695852534562</v>
      </c>
      <c r="BO416" s="436"/>
      <c r="BP416" s="436"/>
      <c r="BQ416" s="436"/>
      <c r="BR416" s="436"/>
      <c r="BS416" s="436"/>
      <c r="BT416" s="436"/>
      <c r="CE416" s="437">
        <f>BI416*15/20</f>
        <v>684.33179723502303</v>
      </c>
      <c r="CF416" s="437"/>
      <c r="CG416" s="437"/>
      <c r="CH416" s="437"/>
      <c r="CI416" s="437"/>
      <c r="CJ416" s="437"/>
      <c r="CK416" s="323"/>
      <c r="CL416" s="323"/>
      <c r="CM416" s="437">
        <f>BI416*5/20</f>
        <v>228.11059907834101</v>
      </c>
      <c r="CN416" s="437"/>
      <c r="CO416" s="437"/>
      <c r="CP416" s="437"/>
      <c r="CQ416" s="437"/>
      <c r="CR416" s="437"/>
      <c r="CS416" s="437"/>
    </row>
    <row r="417" spans="57:97" ht="12" hidden="1" x14ac:dyDescent="0.2">
      <c r="BE417" s="432">
        <v>213</v>
      </c>
      <c r="BF417" s="432"/>
      <c r="BG417" s="432"/>
      <c r="BH417" s="216">
        <f>BH415*30.2/130.2</f>
        <v>1377.7880184331798</v>
      </c>
      <c r="BI417" s="435">
        <f>BI416*30.2%</f>
        <v>275.55760368663596</v>
      </c>
      <c r="BJ417" s="435"/>
      <c r="BK417" s="435"/>
      <c r="BL417" s="435"/>
      <c r="BM417" s="435"/>
      <c r="BN417" s="435">
        <f>BN416*30.2%</f>
        <v>1102.2304147465438</v>
      </c>
      <c r="BO417" s="435"/>
      <c r="BP417" s="435"/>
      <c r="BQ417" s="435"/>
      <c r="BR417" s="435"/>
      <c r="BS417" s="435"/>
      <c r="BT417" s="435"/>
      <c r="CJ417" s="236"/>
    </row>
    <row r="418" spans="57:97" ht="8.25" hidden="1" customHeight="1" x14ac:dyDescent="0.2"/>
    <row r="419" spans="57:97" ht="8.25" hidden="1" customHeight="1" x14ac:dyDescent="0.2"/>
    <row r="420" spans="57:97" ht="12" hidden="1" x14ac:dyDescent="0.2">
      <c r="BE420" s="432" t="s">
        <v>589</v>
      </c>
      <c r="BF420" s="432"/>
      <c r="BG420" s="432"/>
      <c r="BH420" s="432"/>
      <c r="BI420" s="432"/>
      <c r="BJ420" s="432"/>
      <c r="BK420" s="432"/>
      <c r="BL420" s="432"/>
      <c r="BM420" s="432"/>
      <c r="BN420" s="432"/>
      <c r="BO420" s="432"/>
      <c r="BP420" s="432"/>
      <c r="BQ420" s="432"/>
      <c r="BR420" s="432"/>
      <c r="BS420" s="432"/>
      <c r="BT420" s="432"/>
      <c r="BU420" s="432"/>
      <c r="BV420" s="432"/>
      <c r="BW420" s="432"/>
      <c r="BX420" s="432"/>
      <c r="BY420" s="432"/>
      <c r="BZ420" s="432"/>
      <c r="CA420" s="432"/>
    </row>
    <row r="421" spans="57:97" ht="12" hidden="1" x14ac:dyDescent="0.2">
      <c r="BE421" s="432" t="s">
        <v>126</v>
      </c>
      <c r="BF421" s="432"/>
      <c r="BG421" s="432"/>
      <c r="BH421" s="433">
        <f>300*57</f>
        <v>17100</v>
      </c>
      <c r="BI421" s="433"/>
      <c r="BJ421" s="433"/>
      <c r="BK421" s="433"/>
      <c r="BL421" s="433"/>
      <c r="BM421" s="340" t="s">
        <v>127</v>
      </c>
      <c r="BN421" s="340"/>
      <c r="BO421" s="340"/>
      <c r="BP421" s="340"/>
      <c r="BQ421" s="340"/>
      <c r="BR421" s="340"/>
      <c r="BS421" s="340"/>
      <c r="BT421" s="340"/>
    </row>
    <row r="422" spans="57:97" ht="12" hidden="1" x14ac:dyDescent="0.2">
      <c r="BE422" s="434">
        <v>0.6</v>
      </c>
      <c r="BF422" s="434"/>
      <c r="BG422" s="434"/>
      <c r="BH422" s="216">
        <f>BH421*BE422</f>
        <v>10260</v>
      </c>
      <c r="BI422" s="432" t="s">
        <v>128</v>
      </c>
      <c r="BJ422" s="432"/>
      <c r="BK422" s="432"/>
      <c r="BL422" s="432"/>
      <c r="BM422" s="432"/>
      <c r="BN422" s="432" t="s">
        <v>129</v>
      </c>
      <c r="BO422" s="432"/>
      <c r="BP422" s="432"/>
      <c r="BQ422" s="432"/>
      <c r="BR422" s="432"/>
      <c r="BS422" s="432"/>
      <c r="BT422" s="432"/>
      <c r="CE422" s="432" t="s">
        <v>368</v>
      </c>
      <c r="CF422" s="432"/>
      <c r="CG422" s="432"/>
      <c r="CH422" s="432"/>
      <c r="CI422" s="432"/>
      <c r="CJ422" s="432"/>
      <c r="CM422" s="432" t="s">
        <v>366</v>
      </c>
      <c r="CN422" s="432"/>
      <c r="CO422" s="432"/>
      <c r="CP422" s="432"/>
      <c r="CQ422" s="432"/>
      <c r="CR422" s="432"/>
      <c r="CS422" s="432"/>
    </row>
    <row r="423" spans="57:97" ht="12" hidden="1" x14ac:dyDescent="0.2">
      <c r="BE423" s="432">
        <v>211</v>
      </c>
      <c r="BF423" s="432"/>
      <c r="BG423" s="432"/>
      <c r="BH423" s="216">
        <f>BH422-BH424</f>
        <v>7880.1843317972343</v>
      </c>
      <c r="BI423" s="435">
        <f>BH423*0.2</f>
        <v>1576.036866359447</v>
      </c>
      <c r="BJ423" s="435"/>
      <c r="BK423" s="435"/>
      <c r="BL423" s="435"/>
      <c r="BM423" s="435"/>
      <c r="BN423" s="436">
        <f>BH423-BI423</f>
        <v>6304.1474654377871</v>
      </c>
      <c r="BO423" s="436"/>
      <c r="BP423" s="436"/>
      <c r="BQ423" s="436"/>
      <c r="BR423" s="436"/>
      <c r="BS423" s="436"/>
      <c r="BT423" s="436"/>
      <c r="CE423" s="437">
        <f>BI423*15/20</f>
        <v>1182.0276497695854</v>
      </c>
      <c r="CF423" s="437"/>
      <c r="CG423" s="437"/>
      <c r="CH423" s="437"/>
      <c r="CI423" s="437"/>
      <c r="CJ423" s="437"/>
      <c r="CK423" s="339"/>
      <c r="CL423" s="339"/>
      <c r="CM423" s="437">
        <f>BI423*5/20</f>
        <v>394.00921658986175</v>
      </c>
      <c r="CN423" s="437"/>
      <c r="CO423" s="437"/>
      <c r="CP423" s="437"/>
      <c r="CQ423" s="437"/>
      <c r="CR423" s="437"/>
      <c r="CS423" s="437"/>
    </row>
    <row r="424" spans="57:97" ht="12" hidden="1" x14ac:dyDescent="0.2">
      <c r="BE424" s="432">
        <v>213</v>
      </c>
      <c r="BF424" s="432"/>
      <c r="BG424" s="432"/>
      <c r="BH424" s="216">
        <f>BH422*30.2/130.2</f>
        <v>2379.8156682027652</v>
      </c>
      <c r="BI424" s="435">
        <f>BI423*30.2%</f>
        <v>475.963133640553</v>
      </c>
      <c r="BJ424" s="435"/>
      <c r="BK424" s="435"/>
      <c r="BL424" s="435"/>
      <c r="BM424" s="435"/>
      <c r="BN424" s="435">
        <f>BN423*30.2%</f>
        <v>1903.8525345622118</v>
      </c>
      <c r="BO424" s="435"/>
      <c r="BP424" s="435"/>
      <c r="BQ424" s="435"/>
      <c r="BR424" s="435"/>
      <c r="BS424" s="435"/>
      <c r="BT424" s="435"/>
      <c r="CJ424" s="236"/>
    </row>
    <row r="425" spans="57:97" ht="12" hidden="1" x14ac:dyDescent="0.2"/>
    <row r="426" spans="57:97" ht="8.25" hidden="1" customHeight="1" x14ac:dyDescent="0.2"/>
    <row r="427" spans="57:97" ht="12" hidden="1" x14ac:dyDescent="0.2">
      <c r="BE427" s="432" t="s">
        <v>596</v>
      </c>
      <c r="BF427" s="432"/>
      <c r="BG427" s="432"/>
      <c r="BH427" s="432"/>
      <c r="BI427" s="432"/>
      <c r="BJ427" s="432"/>
      <c r="BK427" s="432"/>
      <c r="BL427" s="432"/>
      <c r="BM427" s="432"/>
      <c r="BN427" s="432"/>
      <c r="BO427" s="432"/>
      <c r="BP427" s="432"/>
      <c r="BQ427" s="432"/>
      <c r="BR427" s="432"/>
      <c r="BS427" s="432"/>
      <c r="BT427" s="432"/>
      <c r="BU427" s="432"/>
      <c r="BV427" s="432"/>
      <c r="BW427" s="432"/>
      <c r="BX427" s="432"/>
      <c r="BY427" s="432"/>
      <c r="BZ427" s="432"/>
      <c r="CA427" s="432"/>
    </row>
    <row r="428" spans="57:97" ht="12" hidden="1" x14ac:dyDescent="0.2">
      <c r="BE428" s="432" t="s">
        <v>126</v>
      </c>
      <c r="BF428" s="432"/>
      <c r="BG428" s="432"/>
      <c r="BH428" s="433">
        <f>300*11</f>
        <v>3300</v>
      </c>
      <c r="BI428" s="433"/>
      <c r="BJ428" s="433"/>
      <c r="BK428" s="433"/>
      <c r="BL428" s="433"/>
      <c r="BM428" s="348" t="s">
        <v>127</v>
      </c>
      <c r="BN428" s="348"/>
      <c r="BO428" s="348"/>
      <c r="BP428" s="348"/>
      <c r="BQ428" s="348"/>
      <c r="BR428" s="348"/>
      <c r="BS428" s="348"/>
      <c r="BT428" s="348"/>
    </row>
    <row r="429" spans="57:97" ht="12" hidden="1" x14ac:dyDescent="0.2">
      <c r="BE429" s="434">
        <v>0.6</v>
      </c>
      <c r="BF429" s="434"/>
      <c r="BG429" s="434"/>
      <c r="BH429" s="216">
        <f>BH428*BE429</f>
        <v>1980</v>
      </c>
      <c r="BI429" s="432" t="s">
        <v>128</v>
      </c>
      <c r="BJ429" s="432"/>
      <c r="BK429" s="432"/>
      <c r="BL429" s="432"/>
      <c r="BM429" s="432"/>
      <c r="BN429" s="432" t="s">
        <v>129</v>
      </c>
      <c r="BO429" s="432"/>
      <c r="BP429" s="432"/>
      <c r="BQ429" s="432"/>
      <c r="BR429" s="432"/>
      <c r="BS429" s="432"/>
      <c r="BT429" s="432"/>
      <c r="CE429" s="432" t="s">
        <v>368</v>
      </c>
      <c r="CF429" s="432"/>
      <c r="CG429" s="432"/>
      <c r="CH429" s="432"/>
      <c r="CI429" s="432"/>
      <c r="CJ429" s="432"/>
      <c r="CM429" s="432" t="s">
        <v>366</v>
      </c>
      <c r="CN429" s="432"/>
      <c r="CO429" s="432"/>
      <c r="CP429" s="432"/>
      <c r="CQ429" s="432"/>
      <c r="CR429" s="432"/>
      <c r="CS429" s="432"/>
    </row>
    <row r="430" spans="57:97" ht="12" hidden="1" x14ac:dyDescent="0.2">
      <c r="BE430" s="432">
        <v>211</v>
      </c>
      <c r="BF430" s="432"/>
      <c r="BG430" s="432"/>
      <c r="BH430" s="216">
        <f>BH429-BH431</f>
        <v>1520.7373271889401</v>
      </c>
      <c r="BI430" s="435">
        <f>BH430*0.2</f>
        <v>304.14746543778801</v>
      </c>
      <c r="BJ430" s="435"/>
      <c r="BK430" s="435"/>
      <c r="BL430" s="435"/>
      <c r="BM430" s="435"/>
      <c r="BN430" s="436">
        <f>BH430-BI430</f>
        <v>1216.5898617511521</v>
      </c>
      <c r="BO430" s="436"/>
      <c r="BP430" s="436"/>
      <c r="BQ430" s="436"/>
      <c r="BR430" s="436"/>
      <c r="BS430" s="436"/>
      <c r="BT430" s="436"/>
      <c r="CE430" s="437">
        <f>BI430*15/20</f>
        <v>228.11059907834101</v>
      </c>
      <c r="CF430" s="437"/>
      <c r="CG430" s="437"/>
      <c r="CH430" s="437"/>
      <c r="CI430" s="437"/>
      <c r="CJ430" s="437"/>
      <c r="CK430" s="341"/>
      <c r="CL430" s="341"/>
      <c r="CM430" s="437">
        <f>BI430*5/20</f>
        <v>76.036866359447004</v>
      </c>
      <c r="CN430" s="437"/>
      <c r="CO430" s="437"/>
      <c r="CP430" s="437"/>
      <c r="CQ430" s="437"/>
      <c r="CR430" s="437"/>
      <c r="CS430" s="437"/>
    </row>
    <row r="431" spans="57:97" ht="12" hidden="1" x14ac:dyDescent="0.2">
      <c r="BE431" s="432">
        <v>213</v>
      </c>
      <c r="BF431" s="432"/>
      <c r="BG431" s="432"/>
      <c r="BH431" s="216">
        <f>BH429*30.2/130.2</f>
        <v>459.26267281105993</v>
      </c>
      <c r="BI431" s="435">
        <f>BI430*30.2%</f>
        <v>91.852534562211972</v>
      </c>
      <c r="BJ431" s="435"/>
      <c r="BK431" s="435"/>
      <c r="BL431" s="435"/>
      <c r="BM431" s="435"/>
      <c r="BN431" s="435">
        <f>BN430*30.2%</f>
        <v>367.41013824884789</v>
      </c>
      <c r="BO431" s="435"/>
      <c r="BP431" s="435"/>
      <c r="BQ431" s="435"/>
      <c r="BR431" s="435"/>
      <c r="BS431" s="435"/>
      <c r="BT431" s="435"/>
      <c r="CJ431" s="236"/>
    </row>
    <row r="432" spans="57:97" ht="8.25" hidden="1" customHeight="1" x14ac:dyDescent="0.2"/>
    <row r="433" spans="57:97" ht="8.25" hidden="1" customHeight="1" x14ac:dyDescent="0.2"/>
    <row r="434" spans="57:97" ht="12" hidden="1" x14ac:dyDescent="0.2">
      <c r="BE434" s="432" t="s">
        <v>596</v>
      </c>
      <c r="BF434" s="432"/>
      <c r="BG434" s="432"/>
      <c r="BH434" s="432"/>
      <c r="BI434" s="432"/>
      <c r="BJ434" s="432"/>
      <c r="BK434" s="432"/>
      <c r="BL434" s="432"/>
      <c r="BM434" s="432"/>
      <c r="BN434" s="432"/>
      <c r="BO434" s="432"/>
      <c r="BP434" s="432"/>
      <c r="BQ434" s="432"/>
      <c r="BR434" s="432"/>
      <c r="BS434" s="432"/>
      <c r="BT434" s="432"/>
      <c r="BU434" s="432"/>
      <c r="BV434" s="432"/>
      <c r="BW434" s="432"/>
      <c r="BX434" s="432"/>
      <c r="BY434" s="432"/>
      <c r="BZ434" s="432"/>
      <c r="CA434" s="432"/>
    </row>
    <row r="435" spans="57:97" ht="12" hidden="1" x14ac:dyDescent="0.2">
      <c r="BE435" s="432" t="s">
        <v>126</v>
      </c>
      <c r="BF435" s="432"/>
      <c r="BG435" s="432"/>
      <c r="BH435" s="433">
        <f>300*22</f>
        <v>6600</v>
      </c>
      <c r="BI435" s="433"/>
      <c r="BJ435" s="433"/>
      <c r="BK435" s="433"/>
      <c r="BL435" s="433"/>
      <c r="BM435" s="348" t="s">
        <v>127</v>
      </c>
      <c r="BN435" s="348"/>
      <c r="BO435" s="348"/>
      <c r="BP435" s="348"/>
      <c r="BQ435" s="348"/>
      <c r="BR435" s="348"/>
      <c r="BS435" s="348"/>
      <c r="BT435" s="348"/>
    </row>
    <row r="436" spans="57:97" ht="12" hidden="1" x14ac:dyDescent="0.2">
      <c r="BE436" s="434">
        <v>0.6</v>
      </c>
      <c r="BF436" s="434"/>
      <c r="BG436" s="434"/>
      <c r="BH436" s="216">
        <f>BH435*BE436</f>
        <v>3960</v>
      </c>
      <c r="BI436" s="432" t="s">
        <v>128</v>
      </c>
      <c r="BJ436" s="432"/>
      <c r="BK436" s="432"/>
      <c r="BL436" s="432"/>
      <c r="BM436" s="432"/>
      <c r="BN436" s="432" t="s">
        <v>129</v>
      </c>
      <c r="BO436" s="432"/>
      <c r="BP436" s="432"/>
      <c r="BQ436" s="432"/>
      <c r="BR436" s="432"/>
      <c r="BS436" s="432"/>
      <c r="BT436" s="432"/>
      <c r="CE436" s="432" t="s">
        <v>368</v>
      </c>
      <c r="CF436" s="432"/>
      <c r="CG436" s="432"/>
      <c r="CH436" s="432"/>
      <c r="CI436" s="432"/>
      <c r="CJ436" s="432"/>
      <c r="CM436" s="432" t="s">
        <v>366</v>
      </c>
      <c r="CN436" s="432"/>
      <c r="CO436" s="432"/>
      <c r="CP436" s="432"/>
      <c r="CQ436" s="432"/>
      <c r="CR436" s="432"/>
      <c r="CS436" s="432"/>
    </row>
    <row r="437" spans="57:97" ht="12" hidden="1" x14ac:dyDescent="0.2">
      <c r="BE437" s="432">
        <v>211</v>
      </c>
      <c r="BF437" s="432"/>
      <c r="BG437" s="432"/>
      <c r="BH437" s="216">
        <f>BH436-BH438</f>
        <v>3041.4746543778801</v>
      </c>
      <c r="BI437" s="435">
        <f>BH437*0.2</f>
        <v>608.29493087557603</v>
      </c>
      <c r="BJ437" s="435"/>
      <c r="BK437" s="435"/>
      <c r="BL437" s="435"/>
      <c r="BM437" s="435"/>
      <c r="BN437" s="436">
        <f>BH437-BI437</f>
        <v>2433.1797235023041</v>
      </c>
      <c r="BO437" s="436"/>
      <c r="BP437" s="436"/>
      <c r="BQ437" s="436"/>
      <c r="BR437" s="436"/>
      <c r="BS437" s="436"/>
      <c r="BT437" s="436"/>
      <c r="CE437" s="437">
        <f>BI437*15/20</f>
        <v>456.22119815668202</v>
      </c>
      <c r="CF437" s="437"/>
      <c r="CG437" s="437"/>
      <c r="CH437" s="437"/>
      <c r="CI437" s="437"/>
      <c r="CJ437" s="437"/>
      <c r="CK437" s="341"/>
      <c r="CL437" s="341"/>
      <c r="CM437" s="437">
        <f>BI437*5/20</f>
        <v>152.07373271889401</v>
      </c>
      <c r="CN437" s="437"/>
      <c r="CO437" s="437"/>
      <c r="CP437" s="437"/>
      <c r="CQ437" s="437"/>
      <c r="CR437" s="437"/>
      <c r="CS437" s="437"/>
    </row>
    <row r="438" spans="57:97" ht="12" hidden="1" x14ac:dyDescent="0.2">
      <c r="BE438" s="432">
        <v>213</v>
      </c>
      <c r="BF438" s="432"/>
      <c r="BG438" s="432"/>
      <c r="BH438" s="216">
        <f>BH436*30.2/130.2</f>
        <v>918.52534562211986</v>
      </c>
      <c r="BI438" s="435">
        <f>BI437*30.2%</f>
        <v>183.70506912442394</v>
      </c>
      <c r="BJ438" s="435"/>
      <c r="BK438" s="435"/>
      <c r="BL438" s="435"/>
      <c r="BM438" s="435"/>
      <c r="BN438" s="435">
        <f>BN437*30.2%</f>
        <v>734.82027649769577</v>
      </c>
      <c r="BO438" s="435"/>
      <c r="BP438" s="435"/>
      <c r="BQ438" s="435"/>
      <c r="BR438" s="435"/>
      <c r="BS438" s="435"/>
      <c r="BT438" s="435"/>
      <c r="CJ438" s="236"/>
    </row>
    <row r="439" spans="57:97" ht="8.25" hidden="1" customHeight="1" x14ac:dyDescent="0.2"/>
    <row r="440" spans="57:97" ht="8.25" hidden="1" customHeight="1" x14ac:dyDescent="0.2"/>
    <row r="441" spans="57:97" ht="12" hidden="1" x14ac:dyDescent="0.2">
      <c r="BE441" s="432" t="s">
        <v>605</v>
      </c>
      <c r="BF441" s="432"/>
      <c r="BG441" s="432"/>
      <c r="BH441" s="432"/>
      <c r="BI441" s="432"/>
      <c r="BJ441" s="432"/>
      <c r="BK441" s="432"/>
      <c r="BL441" s="432"/>
      <c r="BM441" s="432"/>
      <c r="BN441" s="432"/>
      <c r="BO441" s="432"/>
      <c r="BP441" s="432"/>
      <c r="BQ441" s="432"/>
      <c r="BR441" s="432"/>
      <c r="BS441" s="432"/>
      <c r="BT441" s="432"/>
      <c r="BU441" s="432"/>
      <c r="BV441" s="432"/>
      <c r="BW441" s="432"/>
      <c r="BX441" s="432"/>
      <c r="BY441" s="432"/>
      <c r="BZ441" s="432"/>
      <c r="CA441" s="432"/>
    </row>
    <row r="442" spans="57:97" ht="12" hidden="1" x14ac:dyDescent="0.2">
      <c r="BE442" s="432" t="s">
        <v>126</v>
      </c>
      <c r="BF442" s="432"/>
      <c r="BG442" s="432"/>
      <c r="BH442" s="433">
        <f>300*12</f>
        <v>3600</v>
      </c>
      <c r="BI442" s="433"/>
      <c r="BJ442" s="433"/>
      <c r="BK442" s="433"/>
      <c r="BL442" s="433"/>
      <c r="BM442" s="348" t="s">
        <v>127</v>
      </c>
      <c r="BN442" s="348"/>
      <c r="BO442" s="348"/>
      <c r="BP442" s="348"/>
      <c r="BQ442" s="348"/>
      <c r="BR442" s="348"/>
      <c r="BS442" s="348"/>
      <c r="BT442" s="348"/>
    </row>
    <row r="443" spans="57:97" ht="12" hidden="1" x14ac:dyDescent="0.2">
      <c r="BE443" s="434">
        <v>0.6</v>
      </c>
      <c r="BF443" s="434"/>
      <c r="BG443" s="434"/>
      <c r="BH443" s="216">
        <f>BH442*BE443</f>
        <v>2160</v>
      </c>
      <c r="BI443" s="432" t="s">
        <v>128</v>
      </c>
      <c r="BJ443" s="432"/>
      <c r="BK443" s="432"/>
      <c r="BL443" s="432"/>
      <c r="BM443" s="432"/>
      <c r="BN443" s="432" t="s">
        <v>129</v>
      </c>
      <c r="BO443" s="432"/>
      <c r="BP443" s="432"/>
      <c r="BQ443" s="432"/>
      <c r="BR443" s="432"/>
      <c r="BS443" s="432"/>
      <c r="BT443" s="432"/>
      <c r="CE443" s="432" t="s">
        <v>368</v>
      </c>
      <c r="CF443" s="432"/>
      <c r="CG443" s="432"/>
      <c r="CH443" s="432"/>
      <c r="CI443" s="432"/>
      <c r="CJ443" s="432"/>
      <c r="CM443" s="432" t="s">
        <v>366</v>
      </c>
      <c r="CN443" s="432"/>
      <c r="CO443" s="432"/>
      <c r="CP443" s="432"/>
      <c r="CQ443" s="432"/>
      <c r="CR443" s="432"/>
      <c r="CS443" s="432"/>
    </row>
    <row r="444" spans="57:97" ht="12" hidden="1" x14ac:dyDescent="0.2">
      <c r="BE444" s="432">
        <v>211</v>
      </c>
      <c r="BF444" s="432"/>
      <c r="BG444" s="432"/>
      <c r="BH444" s="216">
        <f>BH443-BH445</f>
        <v>1658.9861751152073</v>
      </c>
      <c r="BI444" s="435">
        <f>BH444*0.2</f>
        <v>331.79723502304148</v>
      </c>
      <c r="BJ444" s="435"/>
      <c r="BK444" s="435"/>
      <c r="BL444" s="435"/>
      <c r="BM444" s="435"/>
      <c r="BN444" s="436">
        <f>BH444-BI444</f>
        <v>1327.1889400921659</v>
      </c>
      <c r="BO444" s="436"/>
      <c r="BP444" s="436"/>
      <c r="BQ444" s="436"/>
      <c r="BR444" s="436"/>
      <c r="BS444" s="436"/>
      <c r="BT444" s="436"/>
      <c r="CE444" s="437">
        <f>BI444*15/20</f>
        <v>248.84792626728114</v>
      </c>
      <c r="CF444" s="437"/>
      <c r="CG444" s="437"/>
      <c r="CH444" s="437"/>
      <c r="CI444" s="437"/>
      <c r="CJ444" s="437"/>
      <c r="CK444" s="341"/>
      <c r="CL444" s="341"/>
      <c r="CM444" s="437">
        <f>BI444*5/20</f>
        <v>82.94930875576037</v>
      </c>
      <c r="CN444" s="437"/>
      <c r="CO444" s="437"/>
      <c r="CP444" s="437"/>
      <c r="CQ444" s="437"/>
      <c r="CR444" s="437"/>
      <c r="CS444" s="437"/>
    </row>
    <row r="445" spans="57:97" ht="12" hidden="1" x14ac:dyDescent="0.2">
      <c r="BE445" s="432">
        <v>213</v>
      </c>
      <c r="BF445" s="432"/>
      <c r="BG445" s="432"/>
      <c r="BH445" s="216">
        <f>BH443*30.2/130.2</f>
        <v>501.01382488479265</v>
      </c>
      <c r="BI445" s="435">
        <f>BI444*30.2%</f>
        <v>100.20276497695852</v>
      </c>
      <c r="BJ445" s="435"/>
      <c r="BK445" s="435"/>
      <c r="BL445" s="435"/>
      <c r="BM445" s="435"/>
      <c r="BN445" s="435">
        <f>BN444*30.2%</f>
        <v>400.81105990783408</v>
      </c>
      <c r="BO445" s="435"/>
      <c r="BP445" s="435"/>
      <c r="BQ445" s="435"/>
      <c r="BR445" s="435"/>
      <c r="BS445" s="435"/>
      <c r="BT445" s="435"/>
      <c r="CJ445" s="236"/>
    </row>
    <row r="446" spans="57:97" ht="12" hidden="1" x14ac:dyDescent="0.2"/>
    <row r="447" spans="57:97" ht="8.25" hidden="1" customHeight="1" x14ac:dyDescent="0.2"/>
    <row r="448" spans="57:97" ht="12" hidden="1" x14ac:dyDescent="0.2">
      <c r="BE448" s="432" t="s">
        <v>622</v>
      </c>
      <c r="BF448" s="432"/>
      <c r="BG448" s="432"/>
      <c r="BH448" s="432"/>
      <c r="BI448" s="432"/>
      <c r="BJ448" s="432"/>
      <c r="BK448" s="432"/>
      <c r="BL448" s="432"/>
      <c r="BM448" s="432"/>
      <c r="BN448" s="432"/>
      <c r="BO448" s="432"/>
      <c r="BP448" s="432"/>
      <c r="BQ448" s="432"/>
      <c r="BR448" s="432"/>
      <c r="BS448" s="432"/>
      <c r="BT448" s="432"/>
      <c r="BU448" s="432"/>
      <c r="BV448" s="432"/>
      <c r="BW448" s="432"/>
      <c r="BX448" s="432"/>
      <c r="BY448" s="432"/>
      <c r="BZ448" s="432"/>
      <c r="CA448" s="432"/>
    </row>
    <row r="449" spans="57:97" ht="12" hidden="1" x14ac:dyDescent="0.2">
      <c r="BE449" s="432" t="s">
        <v>126</v>
      </c>
      <c r="BF449" s="432"/>
      <c r="BG449" s="432"/>
      <c r="BH449" s="433">
        <f>300*19</f>
        <v>5700</v>
      </c>
      <c r="BI449" s="433"/>
      <c r="BJ449" s="433"/>
      <c r="BK449" s="433"/>
      <c r="BL449" s="433"/>
      <c r="BM449" s="381" t="s">
        <v>127</v>
      </c>
      <c r="BN449" s="381"/>
      <c r="BO449" s="381"/>
      <c r="BP449" s="381"/>
      <c r="BQ449" s="381"/>
      <c r="BR449" s="381"/>
      <c r="BS449" s="381"/>
      <c r="BT449" s="381"/>
    </row>
    <row r="450" spans="57:97" ht="12" hidden="1" x14ac:dyDescent="0.2">
      <c r="BE450" s="434">
        <v>0.6</v>
      </c>
      <c r="BF450" s="434"/>
      <c r="BG450" s="434"/>
      <c r="BH450" s="216">
        <f>BH449*BE450</f>
        <v>3420</v>
      </c>
      <c r="BI450" s="432" t="s">
        <v>128</v>
      </c>
      <c r="BJ450" s="432"/>
      <c r="BK450" s="432"/>
      <c r="BL450" s="432"/>
      <c r="BM450" s="432"/>
      <c r="BN450" s="432" t="s">
        <v>129</v>
      </c>
      <c r="BO450" s="432"/>
      <c r="BP450" s="432"/>
      <c r="BQ450" s="432"/>
      <c r="BR450" s="432"/>
      <c r="BS450" s="432"/>
      <c r="BT450" s="432"/>
      <c r="CE450" s="432" t="s">
        <v>368</v>
      </c>
      <c r="CF450" s="432"/>
      <c r="CG450" s="432"/>
      <c r="CH450" s="432"/>
      <c r="CI450" s="432"/>
      <c r="CJ450" s="432"/>
      <c r="CM450" s="432" t="s">
        <v>366</v>
      </c>
      <c r="CN450" s="432"/>
      <c r="CO450" s="432"/>
      <c r="CP450" s="432"/>
      <c r="CQ450" s="432"/>
      <c r="CR450" s="432"/>
      <c r="CS450" s="432"/>
    </row>
    <row r="451" spans="57:97" ht="12" hidden="1" x14ac:dyDescent="0.2">
      <c r="BE451" s="432">
        <v>211</v>
      </c>
      <c r="BF451" s="432"/>
      <c r="BG451" s="432"/>
      <c r="BH451" s="216">
        <f>BH450-BH452</f>
        <v>2626.7281105990783</v>
      </c>
      <c r="BI451" s="435">
        <f>BH451*0.2</f>
        <v>525.34562211981563</v>
      </c>
      <c r="BJ451" s="435"/>
      <c r="BK451" s="435"/>
      <c r="BL451" s="435"/>
      <c r="BM451" s="435"/>
      <c r="BN451" s="436">
        <f>BH451-BI451</f>
        <v>2101.3824884792625</v>
      </c>
      <c r="BO451" s="436"/>
      <c r="BP451" s="436"/>
      <c r="BQ451" s="436"/>
      <c r="BR451" s="436"/>
      <c r="BS451" s="436"/>
      <c r="BT451" s="436"/>
      <c r="CE451" s="437">
        <f>BI451*15/20</f>
        <v>394.00921658986169</v>
      </c>
      <c r="CF451" s="437"/>
      <c r="CG451" s="437"/>
      <c r="CH451" s="437"/>
      <c r="CI451" s="437"/>
      <c r="CJ451" s="437"/>
      <c r="CK451" s="380"/>
      <c r="CL451" s="380"/>
      <c r="CM451" s="437">
        <f>BI451*5/20</f>
        <v>131.33640552995391</v>
      </c>
      <c r="CN451" s="437"/>
      <c r="CO451" s="437"/>
      <c r="CP451" s="437"/>
      <c r="CQ451" s="437"/>
      <c r="CR451" s="437"/>
      <c r="CS451" s="437"/>
    </row>
    <row r="452" spans="57:97" ht="12" hidden="1" x14ac:dyDescent="0.2">
      <c r="BE452" s="432">
        <v>213</v>
      </c>
      <c r="BF452" s="432"/>
      <c r="BG452" s="432"/>
      <c r="BH452" s="216">
        <f>BH450*30.2/130.2</f>
        <v>793.27188940092174</v>
      </c>
      <c r="BI452" s="435">
        <f>BI451*30.2%</f>
        <v>158.65437788018431</v>
      </c>
      <c r="BJ452" s="435"/>
      <c r="BK452" s="435"/>
      <c r="BL452" s="435"/>
      <c r="BM452" s="435"/>
      <c r="BN452" s="435">
        <f>BN451*30.2%</f>
        <v>634.61751152073725</v>
      </c>
      <c r="BO452" s="435"/>
      <c r="BP452" s="435"/>
      <c r="BQ452" s="435"/>
      <c r="BR452" s="435"/>
      <c r="BS452" s="435"/>
      <c r="BT452" s="435"/>
      <c r="CJ452" s="236"/>
    </row>
    <row r="453" spans="57:97" ht="8.25" hidden="1" customHeight="1" x14ac:dyDescent="0.2"/>
    <row r="454" spans="57:97" ht="8.25" hidden="1" customHeight="1" x14ac:dyDescent="0.2"/>
    <row r="455" spans="57:97" ht="8.25" hidden="1" customHeight="1" x14ac:dyDescent="0.2"/>
    <row r="456" spans="57:97" ht="12" hidden="1" x14ac:dyDescent="0.2">
      <c r="BE456" s="432" t="s">
        <v>622</v>
      </c>
      <c r="BF456" s="432"/>
      <c r="BG456" s="432"/>
      <c r="BH456" s="432"/>
      <c r="BI456" s="432"/>
      <c r="BJ456" s="432"/>
      <c r="BK456" s="432"/>
      <c r="BL456" s="432"/>
      <c r="BM456" s="432"/>
      <c r="BN456" s="432"/>
      <c r="BO456" s="432"/>
      <c r="BP456" s="432"/>
      <c r="BQ456" s="432"/>
      <c r="BR456" s="432"/>
      <c r="BS456" s="432"/>
      <c r="BT456" s="432"/>
      <c r="BU456" s="432"/>
      <c r="BV456" s="432"/>
      <c r="BW456" s="432"/>
      <c r="BX456" s="432"/>
      <c r="BY456" s="432"/>
      <c r="BZ456" s="432"/>
      <c r="CA456" s="432"/>
    </row>
    <row r="457" spans="57:97" ht="12" hidden="1" x14ac:dyDescent="0.2">
      <c r="BE457" s="432" t="s">
        <v>126</v>
      </c>
      <c r="BF457" s="432"/>
      <c r="BG457" s="432"/>
      <c r="BH457" s="433">
        <f>300*21</f>
        <v>6300</v>
      </c>
      <c r="BI457" s="433"/>
      <c r="BJ457" s="433"/>
      <c r="BK457" s="433"/>
      <c r="BL457" s="433"/>
      <c r="BM457" s="381" t="s">
        <v>127</v>
      </c>
      <c r="BN457" s="381"/>
      <c r="BO457" s="381"/>
      <c r="BP457" s="381"/>
      <c r="BQ457" s="381"/>
      <c r="BR457" s="381"/>
      <c r="BS457" s="381"/>
      <c r="BT457" s="381"/>
    </row>
    <row r="458" spans="57:97" ht="12" hidden="1" x14ac:dyDescent="0.2">
      <c r="BE458" s="434">
        <v>0.6</v>
      </c>
      <c r="BF458" s="434"/>
      <c r="BG458" s="434"/>
      <c r="BH458" s="216">
        <f>BH457*BE458</f>
        <v>3780</v>
      </c>
      <c r="BI458" s="432" t="s">
        <v>128</v>
      </c>
      <c r="BJ458" s="432"/>
      <c r="BK458" s="432"/>
      <c r="BL458" s="432"/>
      <c r="BM458" s="432"/>
      <c r="BN458" s="432" t="s">
        <v>129</v>
      </c>
      <c r="BO458" s="432"/>
      <c r="BP458" s="432"/>
      <c r="BQ458" s="432"/>
      <c r="BR458" s="432"/>
      <c r="BS458" s="432"/>
      <c r="BT458" s="432"/>
      <c r="CE458" s="432" t="s">
        <v>368</v>
      </c>
      <c r="CF458" s="432"/>
      <c r="CG458" s="432"/>
      <c r="CH458" s="432"/>
      <c r="CI458" s="432"/>
      <c r="CJ458" s="432"/>
      <c r="CM458" s="432" t="s">
        <v>366</v>
      </c>
      <c r="CN458" s="432"/>
      <c r="CO458" s="432"/>
      <c r="CP458" s="432"/>
      <c r="CQ458" s="432"/>
      <c r="CR458" s="432"/>
      <c r="CS458" s="432"/>
    </row>
    <row r="459" spans="57:97" ht="12" hidden="1" x14ac:dyDescent="0.2">
      <c r="BE459" s="432">
        <v>211</v>
      </c>
      <c r="BF459" s="432"/>
      <c r="BG459" s="432"/>
      <c r="BH459" s="216">
        <f>BH458-BH460</f>
        <v>2903.2258064516127</v>
      </c>
      <c r="BI459" s="435">
        <f>BH459*0.2</f>
        <v>580.64516129032256</v>
      </c>
      <c r="BJ459" s="435"/>
      <c r="BK459" s="435"/>
      <c r="BL459" s="435"/>
      <c r="BM459" s="435"/>
      <c r="BN459" s="436">
        <f>BH459-BI459</f>
        <v>2322.5806451612902</v>
      </c>
      <c r="BO459" s="436"/>
      <c r="BP459" s="436"/>
      <c r="BQ459" s="436"/>
      <c r="BR459" s="436"/>
      <c r="BS459" s="436"/>
      <c r="BT459" s="436"/>
      <c r="CE459" s="437">
        <f>BI459*15/20</f>
        <v>435.48387096774195</v>
      </c>
      <c r="CF459" s="437"/>
      <c r="CG459" s="437"/>
      <c r="CH459" s="437"/>
      <c r="CI459" s="437"/>
      <c r="CJ459" s="437"/>
      <c r="CK459" s="380"/>
      <c r="CL459" s="380"/>
      <c r="CM459" s="437">
        <f>BI459*5/20</f>
        <v>145.16129032258064</v>
      </c>
      <c r="CN459" s="437"/>
      <c r="CO459" s="437"/>
      <c r="CP459" s="437"/>
      <c r="CQ459" s="437"/>
      <c r="CR459" s="437"/>
      <c r="CS459" s="437"/>
    </row>
    <row r="460" spans="57:97" ht="12" hidden="1" x14ac:dyDescent="0.2">
      <c r="BE460" s="432">
        <v>213</v>
      </c>
      <c r="BF460" s="432"/>
      <c r="BG460" s="432"/>
      <c r="BH460" s="216">
        <f>BH458*30.2/130.2</f>
        <v>876.77419354838719</v>
      </c>
      <c r="BI460" s="435">
        <f>BI459*30.2%</f>
        <v>175.35483870967741</v>
      </c>
      <c r="BJ460" s="435"/>
      <c r="BK460" s="435"/>
      <c r="BL460" s="435"/>
      <c r="BM460" s="435"/>
      <c r="BN460" s="435">
        <f>BN459*30.2%</f>
        <v>701.41935483870964</v>
      </c>
      <c r="BO460" s="435"/>
      <c r="BP460" s="435"/>
      <c r="BQ460" s="435"/>
      <c r="BR460" s="435"/>
      <c r="BS460" s="435"/>
      <c r="BT460" s="435"/>
      <c r="CJ460" s="236"/>
    </row>
    <row r="461" spans="57:97" ht="8.25" hidden="1" customHeight="1" x14ac:dyDescent="0.2"/>
    <row r="462" spans="57:97" ht="8.25" hidden="1" customHeight="1" x14ac:dyDescent="0.2"/>
    <row r="463" spans="57:97" ht="8.25" hidden="1" customHeight="1" x14ac:dyDescent="0.2"/>
    <row r="464" spans="57:97" ht="12" hidden="1" x14ac:dyDescent="0.2">
      <c r="BE464" s="432" t="s">
        <v>623</v>
      </c>
      <c r="BF464" s="432"/>
      <c r="BG464" s="432"/>
      <c r="BH464" s="432"/>
      <c r="BI464" s="432"/>
      <c r="BJ464" s="432"/>
      <c r="BK464" s="432"/>
      <c r="BL464" s="432"/>
      <c r="BM464" s="432"/>
      <c r="BN464" s="432"/>
      <c r="BO464" s="432"/>
      <c r="BP464" s="432"/>
      <c r="BQ464" s="432"/>
      <c r="BR464" s="432"/>
      <c r="BS464" s="432"/>
      <c r="BT464" s="432"/>
      <c r="BU464" s="432"/>
      <c r="BV464" s="432"/>
      <c r="BW464" s="432"/>
      <c r="BX464" s="432"/>
      <c r="BY464" s="432"/>
      <c r="BZ464" s="432"/>
      <c r="CA464" s="432"/>
    </row>
    <row r="465" spans="57:97" ht="12" hidden="1" x14ac:dyDescent="0.2">
      <c r="BE465" s="432" t="s">
        <v>126</v>
      </c>
      <c r="BF465" s="432"/>
      <c r="BG465" s="432"/>
      <c r="BH465" s="433">
        <f>300*42</f>
        <v>12600</v>
      </c>
      <c r="BI465" s="433"/>
      <c r="BJ465" s="433"/>
      <c r="BK465" s="433"/>
      <c r="BL465" s="433"/>
      <c r="BM465" s="381" t="s">
        <v>127</v>
      </c>
      <c r="BN465" s="381"/>
      <c r="BO465" s="381"/>
      <c r="BP465" s="381"/>
      <c r="BQ465" s="381"/>
      <c r="BR465" s="381"/>
      <c r="BS465" s="381"/>
      <c r="BT465" s="381"/>
    </row>
    <row r="466" spans="57:97" ht="12" hidden="1" x14ac:dyDescent="0.2">
      <c r="BE466" s="434">
        <v>0.6</v>
      </c>
      <c r="BF466" s="434"/>
      <c r="BG466" s="434"/>
      <c r="BH466" s="216">
        <f>BH465*BE466</f>
        <v>7560</v>
      </c>
      <c r="BI466" s="432" t="s">
        <v>128</v>
      </c>
      <c r="BJ466" s="432"/>
      <c r="BK466" s="432"/>
      <c r="BL466" s="432"/>
      <c r="BM466" s="432"/>
      <c r="BN466" s="432" t="s">
        <v>129</v>
      </c>
      <c r="BO466" s="432"/>
      <c r="BP466" s="432"/>
      <c r="BQ466" s="432"/>
      <c r="BR466" s="432"/>
      <c r="BS466" s="432"/>
      <c r="BT466" s="432"/>
      <c r="CE466" s="432" t="s">
        <v>368</v>
      </c>
      <c r="CF466" s="432"/>
      <c r="CG466" s="432"/>
      <c r="CH466" s="432"/>
      <c r="CI466" s="432"/>
      <c r="CJ466" s="432"/>
      <c r="CM466" s="432" t="s">
        <v>366</v>
      </c>
      <c r="CN466" s="432"/>
      <c r="CO466" s="432"/>
      <c r="CP466" s="432"/>
      <c r="CQ466" s="432"/>
      <c r="CR466" s="432"/>
      <c r="CS466" s="432"/>
    </row>
    <row r="467" spans="57:97" ht="12" hidden="1" x14ac:dyDescent="0.2">
      <c r="BE467" s="432">
        <v>211</v>
      </c>
      <c r="BF467" s="432"/>
      <c r="BG467" s="432"/>
      <c r="BH467" s="216">
        <f>BH466-BH468</f>
        <v>5806.4516129032254</v>
      </c>
      <c r="BI467" s="435">
        <f>BH467*0.2</f>
        <v>1161.2903225806451</v>
      </c>
      <c r="BJ467" s="435"/>
      <c r="BK467" s="435"/>
      <c r="BL467" s="435"/>
      <c r="BM467" s="435"/>
      <c r="BN467" s="436">
        <f>BH467-BI467</f>
        <v>4645.1612903225805</v>
      </c>
      <c r="BO467" s="436"/>
      <c r="BP467" s="436"/>
      <c r="BQ467" s="436"/>
      <c r="BR467" s="436"/>
      <c r="BS467" s="436"/>
      <c r="BT467" s="436"/>
      <c r="CE467" s="437">
        <f>BI467*15/20</f>
        <v>870.9677419354839</v>
      </c>
      <c r="CF467" s="437"/>
      <c r="CG467" s="437"/>
      <c r="CH467" s="437"/>
      <c r="CI467" s="437"/>
      <c r="CJ467" s="437"/>
      <c r="CK467" s="380"/>
      <c r="CL467" s="380"/>
      <c r="CM467" s="437">
        <f>BI467*5/20</f>
        <v>290.32258064516128</v>
      </c>
      <c r="CN467" s="437"/>
      <c r="CO467" s="437"/>
      <c r="CP467" s="437"/>
      <c r="CQ467" s="437"/>
      <c r="CR467" s="437"/>
      <c r="CS467" s="437"/>
    </row>
    <row r="468" spans="57:97" ht="12" hidden="1" x14ac:dyDescent="0.2">
      <c r="BE468" s="432">
        <v>213</v>
      </c>
      <c r="BF468" s="432"/>
      <c r="BG468" s="432"/>
      <c r="BH468" s="216">
        <f>BH466*30.2/130.2</f>
        <v>1753.5483870967744</v>
      </c>
      <c r="BI468" s="435">
        <f>BI467*30.2%</f>
        <v>350.70967741935482</v>
      </c>
      <c r="BJ468" s="435"/>
      <c r="BK468" s="435"/>
      <c r="BL468" s="435"/>
      <c r="BM468" s="435"/>
      <c r="BN468" s="435">
        <f>BN467*30.2%</f>
        <v>1402.8387096774193</v>
      </c>
      <c r="BO468" s="435"/>
      <c r="BP468" s="435"/>
      <c r="BQ468" s="435"/>
      <c r="BR468" s="435"/>
      <c r="BS468" s="435"/>
      <c r="BT468" s="435"/>
      <c r="CJ468" s="236"/>
    </row>
    <row r="469" spans="57:97" ht="8.25" hidden="1" customHeight="1" x14ac:dyDescent="0.2"/>
    <row r="470" spans="57:97" ht="8.25" hidden="1" customHeight="1" x14ac:dyDescent="0.2"/>
    <row r="471" spans="57:97" ht="8.25" hidden="1" customHeight="1" x14ac:dyDescent="0.2"/>
    <row r="472" spans="57:97" ht="8.25" hidden="1" customHeight="1" x14ac:dyDescent="0.2"/>
    <row r="473" spans="57:97" ht="12" hidden="1" x14ac:dyDescent="0.2">
      <c r="BE473" s="432" t="s">
        <v>626</v>
      </c>
      <c r="BF473" s="432"/>
      <c r="BG473" s="432"/>
      <c r="BH473" s="432"/>
      <c r="BI473" s="432"/>
      <c r="BJ473" s="432"/>
      <c r="BK473" s="432"/>
      <c r="BL473" s="432"/>
      <c r="BM473" s="432"/>
      <c r="BN473" s="432"/>
      <c r="BO473" s="432"/>
      <c r="BP473" s="432"/>
      <c r="BQ473" s="432"/>
      <c r="BR473" s="432"/>
      <c r="BS473" s="432"/>
      <c r="BT473" s="432"/>
      <c r="BU473" s="432"/>
      <c r="BV473" s="432"/>
      <c r="BW473" s="432"/>
      <c r="BX473" s="432"/>
      <c r="BY473" s="432"/>
      <c r="BZ473" s="432"/>
      <c r="CA473" s="432"/>
    </row>
    <row r="474" spans="57:97" ht="12" hidden="1" x14ac:dyDescent="0.2">
      <c r="BE474" s="432" t="s">
        <v>126</v>
      </c>
      <c r="BF474" s="432"/>
      <c r="BG474" s="432"/>
      <c r="BH474" s="433">
        <f>300*46</f>
        <v>13800</v>
      </c>
      <c r="BI474" s="433"/>
      <c r="BJ474" s="433"/>
      <c r="BK474" s="433"/>
      <c r="BL474" s="433"/>
      <c r="BM474" s="381" t="s">
        <v>127</v>
      </c>
      <c r="BN474" s="381"/>
      <c r="BO474" s="381"/>
      <c r="BP474" s="381"/>
      <c r="BQ474" s="381"/>
      <c r="BR474" s="381"/>
      <c r="BS474" s="381"/>
      <c r="BT474" s="381"/>
    </row>
    <row r="475" spans="57:97" ht="12" hidden="1" x14ac:dyDescent="0.2">
      <c r="BE475" s="434">
        <v>0.6</v>
      </c>
      <c r="BF475" s="434"/>
      <c r="BG475" s="434"/>
      <c r="BH475" s="216">
        <f>BH474*BE475</f>
        <v>8280</v>
      </c>
      <c r="BI475" s="432" t="s">
        <v>128</v>
      </c>
      <c r="BJ475" s="432"/>
      <c r="BK475" s="432"/>
      <c r="BL475" s="432"/>
      <c r="BM475" s="432"/>
      <c r="BN475" s="432" t="s">
        <v>129</v>
      </c>
      <c r="BO475" s="432"/>
      <c r="BP475" s="432"/>
      <c r="BQ475" s="432"/>
      <c r="BR475" s="432"/>
      <c r="BS475" s="432"/>
      <c r="BT475" s="432"/>
      <c r="CE475" s="432" t="s">
        <v>368</v>
      </c>
      <c r="CF475" s="432"/>
      <c r="CG475" s="432"/>
      <c r="CH475" s="432"/>
      <c r="CI475" s="432"/>
      <c r="CJ475" s="432"/>
      <c r="CM475" s="432" t="s">
        <v>366</v>
      </c>
      <c r="CN475" s="432"/>
      <c r="CO475" s="432"/>
      <c r="CP475" s="432"/>
      <c r="CQ475" s="432"/>
      <c r="CR475" s="432"/>
      <c r="CS475" s="432"/>
    </row>
    <row r="476" spans="57:97" ht="12" hidden="1" x14ac:dyDescent="0.2">
      <c r="BE476" s="432">
        <v>211</v>
      </c>
      <c r="BF476" s="432"/>
      <c r="BG476" s="432"/>
      <c r="BH476" s="216">
        <f>BH475-BH477</f>
        <v>6359.4470046082952</v>
      </c>
      <c r="BI476" s="435">
        <f>BH476*0.2</f>
        <v>1271.8894009216592</v>
      </c>
      <c r="BJ476" s="435"/>
      <c r="BK476" s="435"/>
      <c r="BL476" s="435"/>
      <c r="BM476" s="435"/>
      <c r="BN476" s="436">
        <f>BH476-BI476</f>
        <v>5087.557603686636</v>
      </c>
      <c r="BO476" s="436"/>
      <c r="BP476" s="436"/>
      <c r="BQ476" s="436"/>
      <c r="BR476" s="436"/>
      <c r="BS476" s="436"/>
      <c r="BT476" s="436"/>
      <c r="CE476" s="437">
        <f>BI476*15/20</f>
        <v>953.91705069124441</v>
      </c>
      <c r="CF476" s="437"/>
      <c r="CG476" s="437"/>
      <c r="CH476" s="437"/>
      <c r="CI476" s="437"/>
      <c r="CJ476" s="437"/>
      <c r="CK476" s="380"/>
      <c r="CL476" s="380"/>
      <c r="CM476" s="437">
        <f>BI476*5/20</f>
        <v>317.9723502304148</v>
      </c>
      <c r="CN476" s="437"/>
      <c r="CO476" s="437"/>
      <c r="CP476" s="437"/>
      <c r="CQ476" s="437"/>
      <c r="CR476" s="437"/>
      <c r="CS476" s="437"/>
    </row>
    <row r="477" spans="57:97" ht="12" hidden="1" x14ac:dyDescent="0.2">
      <c r="BE477" s="432">
        <v>213</v>
      </c>
      <c r="BF477" s="432"/>
      <c r="BG477" s="432"/>
      <c r="BH477" s="216">
        <f>BH475*30.2/130.2</f>
        <v>1920.5529953917053</v>
      </c>
      <c r="BI477" s="435">
        <f>BI476*30.2%</f>
        <v>384.11059907834107</v>
      </c>
      <c r="BJ477" s="435"/>
      <c r="BK477" s="435"/>
      <c r="BL477" s="435"/>
      <c r="BM477" s="435"/>
      <c r="BN477" s="435">
        <f>BN476*30.2%</f>
        <v>1536.442396313364</v>
      </c>
      <c r="BO477" s="435"/>
      <c r="BP477" s="435"/>
      <c r="BQ477" s="435"/>
      <c r="BR477" s="435"/>
      <c r="BS477" s="435"/>
      <c r="BT477" s="435"/>
      <c r="CJ477" s="236"/>
    </row>
    <row r="478" spans="57:97" ht="12" hidden="1" x14ac:dyDescent="0.2"/>
    <row r="479" spans="57:97" ht="8.25" hidden="1" customHeight="1" x14ac:dyDescent="0.2"/>
    <row r="480" spans="57:97" ht="12" hidden="1" x14ac:dyDescent="0.2">
      <c r="BE480" s="432" t="s">
        <v>642</v>
      </c>
      <c r="BF480" s="432"/>
      <c r="BG480" s="432"/>
      <c r="BH480" s="432"/>
      <c r="BI480" s="432"/>
      <c r="BJ480" s="432"/>
      <c r="BK480" s="432"/>
      <c r="BL480" s="432"/>
      <c r="BM480" s="432"/>
      <c r="BN480" s="432"/>
      <c r="BO480" s="432"/>
      <c r="BP480" s="432"/>
      <c r="BQ480" s="432"/>
      <c r="BR480" s="432"/>
      <c r="BS480" s="432"/>
      <c r="BT480" s="432"/>
      <c r="BU480" s="432"/>
      <c r="BV480" s="432"/>
      <c r="BW480" s="432"/>
      <c r="BX480" s="432"/>
      <c r="BY480" s="432"/>
      <c r="BZ480" s="432"/>
      <c r="CA480" s="432"/>
    </row>
    <row r="481" spans="57:97" ht="12" hidden="1" x14ac:dyDescent="0.2">
      <c r="BE481" s="432" t="s">
        <v>126</v>
      </c>
      <c r="BF481" s="432"/>
      <c r="BG481" s="432"/>
      <c r="BH481" s="433">
        <f>300*26</f>
        <v>7800</v>
      </c>
      <c r="BI481" s="433"/>
      <c r="BJ481" s="433"/>
      <c r="BK481" s="433"/>
      <c r="BL481" s="433"/>
      <c r="BM481" s="385" t="s">
        <v>127</v>
      </c>
      <c r="BN481" s="385"/>
      <c r="BO481" s="385"/>
      <c r="BP481" s="385"/>
      <c r="BQ481" s="385"/>
      <c r="BR481" s="385"/>
      <c r="BS481" s="385"/>
      <c r="BT481" s="385"/>
    </row>
    <row r="482" spans="57:97" ht="12" hidden="1" x14ac:dyDescent="0.2">
      <c r="BE482" s="434">
        <v>0.6</v>
      </c>
      <c r="BF482" s="434"/>
      <c r="BG482" s="434"/>
      <c r="BH482" s="216">
        <f>BH481*BE482</f>
        <v>4680</v>
      </c>
      <c r="BI482" s="432" t="s">
        <v>128</v>
      </c>
      <c r="BJ482" s="432"/>
      <c r="BK482" s="432"/>
      <c r="BL482" s="432"/>
      <c r="BM482" s="432"/>
      <c r="BN482" s="432" t="s">
        <v>129</v>
      </c>
      <c r="BO482" s="432"/>
      <c r="BP482" s="432"/>
      <c r="BQ482" s="432"/>
      <c r="BR482" s="432"/>
      <c r="BS482" s="432"/>
      <c r="BT482" s="432"/>
      <c r="CE482" s="432" t="s">
        <v>368</v>
      </c>
      <c r="CF482" s="432"/>
      <c r="CG482" s="432"/>
      <c r="CH482" s="432"/>
      <c r="CI482" s="432"/>
      <c r="CJ482" s="432"/>
      <c r="CM482" s="432" t="s">
        <v>366</v>
      </c>
      <c r="CN482" s="432"/>
      <c r="CO482" s="432"/>
      <c r="CP482" s="432"/>
      <c r="CQ482" s="432"/>
      <c r="CR482" s="432"/>
      <c r="CS482" s="432"/>
    </row>
    <row r="483" spans="57:97" ht="12" hidden="1" x14ac:dyDescent="0.2">
      <c r="BE483" s="432">
        <v>211</v>
      </c>
      <c r="BF483" s="432"/>
      <c r="BG483" s="432"/>
      <c r="BH483" s="216">
        <f>BH482-BH484</f>
        <v>3594.470046082949</v>
      </c>
      <c r="BI483" s="435">
        <f>BH483*0.2</f>
        <v>718.89400921658989</v>
      </c>
      <c r="BJ483" s="435"/>
      <c r="BK483" s="435"/>
      <c r="BL483" s="435"/>
      <c r="BM483" s="435"/>
      <c r="BN483" s="436">
        <f>BH483-BI483</f>
        <v>2875.5760368663591</v>
      </c>
      <c r="BO483" s="436"/>
      <c r="BP483" s="436"/>
      <c r="BQ483" s="436"/>
      <c r="BR483" s="436"/>
      <c r="BS483" s="436"/>
      <c r="BT483" s="436"/>
      <c r="CE483" s="437">
        <f>BI483*15/20</f>
        <v>539.17050691244242</v>
      </c>
      <c r="CF483" s="437"/>
      <c r="CG483" s="437"/>
      <c r="CH483" s="437"/>
      <c r="CI483" s="437"/>
      <c r="CJ483" s="437"/>
      <c r="CK483" s="384"/>
      <c r="CL483" s="384"/>
      <c r="CM483" s="437">
        <f>BI483*5/20</f>
        <v>179.72350230414747</v>
      </c>
      <c r="CN483" s="437"/>
      <c r="CO483" s="437"/>
      <c r="CP483" s="437"/>
      <c r="CQ483" s="437"/>
      <c r="CR483" s="437"/>
      <c r="CS483" s="437"/>
    </row>
    <row r="484" spans="57:97" ht="12" hidden="1" x14ac:dyDescent="0.2">
      <c r="BE484" s="432">
        <v>213</v>
      </c>
      <c r="BF484" s="432"/>
      <c r="BG484" s="432"/>
      <c r="BH484" s="216">
        <f>BH482*30.2/130.2</f>
        <v>1085.5299539170508</v>
      </c>
      <c r="BI484" s="435">
        <f>BI483*30.2%</f>
        <v>217.10599078341014</v>
      </c>
      <c r="BJ484" s="435"/>
      <c r="BK484" s="435"/>
      <c r="BL484" s="435"/>
      <c r="BM484" s="435"/>
      <c r="BN484" s="435">
        <f>BN483*30.2%</f>
        <v>868.42396313364043</v>
      </c>
      <c r="BO484" s="435"/>
      <c r="BP484" s="435"/>
      <c r="BQ484" s="435"/>
      <c r="BR484" s="435"/>
      <c r="BS484" s="435"/>
      <c r="BT484" s="435"/>
      <c r="CJ484" s="236"/>
    </row>
    <row r="485" spans="57:97" ht="8.25" hidden="1" customHeight="1" x14ac:dyDescent="0.2"/>
    <row r="486" spans="57:97" ht="8.25" hidden="1" customHeight="1" x14ac:dyDescent="0.2"/>
    <row r="487" spans="57:97" ht="12" hidden="1" x14ac:dyDescent="0.2">
      <c r="BE487" s="432" t="s">
        <v>643</v>
      </c>
      <c r="BF487" s="432"/>
      <c r="BG487" s="432"/>
      <c r="BH487" s="432"/>
      <c r="BI487" s="432"/>
      <c r="BJ487" s="432"/>
      <c r="BK487" s="432"/>
      <c r="BL487" s="432"/>
      <c r="BM487" s="432"/>
      <c r="BN487" s="432"/>
      <c r="BO487" s="432"/>
      <c r="BP487" s="432"/>
      <c r="BQ487" s="432"/>
      <c r="BR487" s="432"/>
      <c r="BS487" s="432"/>
      <c r="BT487" s="432"/>
      <c r="BU487" s="432"/>
      <c r="BV487" s="432"/>
      <c r="BW487" s="432"/>
      <c r="BX487" s="432"/>
      <c r="BY487" s="432"/>
      <c r="BZ487" s="432"/>
      <c r="CA487" s="432"/>
    </row>
    <row r="488" spans="57:97" ht="12" hidden="1" x14ac:dyDescent="0.2">
      <c r="BE488" s="432" t="s">
        <v>126</v>
      </c>
      <c r="BF488" s="432"/>
      <c r="BG488" s="432"/>
      <c r="BH488" s="433">
        <f>300*91</f>
        <v>27300</v>
      </c>
      <c r="BI488" s="433"/>
      <c r="BJ488" s="433"/>
      <c r="BK488" s="433"/>
      <c r="BL488" s="433"/>
      <c r="BM488" s="385" t="s">
        <v>127</v>
      </c>
      <c r="BN488" s="385"/>
      <c r="BO488" s="385"/>
      <c r="BP488" s="385"/>
      <c r="BQ488" s="385"/>
      <c r="BR488" s="385"/>
      <c r="BS488" s="385"/>
      <c r="BT488" s="385"/>
    </row>
    <row r="489" spans="57:97" ht="12" hidden="1" x14ac:dyDescent="0.2">
      <c r="BE489" s="434">
        <v>0.6</v>
      </c>
      <c r="BF489" s="434"/>
      <c r="BG489" s="434"/>
      <c r="BH489" s="216">
        <f>BH488*BE489</f>
        <v>16380</v>
      </c>
      <c r="BI489" s="432" t="s">
        <v>128</v>
      </c>
      <c r="BJ489" s="432"/>
      <c r="BK489" s="432"/>
      <c r="BL489" s="432"/>
      <c r="BM489" s="432"/>
      <c r="BN489" s="432" t="s">
        <v>129</v>
      </c>
      <c r="BO489" s="432"/>
      <c r="BP489" s="432"/>
      <c r="BQ489" s="432"/>
      <c r="BR489" s="432"/>
      <c r="BS489" s="432"/>
      <c r="BT489" s="432"/>
      <c r="CE489" s="432" t="s">
        <v>368</v>
      </c>
      <c r="CF489" s="432"/>
      <c r="CG489" s="432"/>
      <c r="CH489" s="432"/>
      <c r="CI489" s="432"/>
      <c r="CJ489" s="432"/>
      <c r="CM489" s="432" t="s">
        <v>366</v>
      </c>
      <c r="CN489" s="432"/>
      <c r="CO489" s="432"/>
      <c r="CP489" s="432"/>
      <c r="CQ489" s="432"/>
      <c r="CR489" s="432"/>
      <c r="CS489" s="432"/>
    </row>
    <row r="490" spans="57:97" ht="12" hidden="1" x14ac:dyDescent="0.2">
      <c r="BE490" s="432">
        <v>211</v>
      </c>
      <c r="BF490" s="432"/>
      <c r="BG490" s="432"/>
      <c r="BH490" s="216">
        <f>BH489-BH491</f>
        <v>12580.645161290322</v>
      </c>
      <c r="BI490" s="435">
        <f>BH490*0.2</f>
        <v>2516.1290322580644</v>
      </c>
      <c r="BJ490" s="435"/>
      <c r="BK490" s="435"/>
      <c r="BL490" s="435"/>
      <c r="BM490" s="435"/>
      <c r="BN490" s="436">
        <f>BH490-BI490</f>
        <v>10064.516129032258</v>
      </c>
      <c r="BO490" s="436"/>
      <c r="BP490" s="436"/>
      <c r="BQ490" s="436"/>
      <c r="BR490" s="436"/>
      <c r="BS490" s="436"/>
      <c r="BT490" s="436"/>
      <c r="CE490" s="437">
        <f>BI490*15/20</f>
        <v>1887.0967741935485</v>
      </c>
      <c r="CF490" s="437"/>
      <c r="CG490" s="437"/>
      <c r="CH490" s="437"/>
      <c r="CI490" s="437"/>
      <c r="CJ490" s="437"/>
      <c r="CK490" s="384"/>
      <c r="CL490" s="384"/>
      <c r="CM490" s="437">
        <f>BI490*5/20</f>
        <v>629.0322580645161</v>
      </c>
      <c r="CN490" s="437"/>
      <c r="CO490" s="437"/>
      <c r="CP490" s="437"/>
      <c r="CQ490" s="437"/>
      <c r="CR490" s="437"/>
      <c r="CS490" s="437"/>
    </row>
    <row r="491" spans="57:97" ht="12" hidden="1" x14ac:dyDescent="0.2">
      <c r="BE491" s="432">
        <v>213</v>
      </c>
      <c r="BF491" s="432"/>
      <c r="BG491" s="432"/>
      <c r="BH491" s="216">
        <f>BH489*30.2/130.2</f>
        <v>3799.3548387096776</v>
      </c>
      <c r="BI491" s="435">
        <f>BI490*30.2%</f>
        <v>759.87096774193537</v>
      </c>
      <c r="BJ491" s="435"/>
      <c r="BK491" s="435"/>
      <c r="BL491" s="435"/>
      <c r="BM491" s="435"/>
      <c r="BN491" s="435">
        <f>BN490*30.2%</f>
        <v>3039.4838709677415</v>
      </c>
      <c r="BO491" s="435"/>
      <c r="BP491" s="435"/>
      <c r="BQ491" s="435"/>
      <c r="BR491" s="435"/>
      <c r="BS491" s="435"/>
      <c r="BT491" s="435"/>
      <c r="CJ491" s="236"/>
    </row>
    <row r="492" spans="57:97" ht="8.25" hidden="1" customHeight="1" x14ac:dyDescent="0.2"/>
    <row r="494" spans="57:97" ht="12" x14ac:dyDescent="0.2">
      <c r="BE494" s="432" t="s">
        <v>683</v>
      </c>
      <c r="BF494" s="432"/>
      <c r="BG494" s="432"/>
      <c r="BH494" s="432"/>
      <c r="BI494" s="432"/>
      <c r="BJ494" s="432"/>
      <c r="BK494" s="432"/>
      <c r="BL494" s="432"/>
      <c r="BM494" s="432"/>
      <c r="BN494" s="432"/>
      <c r="BO494" s="432"/>
      <c r="BP494" s="432"/>
      <c r="BQ494" s="432"/>
      <c r="BR494" s="432"/>
      <c r="BS494" s="432"/>
      <c r="BT494" s="432"/>
      <c r="BU494" s="432"/>
      <c r="BV494" s="432"/>
      <c r="BW494" s="432"/>
      <c r="BX494" s="432"/>
      <c r="BY494" s="432"/>
      <c r="BZ494" s="432"/>
      <c r="CA494" s="432"/>
    </row>
    <row r="495" spans="57:97" ht="12" x14ac:dyDescent="0.2">
      <c r="BE495" s="432" t="s">
        <v>126</v>
      </c>
      <c r="BF495" s="432"/>
      <c r="BG495" s="432"/>
      <c r="BH495" s="433">
        <f>350*30</f>
        <v>10500</v>
      </c>
      <c r="BI495" s="433"/>
      <c r="BJ495" s="433"/>
      <c r="BK495" s="433"/>
      <c r="BL495" s="433"/>
      <c r="BM495" s="398" t="s">
        <v>127</v>
      </c>
      <c r="BN495" s="398"/>
      <c r="BO495" s="398"/>
      <c r="BP495" s="398"/>
      <c r="BQ495" s="398"/>
      <c r="BR495" s="398"/>
      <c r="BS495" s="398"/>
      <c r="BT495" s="398"/>
    </row>
    <row r="496" spans="57:97" ht="12" x14ac:dyDescent="0.2">
      <c r="BE496" s="434">
        <v>0.6</v>
      </c>
      <c r="BF496" s="434"/>
      <c r="BG496" s="434"/>
      <c r="BH496" s="216">
        <f>BH495*BE496</f>
        <v>6300</v>
      </c>
      <c r="BI496" s="432" t="s">
        <v>128</v>
      </c>
      <c r="BJ496" s="432"/>
      <c r="BK496" s="432"/>
      <c r="BL496" s="432"/>
      <c r="BM496" s="432"/>
      <c r="BN496" s="432" t="s">
        <v>129</v>
      </c>
      <c r="BO496" s="432"/>
      <c r="BP496" s="432"/>
      <c r="BQ496" s="432"/>
      <c r="BR496" s="432"/>
      <c r="BS496" s="432"/>
      <c r="BT496" s="432"/>
      <c r="CE496" s="432" t="s">
        <v>368</v>
      </c>
      <c r="CF496" s="432"/>
      <c r="CG496" s="432"/>
      <c r="CH496" s="432"/>
      <c r="CI496" s="432"/>
      <c r="CJ496" s="432"/>
      <c r="CM496" s="432" t="s">
        <v>366</v>
      </c>
      <c r="CN496" s="432"/>
      <c r="CO496" s="432"/>
      <c r="CP496" s="432"/>
      <c r="CQ496" s="432"/>
      <c r="CR496" s="432"/>
      <c r="CS496" s="432"/>
    </row>
    <row r="497" spans="57:97" ht="12" x14ac:dyDescent="0.2">
      <c r="BE497" s="432">
        <v>211</v>
      </c>
      <c r="BF497" s="432"/>
      <c r="BG497" s="432"/>
      <c r="BH497" s="216">
        <f>BH496-BH498</f>
        <v>4838.7096774193542</v>
      </c>
      <c r="BI497" s="435">
        <f>BH497*0.2</f>
        <v>967.74193548387086</v>
      </c>
      <c r="BJ497" s="435"/>
      <c r="BK497" s="435"/>
      <c r="BL497" s="435"/>
      <c r="BM497" s="435"/>
      <c r="BN497" s="436">
        <f>BH497-BI497</f>
        <v>3870.9677419354834</v>
      </c>
      <c r="BO497" s="436"/>
      <c r="BP497" s="436"/>
      <c r="BQ497" s="436"/>
      <c r="BR497" s="436"/>
      <c r="BS497" s="436"/>
      <c r="BT497" s="436"/>
      <c r="CE497" s="437">
        <f>BI497*15/20</f>
        <v>725.80645161290317</v>
      </c>
      <c r="CF497" s="437"/>
      <c r="CG497" s="437"/>
      <c r="CH497" s="437"/>
      <c r="CI497" s="437"/>
      <c r="CJ497" s="437"/>
      <c r="CK497" s="399"/>
      <c r="CL497" s="399"/>
      <c r="CM497" s="437">
        <f>BI497*5/20</f>
        <v>241.93548387096772</v>
      </c>
      <c r="CN497" s="437"/>
      <c r="CO497" s="437"/>
      <c r="CP497" s="437"/>
      <c r="CQ497" s="437"/>
      <c r="CR497" s="437"/>
      <c r="CS497" s="437"/>
    </row>
    <row r="498" spans="57:97" ht="12" x14ac:dyDescent="0.2">
      <c r="BE498" s="432">
        <v>213</v>
      </c>
      <c r="BF498" s="432"/>
      <c r="BG498" s="432"/>
      <c r="BH498" s="216">
        <f>BH496*30.2/130.2</f>
        <v>1461.2903225806454</v>
      </c>
      <c r="BI498" s="435">
        <f>BI497*30.2%</f>
        <v>292.25806451612897</v>
      </c>
      <c r="BJ498" s="435"/>
      <c r="BK498" s="435"/>
      <c r="BL498" s="435"/>
      <c r="BM498" s="435"/>
      <c r="BN498" s="435">
        <f>BN497*30.2%</f>
        <v>1169.0322580645159</v>
      </c>
      <c r="BO498" s="435"/>
      <c r="BP498" s="435"/>
      <c r="BQ498" s="435"/>
      <c r="BR498" s="435"/>
      <c r="BS498" s="435"/>
      <c r="BT498" s="435"/>
      <c r="CJ498" s="236"/>
    </row>
    <row r="499" spans="57:97" ht="12" x14ac:dyDescent="0.2"/>
    <row r="500" spans="57:97" ht="12" x14ac:dyDescent="0.2"/>
    <row r="501" spans="57:97" ht="12" x14ac:dyDescent="0.2">
      <c r="BE501" s="432" t="s">
        <v>684</v>
      </c>
      <c r="BF501" s="432"/>
      <c r="BG501" s="432"/>
      <c r="BH501" s="432"/>
      <c r="BI501" s="432"/>
      <c r="BJ501" s="432"/>
      <c r="BK501" s="432"/>
      <c r="BL501" s="432"/>
      <c r="BM501" s="432"/>
      <c r="BN501" s="432"/>
      <c r="BO501" s="432"/>
      <c r="BP501" s="432"/>
      <c r="BQ501" s="432"/>
      <c r="BR501" s="432"/>
      <c r="BS501" s="432"/>
      <c r="BT501" s="432"/>
      <c r="BU501" s="432"/>
      <c r="BV501" s="432"/>
      <c r="BW501" s="432"/>
      <c r="BX501" s="432"/>
      <c r="BY501" s="432"/>
      <c r="BZ501" s="432"/>
      <c r="CA501" s="432"/>
    </row>
    <row r="502" spans="57:97" ht="12" x14ac:dyDescent="0.2">
      <c r="BE502" s="432" t="s">
        <v>126</v>
      </c>
      <c r="BF502" s="432"/>
      <c r="BG502" s="432"/>
      <c r="BH502" s="433">
        <f>350*47</f>
        <v>16450</v>
      </c>
      <c r="BI502" s="433"/>
      <c r="BJ502" s="433"/>
      <c r="BK502" s="433"/>
      <c r="BL502" s="433"/>
      <c r="BM502" s="398" t="s">
        <v>127</v>
      </c>
      <c r="BN502" s="398"/>
      <c r="BO502" s="398"/>
      <c r="BP502" s="398"/>
      <c r="BQ502" s="398"/>
      <c r="BR502" s="398"/>
      <c r="BS502" s="398"/>
      <c r="BT502" s="398"/>
    </row>
    <row r="503" spans="57:97" ht="12" x14ac:dyDescent="0.2">
      <c r="BE503" s="434">
        <v>0.6</v>
      </c>
      <c r="BF503" s="434"/>
      <c r="BG503" s="434"/>
      <c r="BH503" s="216">
        <f>BH502*BE503</f>
        <v>9870</v>
      </c>
      <c r="BI503" s="432" t="s">
        <v>128</v>
      </c>
      <c r="BJ503" s="432"/>
      <c r="BK503" s="432"/>
      <c r="BL503" s="432"/>
      <c r="BM503" s="432"/>
      <c r="BN503" s="432" t="s">
        <v>129</v>
      </c>
      <c r="BO503" s="432"/>
      <c r="BP503" s="432"/>
      <c r="BQ503" s="432"/>
      <c r="BR503" s="432"/>
      <c r="BS503" s="432"/>
      <c r="BT503" s="432"/>
      <c r="CE503" s="432" t="s">
        <v>368</v>
      </c>
      <c r="CF503" s="432"/>
      <c r="CG503" s="432"/>
      <c r="CH503" s="432"/>
      <c r="CI503" s="432"/>
      <c r="CJ503" s="432"/>
      <c r="CM503" s="432" t="s">
        <v>366</v>
      </c>
      <c r="CN503" s="432"/>
      <c r="CO503" s="432"/>
      <c r="CP503" s="432"/>
      <c r="CQ503" s="432"/>
      <c r="CR503" s="432"/>
      <c r="CS503" s="432"/>
    </row>
    <row r="504" spans="57:97" ht="12" x14ac:dyDescent="0.2">
      <c r="BE504" s="432">
        <v>211</v>
      </c>
      <c r="BF504" s="432"/>
      <c r="BG504" s="432"/>
      <c r="BH504" s="216">
        <f>BH503-BH505</f>
        <v>7580.645161290322</v>
      </c>
      <c r="BI504" s="435">
        <f>BH504*0.2</f>
        <v>1516.1290322580644</v>
      </c>
      <c r="BJ504" s="435"/>
      <c r="BK504" s="435"/>
      <c r="BL504" s="435"/>
      <c r="BM504" s="435"/>
      <c r="BN504" s="436">
        <f>BH504-BI504</f>
        <v>6064.5161290322576</v>
      </c>
      <c r="BO504" s="436"/>
      <c r="BP504" s="436"/>
      <c r="BQ504" s="436"/>
      <c r="BR504" s="436"/>
      <c r="BS504" s="436"/>
      <c r="BT504" s="436"/>
      <c r="CE504" s="437">
        <f>BI504*15/20</f>
        <v>1137.0967741935483</v>
      </c>
      <c r="CF504" s="437"/>
      <c r="CG504" s="437"/>
      <c r="CH504" s="437"/>
      <c r="CI504" s="437"/>
      <c r="CJ504" s="437"/>
      <c r="CK504" s="399"/>
      <c r="CL504" s="399"/>
      <c r="CM504" s="437">
        <f>BI504*5/20</f>
        <v>379.0322580645161</v>
      </c>
      <c r="CN504" s="437"/>
      <c r="CO504" s="437"/>
      <c r="CP504" s="437"/>
      <c r="CQ504" s="437"/>
      <c r="CR504" s="437"/>
      <c r="CS504" s="437"/>
    </row>
    <row r="505" spans="57:97" ht="12" x14ac:dyDescent="0.2">
      <c r="BE505" s="432">
        <v>213</v>
      </c>
      <c r="BF505" s="432"/>
      <c r="BG505" s="432"/>
      <c r="BH505" s="216">
        <f>BH503*30.2/130.2</f>
        <v>2289.3548387096776</v>
      </c>
      <c r="BI505" s="435">
        <f>BI504*30.2%</f>
        <v>457.87096774193543</v>
      </c>
      <c r="BJ505" s="435"/>
      <c r="BK505" s="435"/>
      <c r="BL505" s="435"/>
      <c r="BM505" s="435"/>
      <c r="BN505" s="435">
        <f>BN504*30.2%</f>
        <v>1831.4838709677417</v>
      </c>
      <c r="BO505" s="435"/>
      <c r="BP505" s="435"/>
      <c r="BQ505" s="435"/>
      <c r="BR505" s="435"/>
      <c r="BS505" s="435"/>
      <c r="BT505" s="435"/>
      <c r="CJ505" s="236"/>
    </row>
    <row r="507" spans="57:97" ht="12" x14ac:dyDescent="0.2"/>
    <row r="508" spans="57:97" ht="12" x14ac:dyDescent="0.2">
      <c r="BE508" s="432" t="s">
        <v>690</v>
      </c>
      <c r="BF508" s="432"/>
      <c r="BG508" s="432"/>
      <c r="BH508" s="432"/>
      <c r="BI508" s="432"/>
      <c r="BJ508" s="432"/>
      <c r="BK508" s="432"/>
      <c r="BL508" s="432"/>
      <c r="BM508" s="432"/>
      <c r="BN508" s="432"/>
      <c r="BO508" s="432"/>
      <c r="BP508" s="432"/>
      <c r="BQ508" s="432"/>
      <c r="BR508" s="432"/>
      <c r="BS508" s="432"/>
      <c r="BT508" s="432"/>
      <c r="BU508" s="432"/>
      <c r="BV508" s="432"/>
      <c r="BW508" s="432"/>
      <c r="BX508" s="432"/>
      <c r="BY508" s="432"/>
      <c r="BZ508" s="432"/>
      <c r="CA508" s="432"/>
    </row>
    <row r="509" spans="57:97" ht="12" x14ac:dyDescent="0.2">
      <c r="BE509" s="432" t="s">
        <v>126</v>
      </c>
      <c r="BF509" s="432"/>
      <c r="BG509" s="432"/>
      <c r="BH509" s="433">
        <f>350*19</f>
        <v>6650</v>
      </c>
      <c r="BI509" s="433"/>
      <c r="BJ509" s="433"/>
      <c r="BK509" s="433"/>
      <c r="BL509" s="433"/>
      <c r="BM509" s="398" t="s">
        <v>127</v>
      </c>
      <c r="BN509" s="398"/>
      <c r="BO509" s="398"/>
      <c r="BP509" s="398"/>
      <c r="BQ509" s="398"/>
      <c r="BR509" s="398"/>
      <c r="BS509" s="398"/>
      <c r="BT509" s="398"/>
    </row>
    <row r="510" spans="57:97" ht="12" x14ac:dyDescent="0.2">
      <c r="BE510" s="434">
        <v>0.6</v>
      </c>
      <c r="BF510" s="434"/>
      <c r="BG510" s="434"/>
      <c r="BH510" s="216">
        <f>BH509*BE510</f>
        <v>3990</v>
      </c>
      <c r="BI510" s="432" t="s">
        <v>128</v>
      </c>
      <c r="BJ510" s="432"/>
      <c r="BK510" s="432"/>
      <c r="BL510" s="432"/>
      <c r="BM510" s="432"/>
      <c r="BN510" s="432" t="s">
        <v>129</v>
      </c>
      <c r="BO510" s="432"/>
      <c r="BP510" s="432"/>
      <c r="BQ510" s="432"/>
      <c r="BR510" s="432"/>
      <c r="BS510" s="432"/>
      <c r="BT510" s="432"/>
      <c r="CE510" s="432" t="s">
        <v>368</v>
      </c>
      <c r="CF510" s="432"/>
      <c r="CG510" s="432"/>
      <c r="CH510" s="432"/>
      <c r="CI510" s="432"/>
      <c r="CJ510" s="432"/>
      <c r="CM510" s="432" t="s">
        <v>366</v>
      </c>
      <c r="CN510" s="432"/>
      <c r="CO510" s="432"/>
      <c r="CP510" s="432"/>
      <c r="CQ510" s="432"/>
      <c r="CR510" s="432"/>
      <c r="CS510" s="432"/>
    </row>
    <row r="511" spans="57:97" ht="12" x14ac:dyDescent="0.2">
      <c r="BE511" s="432">
        <v>211</v>
      </c>
      <c r="BF511" s="432"/>
      <c r="BG511" s="432"/>
      <c r="BH511" s="216">
        <f>BH510-BH512</f>
        <v>3064.516129032258</v>
      </c>
      <c r="BI511" s="435">
        <f>BH511*0.2</f>
        <v>612.90322580645159</v>
      </c>
      <c r="BJ511" s="435"/>
      <c r="BK511" s="435"/>
      <c r="BL511" s="435"/>
      <c r="BM511" s="435"/>
      <c r="BN511" s="436">
        <f>BH511-BI511</f>
        <v>2451.6129032258063</v>
      </c>
      <c r="BO511" s="436"/>
      <c r="BP511" s="436"/>
      <c r="BQ511" s="436"/>
      <c r="BR511" s="436"/>
      <c r="BS511" s="436"/>
      <c r="BT511" s="436"/>
      <c r="CE511" s="437">
        <f>BI511*15/20</f>
        <v>459.67741935483872</v>
      </c>
      <c r="CF511" s="437"/>
      <c r="CG511" s="437"/>
      <c r="CH511" s="437"/>
      <c r="CI511" s="437"/>
      <c r="CJ511" s="437"/>
      <c r="CK511" s="399"/>
      <c r="CL511" s="399"/>
      <c r="CM511" s="437">
        <f>BI511*5/20</f>
        <v>153.2258064516129</v>
      </c>
      <c r="CN511" s="437"/>
      <c r="CO511" s="437"/>
      <c r="CP511" s="437"/>
      <c r="CQ511" s="437"/>
      <c r="CR511" s="437"/>
      <c r="CS511" s="437"/>
    </row>
    <row r="512" spans="57:97" ht="12" x14ac:dyDescent="0.2">
      <c r="BE512" s="432">
        <v>213</v>
      </c>
      <c r="BF512" s="432"/>
      <c r="BG512" s="432"/>
      <c r="BH512" s="216">
        <f>BH510*30.2/130.2</f>
        <v>925.48387096774206</v>
      </c>
      <c r="BI512" s="435">
        <f>BI511*30.2%</f>
        <v>185.09677419354838</v>
      </c>
      <c r="BJ512" s="435"/>
      <c r="BK512" s="435"/>
      <c r="BL512" s="435"/>
      <c r="BM512" s="435"/>
      <c r="BN512" s="435">
        <f>BN511*30.2%</f>
        <v>740.38709677419354</v>
      </c>
      <c r="BO512" s="435"/>
      <c r="BP512" s="435"/>
      <c r="BQ512" s="435"/>
      <c r="BR512" s="435"/>
      <c r="BS512" s="435"/>
      <c r="BT512" s="435"/>
      <c r="CJ512" s="236"/>
    </row>
    <row r="516" spans="57:97" ht="12" x14ac:dyDescent="0.2">
      <c r="BE516" s="432" t="s">
        <v>691</v>
      </c>
      <c r="BF516" s="432"/>
      <c r="BG516" s="432"/>
      <c r="BH516" s="432"/>
      <c r="BI516" s="432"/>
      <c r="BJ516" s="432"/>
      <c r="BK516" s="432"/>
      <c r="BL516" s="432"/>
      <c r="BM516" s="432"/>
      <c r="BN516" s="432"/>
      <c r="BO516" s="432"/>
      <c r="BP516" s="432"/>
      <c r="BQ516" s="432"/>
      <c r="BR516" s="432"/>
      <c r="BS516" s="432"/>
      <c r="BT516" s="432"/>
      <c r="BU516" s="432"/>
      <c r="BV516" s="432"/>
      <c r="BW516" s="432"/>
      <c r="BX516" s="432"/>
      <c r="BY516" s="432"/>
      <c r="BZ516" s="432"/>
      <c r="CA516" s="432"/>
    </row>
    <row r="517" spans="57:97" ht="12" x14ac:dyDescent="0.2">
      <c r="BE517" s="432" t="s">
        <v>126</v>
      </c>
      <c r="BF517" s="432"/>
      <c r="BG517" s="432"/>
      <c r="BH517" s="433">
        <f>350*30</f>
        <v>10500</v>
      </c>
      <c r="BI517" s="433"/>
      <c r="BJ517" s="433"/>
      <c r="BK517" s="433"/>
      <c r="BL517" s="433"/>
      <c r="BM517" s="398" t="s">
        <v>127</v>
      </c>
      <c r="BN517" s="398"/>
      <c r="BO517" s="398"/>
      <c r="BP517" s="398"/>
      <c r="BQ517" s="398"/>
      <c r="BR517" s="398"/>
      <c r="BS517" s="398"/>
      <c r="BT517" s="398"/>
    </row>
    <row r="518" spans="57:97" ht="12" x14ac:dyDescent="0.2">
      <c r="BE518" s="434">
        <v>0.6</v>
      </c>
      <c r="BF518" s="434"/>
      <c r="BG518" s="434"/>
      <c r="BH518" s="216">
        <f>BH517*BE518</f>
        <v>6300</v>
      </c>
      <c r="BI518" s="432" t="s">
        <v>128</v>
      </c>
      <c r="BJ518" s="432"/>
      <c r="BK518" s="432"/>
      <c r="BL518" s="432"/>
      <c r="BM518" s="432"/>
      <c r="BN518" s="432" t="s">
        <v>129</v>
      </c>
      <c r="BO518" s="432"/>
      <c r="BP518" s="432"/>
      <c r="BQ518" s="432"/>
      <c r="BR518" s="432"/>
      <c r="BS518" s="432"/>
      <c r="BT518" s="432"/>
      <c r="CE518" s="432" t="s">
        <v>368</v>
      </c>
      <c r="CF518" s="432"/>
      <c r="CG518" s="432"/>
      <c r="CH518" s="432"/>
      <c r="CI518" s="432"/>
      <c r="CJ518" s="432"/>
      <c r="CM518" s="432" t="s">
        <v>366</v>
      </c>
      <c r="CN518" s="432"/>
      <c r="CO518" s="432"/>
      <c r="CP518" s="432"/>
      <c r="CQ518" s="432"/>
      <c r="CR518" s="432"/>
      <c r="CS518" s="432"/>
    </row>
    <row r="519" spans="57:97" ht="12" x14ac:dyDescent="0.2">
      <c r="BE519" s="432">
        <v>211</v>
      </c>
      <c r="BF519" s="432"/>
      <c r="BG519" s="432"/>
      <c r="BH519" s="216">
        <f>BH518-BH520</f>
        <v>4838.7096774193542</v>
      </c>
      <c r="BI519" s="435">
        <f>BH519*0.2</f>
        <v>967.74193548387086</v>
      </c>
      <c r="BJ519" s="435"/>
      <c r="BK519" s="435"/>
      <c r="BL519" s="435"/>
      <c r="BM519" s="435"/>
      <c r="BN519" s="436">
        <f>BH519-BI519</f>
        <v>3870.9677419354834</v>
      </c>
      <c r="BO519" s="436"/>
      <c r="BP519" s="436"/>
      <c r="BQ519" s="436"/>
      <c r="BR519" s="436"/>
      <c r="BS519" s="436"/>
      <c r="BT519" s="436"/>
      <c r="CE519" s="437">
        <f>BI519*15/20</f>
        <v>725.80645161290317</v>
      </c>
      <c r="CF519" s="437"/>
      <c r="CG519" s="437"/>
      <c r="CH519" s="437"/>
      <c r="CI519" s="437"/>
      <c r="CJ519" s="437"/>
      <c r="CK519" s="399"/>
      <c r="CL519" s="399"/>
      <c r="CM519" s="437">
        <f>BI519*5/20</f>
        <v>241.93548387096772</v>
      </c>
      <c r="CN519" s="437"/>
      <c r="CO519" s="437"/>
      <c r="CP519" s="437"/>
      <c r="CQ519" s="437"/>
      <c r="CR519" s="437"/>
      <c r="CS519" s="437"/>
    </row>
    <row r="520" spans="57:97" ht="12" x14ac:dyDescent="0.2">
      <c r="BE520" s="432">
        <v>213</v>
      </c>
      <c r="BF520" s="432"/>
      <c r="BG520" s="432"/>
      <c r="BH520" s="216">
        <f>BH518*30.2/130.2</f>
        <v>1461.2903225806454</v>
      </c>
      <c r="BI520" s="435">
        <f>BI519*30.2%</f>
        <v>292.25806451612897</v>
      </c>
      <c r="BJ520" s="435"/>
      <c r="BK520" s="435"/>
      <c r="BL520" s="435"/>
      <c r="BM520" s="435"/>
      <c r="BN520" s="435">
        <f>BN519*30.2%</f>
        <v>1169.0322580645159</v>
      </c>
      <c r="BO520" s="435"/>
      <c r="BP520" s="435"/>
      <c r="BQ520" s="435"/>
      <c r="BR520" s="435"/>
      <c r="BS520" s="435"/>
      <c r="BT520" s="435"/>
      <c r="CJ520" s="236"/>
    </row>
    <row r="521" spans="57:97" ht="12" x14ac:dyDescent="0.2"/>
    <row r="522" spans="57:97" ht="12" x14ac:dyDescent="0.2"/>
    <row r="523" spans="57:97" ht="12" x14ac:dyDescent="0.2">
      <c r="BE523" s="432" t="s">
        <v>692</v>
      </c>
      <c r="BF523" s="432"/>
      <c r="BG523" s="432"/>
      <c r="BH523" s="432"/>
      <c r="BI523" s="432"/>
      <c r="BJ523" s="432"/>
      <c r="BK523" s="432"/>
      <c r="BL523" s="432"/>
      <c r="BM523" s="432"/>
      <c r="BN523" s="432"/>
      <c r="BO523" s="432"/>
      <c r="BP523" s="432"/>
      <c r="BQ523" s="432"/>
      <c r="BR523" s="432"/>
      <c r="BS523" s="432"/>
      <c r="BT523" s="432"/>
      <c r="BU523" s="432"/>
      <c r="BV523" s="432"/>
      <c r="BW523" s="432"/>
      <c r="BX523" s="432"/>
      <c r="BY523" s="432"/>
      <c r="BZ523" s="432"/>
      <c r="CA523" s="432"/>
    </row>
    <row r="524" spans="57:97" ht="12" x14ac:dyDescent="0.2">
      <c r="BE524" s="432" t="s">
        <v>126</v>
      </c>
      <c r="BF524" s="432"/>
      <c r="BG524" s="432"/>
      <c r="BH524" s="433">
        <f>350*23</f>
        <v>8050</v>
      </c>
      <c r="BI524" s="433"/>
      <c r="BJ524" s="433"/>
      <c r="BK524" s="433"/>
      <c r="BL524" s="433"/>
      <c r="BM524" s="398" t="s">
        <v>127</v>
      </c>
      <c r="BN524" s="398"/>
      <c r="BO524" s="398"/>
      <c r="BP524" s="398"/>
      <c r="BQ524" s="398"/>
      <c r="BR524" s="398"/>
      <c r="BS524" s="398"/>
      <c r="BT524" s="398"/>
    </row>
    <row r="525" spans="57:97" ht="12" x14ac:dyDescent="0.2">
      <c r="BE525" s="434">
        <v>0.6</v>
      </c>
      <c r="BF525" s="434"/>
      <c r="BG525" s="434"/>
      <c r="BH525" s="216">
        <f>BH524*BE525</f>
        <v>4830</v>
      </c>
      <c r="BI525" s="432" t="s">
        <v>128</v>
      </c>
      <c r="BJ525" s="432"/>
      <c r="BK525" s="432"/>
      <c r="BL525" s="432"/>
      <c r="BM525" s="432"/>
      <c r="BN525" s="432" t="s">
        <v>129</v>
      </c>
      <c r="BO525" s="432"/>
      <c r="BP525" s="432"/>
      <c r="BQ525" s="432"/>
      <c r="BR525" s="432"/>
      <c r="BS525" s="432"/>
      <c r="BT525" s="432"/>
      <c r="CE525" s="432" t="s">
        <v>368</v>
      </c>
      <c r="CF525" s="432"/>
      <c r="CG525" s="432"/>
      <c r="CH525" s="432"/>
      <c r="CI525" s="432"/>
      <c r="CJ525" s="432"/>
      <c r="CM525" s="432" t="s">
        <v>366</v>
      </c>
      <c r="CN525" s="432"/>
      <c r="CO525" s="432"/>
      <c r="CP525" s="432"/>
      <c r="CQ525" s="432"/>
      <c r="CR525" s="432"/>
      <c r="CS525" s="432"/>
    </row>
    <row r="526" spans="57:97" ht="12" x14ac:dyDescent="0.2">
      <c r="BE526" s="432">
        <v>211</v>
      </c>
      <c r="BF526" s="432"/>
      <c r="BG526" s="432"/>
      <c r="BH526" s="216">
        <f>BH525-BH527</f>
        <v>3709.6774193548385</v>
      </c>
      <c r="BI526" s="435">
        <f>BH526*0.2</f>
        <v>741.9354838709678</v>
      </c>
      <c r="BJ526" s="435"/>
      <c r="BK526" s="435"/>
      <c r="BL526" s="435"/>
      <c r="BM526" s="435"/>
      <c r="BN526" s="436">
        <f>BH526-BI526</f>
        <v>2967.7419354838707</v>
      </c>
      <c r="BO526" s="436"/>
      <c r="BP526" s="436"/>
      <c r="BQ526" s="436"/>
      <c r="BR526" s="436"/>
      <c r="BS526" s="436"/>
      <c r="BT526" s="436"/>
      <c r="CE526" s="437">
        <f>BI526*15/20</f>
        <v>556.45161290322585</v>
      </c>
      <c r="CF526" s="437"/>
      <c r="CG526" s="437"/>
      <c r="CH526" s="437"/>
      <c r="CI526" s="437"/>
      <c r="CJ526" s="437"/>
      <c r="CK526" s="399"/>
      <c r="CL526" s="399"/>
      <c r="CM526" s="437">
        <f>BI526*5/20</f>
        <v>185.48387096774195</v>
      </c>
      <c r="CN526" s="437"/>
      <c r="CO526" s="437"/>
      <c r="CP526" s="437"/>
      <c r="CQ526" s="437"/>
      <c r="CR526" s="437"/>
      <c r="CS526" s="437"/>
    </row>
    <row r="527" spans="57:97" ht="12" x14ac:dyDescent="0.2">
      <c r="BE527" s="432">
        <v>213</v>
      </c>
      <c r="BF527" s="432"/>
      <c r="BG527" s="432"/>
      <c r="BH527" s="216">
        <f>BH525*30.2/130.2</f>
        <v>1120.3225806451615</v>
      </c>
      <c r="BI527" s="435">
        <f>BI526*30.2%</f>
        <v>224.06451612903226</v>
      </c>
      <c r="BJ527" s="435"/>
      <c r="BK527" s="435"/>
      <c r="BL527" s="435"/>
      <c r="BM527" s="435"/>
      <c r="BN527" s="435">
        <f>BN526*30.2%</f>
        <v>896.25806451612891</v>
      </c>
      <c r="BO527" s="435"/>
      <c r="BP527" s="435"/>
      <c r="BQ527" s="435"/>
      <c r="BR527" s="435"/>
      <c r="BS527" s="435"/>
      <c r="BT527" s="435"/>
      <c r="CJ527" s="236"/>
    </row>
    <row r="530" spans="85:88" ht="15" x14ac:dyDescent="0.25">
      <c r="CG530" s="438">
        <f>CE497+CE504+CE511+CE519+CE526</f>
        <v>3604.838709677419</v>
      </c>
      <c r="CH530" s="439"/>
      <c r="CI530" s="439"/>
      <c r="CJ530" s="439"/>
    </row>
  </sheetData>
  <mergeCells count="1286">
    <mergeCell ref="BE474:BG474"/>
    <mergeCell ref="BH474:BL474"/>
    <mergeCell ref="BE475:BG475"/>
    <mergeCell ref="BI475:BM475"/>
    <mergeCell ref="BN475:BT475"/>
    <mergeCell ref="CE475:CJ475"/>
    <mergeCell ref="CM475:CS475"/>
    <mergeCell ref="BE476:BG476"/>
    <mergeCell ref="BI476:BM476"/>
    <mergeCell ref="BN476:BT476"/>
    <mergeCell ref="CE476:CJ476"/>
    <mergeCell ref="CM476:CS476"/>
    <mergeCell ref="BE477:BG477"/>
    <mergeCell ref="BI477:BM477"/>
    <mergeCell ref="BN477:BT477"/>
    <mergeCell ref="BE464:CA464"/>
    <mergeCell ref="BE465:BG465"/>
    <mergeCell ref="BH465:BL465"/>
    <mergeCell ref="BE466:BG466"/>
    <mergeCell ref="BI466:BM466"/>
    <mergeCell ref="BN466:BT466"/>
    <mergeCell ref="CE466:CJ466"/>
    <mergeCell ref="CM466:CS466"/>
    <mergeCell ref="BE467:BG467"/>
    <mergeCell ref="BI467:BM467"/>
    <mergeCell ref="BN467:BT467"/>
    <mergeCell ref="CE467:CJ467"/>
    <mergeCell ref="CM467:CS467"/>
    <mergeCell ref="BE468:BG468"/>
    <mergeCell ref="BI468:BM468"/>
    <mergeCell ref="BN468:BT468"/>
    <mergeCell ref="BE473:CA473"/>
    <mergeCell ref="BE452:BG452"/>
    <mergeCell ref="BI452:BM452"/>
    <mergeCell ref="BN452:BT452"/>
    <mergeCell ref="BE456:CA456"/>
    <mergeCell ref="BE457:BG457"/>
    <mergeCell ref="BH457:BL457"/>
    <mergeCell ref="BE458:BG458"/>
    <mergeCell ref="BI458:BM458"/>
    <mergeCell ref="BN458:BT458"/>
    <mergeCell ref="CE458:CJ458"/>
    <mergeCell ref="CM458:CS458"/>
    <mergeCell ref="BE459:BG459"/>
    <mergeCell ref="BI459:BM459"/>
    <mergeCell ref="BN459:BT459"/>
    <mergeCell ref="CE459:CJ459"/>
    <mergeCell ref="CM459:CS459"/>
    <mergeCell ref="BE460:BG460"/>
    <mergeCell ref="BI460:BM460"/>
    <mergeCell ref="BN460:BT460"/>
    <mergeCell ref="BE449:BG449"/>
    <mergeCell ref="BH449:BL449"/>
    <mergeCell ref="BE450:BG450"/>
    <mergeCell ref="BI450:BM450"/>
    <mergeCell ref="BN450:BT450"/>
    <mergeCell ref="CE450:CJ450"/>
    <mergeCell ref="CM450:CS450"/>
    <mergeCell ref="BE451:BG451"/>
    <mergeCell ref="BI451:BM451"/>
    <mergeCell ref="BN451:BT451"/>
    <mergeCell ref="CE451:CJ451"/>
    <mergeCell ref="CM451:CS451"/>
    <mergeCell ref="CE415:CJ415"/>
    <mergeCell ref="CM415:CS415"/>
    <mergeCell ref="BE416:BG416"/>
    <mergeCell ref="BI416:BM416"/>
    <mergeCell ref="BN416:BT416"/>
    <mergeCell ref="CE416:CJ416"/>
    <mergeCell ref="CM416:CS416"/>
    <mergeCell ref="BE417:BG417"/>
    <mergeCell ref="BI417:BM417"/>
    <mergeCell ref="BN417:BT417"/>
    <mergeCell ref="BE430:BG430"/>
    <mergeCell ref="BI430:BM430"/>
    <mergeCell ref="BN430:BT430"/>
    <mergeCell ref="CE430:CJ430"/>
    <mergeCell ref="CM430:CS430"/>
    <mergeCell ref="BE431:BG431"/>
    <mergeCell ref="BI431:BM431"/>
    <mergeCell ref="BN431:BT431"/>
    <mergeCell ref="BE424:BG424"/>
    <mergeCell ref="CE444:CJ444"/>
    <mergeCell ref="BE414:BG414"/>
    <mergeCell ref="BH414:BL414"/>
    <mergeCell ref="BE415:BG415"/>
    <mergeCell ref="BI415:BM415"/>
    <mergeCell ref="BN415:BT415"/>
    <mergeCell ref="BE406:CA406"/>
    <mergeCell ref="BE407:BG407"/>
    <mergeCell ref="BH407:BL407"/>
    <mergeCell ref="BE408:BG408"/>
    <mergeCell ref="BI408:BM408"/>
    <mergeCell ref="BN408:BT408"/>
    <mergeCell ref="BE392:CA392"/>
    <mergeCell ref="BE393:BG393"/>
    <mergeCell ref="BI389:BM389"/>
    <mergeCell ref="BN389:BT389"/>
    <mergeCell ref="BE389:BG389"/>
    <mergeCell ref="BE448:CA448"/>
    <mergeCell ref="BE444:BG444"/>
    <mergeCell ref="BI444:BM444"/>
    <mergeCell ref="BN444:BT444"/>
    <mergeCell ref="BE382:BG382"/>
    <mergeCell ref="BI382:BM382"/>
    <mergeCell ref="BN382:BT382"/>
    <mergeCell ref="BH393:BL393"/>
    <mergeCell ref="BE394:BG394"/>
    <mergeCell ref="BI394:BM394"/>
    <mergeCell ref="BN394:BT394"/>
    <mergeCell ref="BE385:CA385"/>
    <mergeCell ref="BE386:BG386"/>
    <mergeCell ref="BH386:BL386"/>
    <mergeCell ref="BE387:BG387"/>
    <mergeCell ref="BI387:BM387"/>
    <mergeCell ref="BN387:BT387"/>
    <mergeCell ref="BE388:BG388"/>
    <mergeCell ref="BI388:BM388"/>
    <mergeCell ref="BN388:BT388"/>
    <mergeCell ref="BN396:BT396"/>
    <mergeCell ref="BE365:BG365"/>
    <mergeCell ref="BI365:BM365"/>
    <mergeCell ref="BN365:BT365"/>
    <mergeCell ref="BE368:CA368"/>
    <mergeCell ref="BE369:BG369"/>
    <mergeCell ref="BH369:BL369"/>
    <mergeCell ref="BE370:BG370"/>
    <mergeCell ref="BI370:BM370"/>
    <mergeCell ref="BN370:BT370"/>
    <mergeCell ref="BE381:BG381"/>
    <mergeCell ref="BI381:BM381"/>
    <mergeCell ref="BN381:BT381"/>
    <mergeCell ref="CE381:CJ381"/>
    <mergeCell ref="CM381:CS381"/>
    <mergeCell ref="CE370:CJ370"/>
    <mergeCell ref="CM370:CS370"/>
    <mergeCell ref="BE371:BG371"/>
    <mergeCell ref="BI371:BM371"/>
    <mergeCell ref="BN371:BT371"/>
    <mergeCell ref="CE371:CJ371"/>
    <mergeCell ref="CM371:CS371"/>
    <mergeCell ref="BE372:BG372"/>
    <mergeCell ref="BI372:BM372"/>
    <mergeCell ref="BN372:BT372"/>
    <mergeCell ref="CM376:CT376"/>
    <mergeCell ref="CE334:CJ334"/>
    <mergeCell ref="CM334:CS334"/>
    <mergeCell ref="BE335:BG335"/>
    <mergeCell ref="BI335:BM335"/>
    <mergeCell ref="BN335:BT335"/>
    <mergeCell ref="CE335:CJ335"/>
    <mergeCell ref="CM335:CS335"/>
    <mergeCell ref="CM357:CS357"/>
    <mergeCell ref="BE358:BG358"/>
    <mergeCell ref="BI358:BM358"/>
    <mergeCell ref="BN358:BT358"/>
    <mergeCell ref="BE361:CA361"/>
    <mergeCell ref="BE362:BG362"/>
    <mergeCell ref="BH362:BL362"/>
    <mergeCell ref="BE363:BG363"/>
    <mergeCell ref="BI363:BM363"/>
    <mergeCell ref="BN363:BT363"/>
    <mergeCell ref="CE363:CJ363"/>
    <mergeCell ref="CM363:CS363"/>
    <mergeCell ref="BH347:BL347"/>
    <mergeCell ref="BE348:BG348"/>
    <mergeCell ref="BI348:BM348"/>
    <mergeCell ref="BN348:BT348"/>
    <mergeCell ref="CE348:CJ348"/>
    <mergeCell ref="CM348:CS348"/>
    <mergeCell ref="BE349:BG349"/>
    <mergeCell ref="BI349:BM349"/>
    <mergeCell ref="BN349:BT349"/>
    <mergeCell ref="CE349:CJ349"/>
    <mergeCell ref="CM349:CS349"/>
    <mergeCell ref="CE341:CJ341"/>
    <mergeCell ref="CM341:CS341"/>
    <mergeCell ref="BE329:BG329"/>
    <mergeCell ref="BI329:BM329"/>
    <mergeCell ref="BN329:BT329"/>
    <mergeCell ref="BE336:BG336"/>
    <mergeCell ref="BI336:BM336"/>
    <mergeCell ref="BN336:BT336"/>
    <mergeCell ref="BE339:CA339"/>
    <mergeCell ref="BE340:BG340"/>
    <mergeCell ref="BH340:BL340"/>
    <mergeCell ref="BE341:BG341"/>
    <mergeCell ref="BI341:BM341"/>
    <mergeCell ref="BN341:BT341"/>
    <mergeCell ref="BE332:CA332"/>
    <mergeCell ref="BE333:BG333"/>
    <mergeCell ref="BH333:BL333"/>
    <mergeCell ref="BE334:BG334"/>
    <mergeCell ref="BI334:BM334"/>
    <mergeCell ref="BN334:BT334"/>
    <mergeCell ref="BE325:CA325"/>
    <mergeCell ref="BE326:BG326"/>
    <mergeCell ref="BH326:BL326"/>
    <mergeCell ref="BE327:BG327"/>
    <mergeCell ref="BI327:BM327"/>
    <mergeCell ref="BN327:BT327"/>
    <mergeCell ref="CE327:CJ327"/>
    <mergeCell ref="CM327:CS327"/>
    <mergeCell ref="BE328:BG328"/>
    <mergeCell ref="BI328:BM328"/>
    <mergeCell ref="BN328:BT328"/>
    <mergeCell ref="CE328:CJ328"/>
    <mergeCell ref="CM328:CS328"/>
    <mergeCell ref="BI311:BM311"/>
    <mergeCell ref="BN311:BT311"/>
    <mergeCell ref="CE311:CJ311"/>
    <mergeCell ref="CM311:CS311"/>
    <mergeCell ref="CM320:CS320"/>
    <mergeCell ref="BE321:BG321"/>
    <mergeCell ref="BE312:BG312"/>
    <mergeCell ref="BI312:BM312"/>
    <mergeCell ref="BN312:BT312"/>
    <mergeCell ref="BE319:BG319"/>
    <mergeCell ref="BI319:BM319"/>
    <mergeCell ref="BN319:BT319"/>
    <mergeCell ref="CE319:CJ319"/>
    <mergeCell ref="BE263:BG263"/>
    <mergeCell ref="BI263:BM263"/>
    <mergeCell ref="BN263:BT263"/>
    <mergeCell ref="BE266:CA266"/>
    <mergeCell ref="BE267:BG267"/>
    <mergeCell ref="BH267:BL267"/>
    <mergeCell ref="BE268:BG268"/>
    <mergeCell ref="BE282:BG282"/>
    <mergeCell ref="BI282:BM282"/>
    <mergeCell ref="BN282:BT282"/>
    <mergeCell ref="CE282:CJ282"/>
    <mergeCell ref="BI277:BM277"/>
    <mergeCell ref="BN277:BT277"/>
    <mergeCell ref="BE280:CA280"/>
    <mergeCell ref="CM282:CS282"/>
    <mergeCell ref="BE283:BG283"/>
    <mergeCell ref="BI283:BM283"/>
    <mergeCell ref="BN283:BT283"/>
    <mergeCell ref="CE283:CJ283"/>
    <mergeCell ref="CM283:CS283"/>
    <mergeCell ref="CE268:CJ268"/>
    <mergeCell ref="CM268:CS268"/>
    <mergeCell ref="BE269:BG269"/>
    <mergeCell ref="BI269:BM269"/>
    <mergeCell ref="BN269:BT269"/>
    <mergeCell ref="CE269:CJ269"/>
    <mergeCell ref="CM269:CS269"/>
    <mergeCell ref="BE270:BG270"/>
    <mergeCell ref="BI270:BM270"/>
    <mergeCell ref="BN270:BT270"/>
    <mergeCell ref="BE276:BG276"/>
    <mergeCell ref="BI276:BM276"/>
    <mergeCell ref="BI261:BM261"/>
    <mergeCell ref="BN261:BT261"/>
    <mergeCell ref="CE261:CJ261"/>
    <mergeCell ref="CM261:CS261"/>
    <mergeCell ref="BE262:BG262"/>
    <mergeCell ref="BI262:BM262"/>
    <mergeCell ref="BN262:BT262"/>
    <mergeCell ref="CE262:CJ262"/>
    <mergeCell ref="CM262:CS262"/>
    <mergeCell ref="CM276:CS276"/>
    <mergeCell ref="BE277:BG277"/>
    <mergeCell ref="BN268:BT268"/>
    <mergeCell ref="CM275:CS275"/>
    <mergeCell ref="BI242:BM242"/>
    <mergeCell ref="BN242:BT242"/>
    <mergeCell ref="BE243:BG243"/>
    <mergeCell ref="BI243:BM243"/>
    <mergeCell ref="BN243:BT243"/>
    <mergeCell ref="BE249:BG249"/>
    <mergeCell ref="BI249:BM249"/>
    <mergeCell ref="BN249:BT249"/>
    <mergeCell ref="CE247:CJ247"/>
    <mergeCell ref="CE248:CJ248"/>
    <mergeCell ref="BE259:CA259"/>
    <mergeCell ref="BE260:BG260"/>
    <mergeCell ref="BH260:BL260"/>
    <mergeCell ref="BE261:BG261"/>
    <mergeCell ref="CM254:CS254"/>
    <mergeCell ref="BE255:BG255"/>
    <mergeCell ref="BI255:BM255"/>
    <mergeCell ref="BN255:BT255"/>
    <mergeCell ref="CE255:CJ255"/>
    <mergeCell ref="CM255:CS255"/>
    <mergeCell ref="BE256:BG256"/>
    <mergeCell ref="BI256:BM256"/>
    <mergeCell ref="BN256:BT256"/>
    <mergeCell ref="BE252:CA252"/>
    <mergeCell ref="BE253:BG253"/>
    <mergeCell ref="BH253:BL253"/>
    <mergeCell ref="BE254:BG254"/>
    <mergeCell ref="BI254:BM254"/>
    <mergeCell ref="BN254:BT254"/>
    <mergeCell ref="CE254:CJ254"/>
    <mergeCell ref="CM247:CS247"/>
    <mergeCell ref="CM248:CS248"/>
    <mergeCell ref="BH246:BL246"/>
    <mergeCell ref="BE247:BG247"/>
    <mergeCell ref="BI247:BM247"/>
    <mergeCell ref="BN247:BT247"/>
    <mergeCell ref="BE248:BG248"/>
    <mergeCell ref="BI248:BM248"/>
    <mergeCell ref="BN248:BT248"/>
    <mergeCell ref="CG230:CI230"/>
    <mergeCell ref="CK230:CO230"/>
    <mergeCell ref="CP230:CV230"/>
    <mergeCell ref="BE235:BG235"/>
    <mergeCell ref="BI235:BM235"/>
    <mergeCell ref="BN235:BT235"/>
    <mergeCell ref="BE234:BG234"/>
    <mergeCell ref="BI234:BM234"/>
    <mergeCell ref="BN234:BT234"/>
    <mergeCell ref="BE242:BG242"/>
    <mergeCell ref="BE238:CA238"/>
    <mergeCell ref="BE239:BG239"/>
    <mergeCell ref="BH239:BL239"/>
    <mergeCell ref="BE240:BG240"/>
    <mergeCell ref="BI240:BM240"/>
    <mergeCell ref="BN241:BT241"/>
    <mergeCell ref="BN240:BT240"/>
    <mergeCell ref="BE236:CA236"/>
    <mergeCell ref="BE237:BG237"/>
    <mergeCell ref="BI241:BM241"/>
    <mergeCell ref="BH237:BL237"/>
    <mergeCell ref="BE241:BG241"/>
    <mergeCell ref="CG220:CI220"/>
    <mergeCell ref="CK221:CO221"/>
    <mergeCell ref="CG222:CI222"/>
    <mergeCell ref="BN221:BT221"/>
    <mergeCell ref="CG221:CI221"/>
    <mergeCell ref="BE226:BG226"/>
    <mergeCell ref="CP228:CV228"/>
    <mergeCell ref="CG229:CI229"/>
    <mergeCell ref="CK229:CO229"/>
    <mergeCell ref="BE224:CA224"/>
    <mergeCell ref="BE225:BG225"/>
    <mergeCell ref="BH225:BL225"/>
    <mergeCell ref="CJ226:CN226"/>
    <mergeCell ref="BI226:BM226"/>
    <mergeCell ref="BN226:BT226"/>
    <mergeCell ref="CG227:CI227"/>
    <mergeCell ref="CJ227:CN227"/>
    <mergeCell ref="CG228:CI228"/>
    <mergeCell ref="CK228:CO228"/>
    <mergeCell ref="BE228:BG228"/>
    <mergeCell ref="BI228:BM228"/>
    <mergeCell ref="BN227:BT227"/>
    <mergeCell ref="CK222:CO222"/>
    <mergeCell ref="CP222:CV222"/>
    <mergeCell ref="BE227:BG227"/>
    <mergeCell ref="BI227:BM227"/>
    <mergeCell ref="BN228:BT228"/>
    <mergeCell ref="CP221:CV221"/>
    <mergeCell ref="BE222:BG222"/>
    <mergeCell ref="BI222:BM222"/>
    <mergeCell ref="BN222:BT222"/>
    <mergeCell ref="CP229:CV229"/>
    <mergeCell ref="CG218:DC218"/>
    <mergeCell ref="CC214:CJ214"/>
    <mergeCell ref="CK213:CO213"/>
    <mergeCell ref="CP213:CV213"/>
    <mergeCell ref="CK214:CO214"/>
    <mergeCell ref="CJ211:CN211"/>
    <mergeCell ref="CG212:CI212"/>
    <mergeCell ref="CK212:CO212"/>
    <mergeCell ref="CP212:CV212"/>
    <mergeCell ref="CG213:CI213"/>
    <mergeCell ref="BE219:BG219"/>
    <mergeCell ref="BH219:BL219"/>
    <mergeCell ref="BE218:CA218"/>
    <mergeCell ref="BH212:BL212"/>
    <mergeCell ref="BE215:BG215"/>
    <mergeCell ref="BI215:BM215"/>
    <mergeCell ref="BN215:BT215"/>
    <mergeCell ref="BE214:BG214"/>
    <mergeCell ref="BE212:BG212"/>
    <mergeCell ref="BE213:BG213"/>
    <mergeCell ref="BI213:BM213"/>
    <mergeCell ref="BN213:BT213"/>
    <mergeCell ref="CG219:CI219"/>
    <mergeCell ref="CJ219:CN219"/>
    <mergeCell ref="AM154:BB154"/>
    <mergeCell ref="A24:BB24"/>
    <mergeCell ref="A25:G26"/>
    <mergeCell ref="H25:Y34"/>
    <mergeCell ref="Z25:AB34"/>
    <mergeCell ref="AC25:AG34"/>
    <mergeCell ref="AH25:AM34"/>
    <mergeCell ref="AN25:AR34"/>
    <mergeCell ref="AS25:AW34"/>
    <mergeCell ref="AX25:BB34"/>
    <mergeCell ref="A27:G34"/>
    <mergeCell ref="H35:M35"/>
    <mergeCell ref="AS35:AW35"/>
    <mergeCell ref="AX35:BB35"/>
    <mergeCell ref="CG191:CI191"/>
    <mergeCell ref="CG194:CI194"/>
    <mergeCell ref="CP214:CV214"/>
    <mergeCell ref="BE210:CA210"/>
    <mergeCell ref="CG210:DC210"/>
    <mergeCell ref="CG211:CI211"/>
    <mergeCell ref="BE199:BG199"/>
    <mergeCell ref="BE204:CA204"/>
    <mergeCell ref="BE205:BG205"/>
    <mergeCell ref="BH205:BL205"/>
    <mergeCell ref="BE206:BG206"/>
    <mergeCell ref="BI206:BM206"/>
    <mergeCell ref="BE200:BG200"/>
    <mergeCell ref="BI200:BM200"/>
    <mergeCell ref="BN200:BT200"/>
    <mergeCell ref="BE201:BG201"/>
    <mergeCell ref="BI201:BM201"/>
    <mergeCell ref="BN201:BT201"/>
    <mergeCell ref="A8:BA8"/>
    <mergeCell ref="A9:BA9"/>
    <mergeCell ref="C11:E11"/>
    <mergeCell ref="G11:L11"/>
    <mergeCell ref="N11:Q11"/>
    <mergeCell ref="AH11:AI11"/>
    <mergeCell ref="AJ11:AL11"/>
    <mergeCell ref="AN11:AT11"/>
    <mergeCell ref="AV11:AY11"/>
    <mergeCell ref="U11:AF11"/>
    <mergeCell ref="A13:S13"/>
    <mergeCell ref="U13:W13"/>
    <mergeCell ref="A15:S15"/>
    <mergeCell ref="U15:W15"/>
    <mergeCell ref="A17:S17"/>
    <mergeCell ref="U17:W17"/>
    <mergeCell ref="Y17:AA17"/>
    <mergeCell ref="AX20:BB20"/>
    <mergeCell ref="A21:G23"/>
    <mergeCell ref="AX42:BB44"/>
    <mergeCell ref="H42:Y51"/>
    <mergeCell ref="Z42:AB51"/>
    <mergeCell ref="AX38:BB40"/>
    <mergeCell ref="A41:BB41"/>
    <mergeCell ref="AC42:AG44"/>
    <mergeCell ref="AH42:AM44"/>
    <mergeCell ref="AN42:AR44"/>
    <mergeCell ref="AS42:AW44"/>
    <mergeCell ref="A38:G40"/>
    <mergeCell ref="H38:AB40"/>
    <mergeCell ref="AC38:AG40"/>
    <mergeCell ref="AH38:AM40"/>
    <mergeCell ref="AN38:AR40"/>
    <mergeCell ref="AS38:AW40"/>
    <mergeCell ref="A42:G51"/>
    <mergeCell ref="AX36:BB36"/>
    <mergeCell ref="H21:AB23"/>
    <mergeCell ref="AC21:AG23"/>
    <mergeCell ref="AH21:AM23"/>
    <mergeCell ref="AN21:AR23"/>
    <mergeCell ref="AS21:AW23"/>
    <mergeCell ref="AX21:BB23"/>
    <mergeCell ref="AO36:AR36"/>
    <mergeCell ref="AS36:AW36"/>
    <mergeCell ref="AX55:BB57"/>
    <mergeCell ref="A58:BB58"/>
    <mergeCell ref="A59:G63"/>
    <mergeCell ref="AC59:AG63"/>
    <mergeCell ref="AH59:AM63"/>
    <mergeCell ref="AN59:AR63"/>
    <mergeCell ref="AS59:AW63"/>
    <mergeCell ref="AX59:BB63"/>
    <mergeCell ref="H60:M60"/>
    <mergeCell ref="A55:G57"/>
    <mergeCell ref="H55:AB57"/>
    <mergeCell ref="AC55:AG57"/>
    <mergeCell ref="AH55:AM57"/>
    <mergeCell ref="AN55:AR57"/>
    <mergeCell ref="AS55:AW57"/>
    <mergeCell ref="H52:K52"/>
    <mergeCell ref="AS52:AW52"/>
    <mergeCell ref="AX52:BB52"/>
    <mergeCell ref="AO53:AR53"/>
    <mergeCell ref="AS53:AW53"/>
    <mergeCell ref="AX53:BB53"/>
    <mergeCell ref="N60:Q60"/>
    <mergeCell ref="H62:X62"/>
    <mergeCell ref="A64:G68"/>
    <mergeCell ref="AC64:AG68"/>
    <mergeCell ref="AH74:AM78"/>
    <mergeCell ref="AN74:AR78"/>
    <mergeCell ref="AS74:AW78"/>
    <mergeCell ref="AH64:AM68"/>
    <mergeCell ref="AN64:AR68"/>
    <mergeCell ref="AS64:AW68"/>
    <mergeCell ref="AX64:BB68"/>
    <mergeCell ref="H65:M65"/>
    <mergeCell ref="N65:P65"/>
    <mergeCell ref="R65:V65"/>
    <mergeCell ref="I67:K67"/>
    <mergeCell ref="R60:V60"/>
    <mergeCell ref="Z62:AB62"/>
    <mergeCell ref="M67:O67"/>
    <mergeCell ref="Q67:S67"/>
    <mergeCell ref="U67:W67"/>
    <mergeCell ref="Z67:AB67"/>
    <mergeCell ref="AH69:AM73"/>
    <mergeCell ref="AN69:AR73"/>
    <mergeCell ref="AS69:AW73"/>
    <mergeCell ref="AX69:BB73"/>
    <mergeCell ref="H70:M70"/>
    <mergeCell ref="N70:P70"/>
    <mergeCell ref="R70:V70"/>
    <mergeCell ref="I72:K72"/>
    <mergeCell ref="M72:O72"/>
    <mergeCell ref="Q72:S72"/>
    <mergeCell ref="M77:O77"/>
    <mergeCell ref="Q77:S77"/>
    <mergeCell ref="U77:W77"/>
    <mergeCell ref="Z77:AB77"/>
    <mergeCell ref="A69:G73"/>
    <mergeCell ref="AC69:AG73"/>
    <mergeCell ref="U72:W72"/>
    <mergeCell ref="Z72:AB72"/>
    <mergeCell ref="AX79:BB83"/>
    <mergeCell ref="H80:M80"/>
    <mergeCell ref="N80:P80"/>
    <mergeCell ref="R80:V80"/>
    <mergeCell ref="I82:K82"/>
    <mergeCell ref="M82:O82"/>
    <mergeCell ref="Q82:S82"/>
    <mergeCell ref="AS84:AW84"/>
    <mergeCell ref="AX84:BB84"/>
    <mergeCell ref="A79:G83"/>
    <mergeCell ref="AC79:AG83"/>
    <mergeCell ref="U82:W82"/>
    <mergeCell ref="Z82:AB82"/>
    <mergeCell ref="A74:G78"/>
    <mergeCell ref="AC74:AG78"/>
    <mergeCell ref="AH79:AM83"/>
    <mergeCell ref="AN79:AR83"/>
    <mergeCell ref="AS79:AW83"/>
    <mergeCell ref="AX74:BB78"/>
    <mergeCell ref="H75:M75"/>
    <mergeCell ref="N75:P75"/>
    <mergeCell ref="R75:V75"/>
    <mergeCell ref="I77:K77"/>
    <mergeCell ref="AO85:AR85"/>
    <mergeCell ref="AS85:AW85"/>
    <mergeCell ref="AX85:BB85"/>
    <mergeCell ref="A87:N87"/>
    <mergeCell ref="O87:AN87"/>
    <mergeCell ref="AO87:AU87"/>
    <mergeCell ref="AV87:BB87"/>
    <mergeCell ref="AV93:BB93"/>
    <mergeCell ref="A94:P94"/>
    <mergeCell ref="Q94:W94"/>
    <mergeCell ref="X94:AD94"/>
    <mergeCell ref="AE94:AL94"/>
    <mergeCell ref="AM94:AU94"/>
    <mergeCell ref="AV94:BB94"/>
    <mergeCell ref="O88:AN88"/>
    <mergeCell ref="AO88:AU88"/>
    <mergeCell ref="AV88:BB88"/>
    <mergeCell ref="AO89:AU89"/>
    <mergeCell ref="AV89:BB89"/>
    <mergeCell ref="A93:P93"/>
    <mergeCell ref="Q93:W93"/>
    <mergeCell ref="X93:AD93"/>
    <mergeCell ref="AE93:AL93"/>
    <mergeCell ref="AM93:AU93"/>
    <mergeCell ref="AV96:BB96"/>
    <mergeCell ref="A97:P97"/>
    <mergeCell ref="AE97:AL97"/>
    <mergeCell ref="AN97:AP97"/>
    <mergeCell ref="AQ97:AT97"/>
    <mergeCell ref="AV97:BB97"/>
    <mergeCell ref="A95:P95"/>
    <mergeCell ref="Q95:W98"/>
    <mergeCell ref="X95:AD98"/>
    <mergeCell ref="AE95:AL95"/>
    <mergeCell ref="AM95:AU95"/>
    <mergeCell ref="AV95:BB95"/>
    <mergeCell ref="A96:P96"/>
    <mergeCell ref="AE96:AL96"/>
    <mergeCell ref="AN96:AP96"/>
    <mergeCell ref="AQ96:AT96"/>
    <mergeCell ref="A98:P98"/>
    <mergeCell ref="AE98:AL98"/>
    <mergeCell ref="AV98:BB98"/>
    <mergeCell ref="A104:Z104"/>
    <mergeCell ref="AA104:AF104"/>
    <mergeCell ref="AG104:AL104"/>
    <mergeCell ref="AM104:AT104"/>
    <mergeCell ref="AU104:BB104"/>
    <mergeCell ref="AU107:BB107"/>
    <mergeCell ref="A108:Z108"/>
    <mergeCell ref="AA108:AF108"/>
    <mergeCell ref="AU108:BB108"/>
    <mergeCell ref="A99:P99"/>
    <mergeCell ref="Q99:W99"/>
    <mergeCell ref="X99:AD99"/>
    <mergeCell ref="AE99:AL99"/>
    <mergeCell ref="AM99:AU99"/>
    <mergeCell ref="AV99:BB99"/>
    <mergeCell ref="A103:Z103"/>
    <mergeCell ref="AA103:AF103"/>
    <mergeCell ref="AG103:AL103"/>
    <mergeCell ref="AM103:AT103"/>
    <mergeCell ref="AU103:BB103"/>
    <mergeCell ref="A109:Z109"/>
    <mergeCell ref="AA109:AF109"/>
    <mergeCell ref="AU109:BB109"/>
    <mergeCell ref="A105:Z105"/>
    <mergeCell ref="AA105:AF105"/>
    <mergeCell ref="AG105:AL125"/>
    <mergeCell ref="AM105:AT125"/>
    <mergeCell ref="AU105:BB105"/>
    <mergeCell ref="A106:Z106"/>
    <mergeCell ref="AA106:AF106"/>
    <mergeCell ref="AU106:BB106"/>
    <mergeCell ref="AA107:AF107"/>
    <mergeCell ref="A112:Z112"/>
    <mergeCell ref="AA112:AF112"/>
    <mergeCell ref="AU112:BB112"/>
    <mergeCell ref="A113:Z113"/>
    <mergeCell ref="AA113:AF113"/>
    <mergeCell ref="AU113:BB113"/>
    <mergeCell ref="A107:Z107"/>
    <mergeCell ref="AA110:AF110"/>
    <mergeCell ref="AU110:BB110"/>
    <mergeCell ref="A111:Z111"/>
    <mergeCell ref="AA111:AF111"/>
    <mergeCell ref="AU111:BB111"/>
    <mergeCell ref="A118:Z118"/>
    <mergeCell ref="AA118:AF118"/>
    <mergeCell ref="AU118:BB118"/>
    <mergeCell ref="A119:Z119"/>
    <mergeCell ref="AA119:AF119"/>
    <mergeCell ref="AU119:BB119"/>
    <mergeCell ref="A116:Z116"/>
    <mergeCell ref="AA116:AF116"/>
    <mergeCell ref="AU116:BB116"/>
    <mergeCell ref="A117:Z117"/>
    <mergeCell ref="AA117:AF117"/>
    <mergeCell ref="AU117:BB117"/>
    <mergeCell ref="A114:Z114"/>
    <mergeCell ref="AA114:AF114"/>
    <mergeCell ref="AU114:BB114"/>
    <mergeCell ref="A115:Z115"/>
    <mergeCell ref="AA115:AF115"/>
    <mergeCell ref="AU115:BB115"/>
    <mergeCell ref="A125:Z125"/>
    <mergeCell ref="AA125:AF125"/>
    <mergeCell ref="AU125:BB125"/>
    <mergeCell ref="A122:Z122"/>
    <mergeCell ref="AA122:AF122"/>
    <mergeCell ref="AU122:BB122"/>
    <mergeCell ref="A123:Z123"/>
    <mergeCell ref="AA123:AF123"/>
    <mergeCell ref="AU123:BB123"/>
    <mergeCell ref="A124:Z124"/>
    <mergeCell ref="AA124:AF124"/>
    <mergeCell ref="AU124:BB124"/>
    <mergeCell ref="A120:Z120"/>
    <mergeCell ref="AA120:AF120"/>
    <mergeCell ref="AU120:BB120"/>
    <mergeCell ref="A121:Z121"/>
    <mergeCell ref="AA121:AF121"/>
    <mergeCell ref="AU121:BB121"/>
    <mergeCell ref="A131:Z131"/>
    <mergeCell ref="AA131:AF131"/>
    <mergeCell ref="AG131:AL131"/>
    <mergeCell ref="AM131:AT131"/>
    <mergeCell ref="AU131:BB131"/>
    <mergeCell ref="A132:Z132"/>
    <mergeCell ref="AA132:AF132"/>
    <mergeCell ref="AG132:AL137"/>
    <mergeCell ref="AM132:AT137"/>
    <mergeCell ref="AU132:BB132"/>
    <mergeCell ref="A137:Z137"/>
    <mergeCell ref="AA137:AF137"/>
    <mergeCell ref="AU137:BB137"/>
    <mergeCell ref="A126:Z126"/>
    <mergeCell ref="AA126:AF126"/>
    <mergeCell ref="AG126:AL126"/>
    <mergeCell ref="AM126:AT126"/>
    <mergeCell ref="AU126:BB126"/>
    <mergeCell ref="A130:Z130"/>
    <mergeCell ref="AA130:AF130"/>
    <mergeCell ref="AG130:AL130"/>
    <mergeCell ref="AM130:AT130"/>
    <mergeCell ref="AU130:BB130"/>
    <mergeCell ref="A138:Z138"/>
    <mergeCell ref="AA138:AF138"/>
    <mergeCell ref="AG138:AL138"/>
    <mergeCell ref="AM138:AT138"/>
    <mergeCell ref="AU138:BB138"/>
    <mergeCell ref="A135:Z135"/>
    <mergeCell ref="AA135:AF135"/>
    <mergeCell ref="AU135:BB135"/>
    <mergeCell ref="A136:Z136"/>
    <mergeCell ref="AA136:AF136"/>
    <mergeCell ref="AU136:BB136"/>
    <mergeCell ref="A133:Z133"/>
    <mergeCell ref="AA133:AF133"/>
    <mergeCell ref="AU133:BB133"/>
    <mergeCell ref="A134:Z134"/>
    <mergeCell ref="AA134:AF134"/>
    <mergeCell ref="AU134:BB134"/>
    <mergeCell ref="AQ144:AT144"/>
    <mergeCell ref="AD142:AP142"/>
    <mergeCell ref="AQ142:AT142"/>
    <mergeCell ref="AU142:AX142"/>
    <mergeCell ref="AY142:BB142"/>
    <mergeCell ref="H143:L143"/>
    <mergeCell ref="M143:Q143"/>
    <mergeCell ref="AD143:AI143"/>
    <mergeCell ref="AJ143:AP143"/>
    <mergeCell ref="AQ143:AT143"/>
    <mergeCell ref="AU143:AX143"/>
    <mergeCell ref="H142:L142"/>
    <mergeCell ref="M142:Q142"/>
    <mergeCell ref="R142:U143"/>
    <mergeCell ref="V142:Y143"/>
    <mergeCell ref="Z142:AC143"/>
    <mergeCell ref="AY143:BB143"/>
    <mergeCell ref="A142:G143"/>
    <mergeCell ref="AU144:AX144"/>
    <mergeCell ref="AY144:BB144"/>
    <mergeCell ref="A145:G145"/>
    <mergeCell ref="H145:L145"/>
    <mergeCell ref="M145:Q145"/>
    <mergeCell ref="R145:U148"/>
    <mergeCell ref="V145:Y148"/>
    <mergeCell ref="Z145:AC148"/>
    <mergeCell ref="AD145:AI145"/>
    <mergeCell ref="AJ145:AP145"/>
    <mergeCell ref="AQ145:AT145"/>
    <mergeCell ref="AU145:AX145"/>
    <mergeCell ref="AY145:BB145"/>
    <mergeCell ref="A146:G146"/>
    <mergeCell ref="H146:L146"/>
    <mergeCell ref="M146:Q146"/>
    <mergeCell ref="AD146:AI146"/>
    <mergeCell ref="AJ146:AP146"/>
    <mergeCell ref="AQ146:AT146"/>
    <mergeCell ref="AU146:AX146"/>
    <mergeCell ref="AY146:BB146"/>
    <mergeCell ref="A147:G147"/>
    <mergeCell ref="H147:L147"/>
    <mergeCell ref="A144:G144"/>
    <mergeCell ref="H144:L144"/>
    <mergeCell ref="M144:Q144"/>
    <mergeCell ref="R144:U144"/>
    <mergeCell ref="V144:Y144"/>
    <mergeCell ref="Z144:AC144"/>
    <mergeCell ref="AD144:AI144"/>
    <mergeCell ref="AJ144:AP144"/>
    <mergeCell ref="A151:G151"/>
    <mergeCell ref="H151:L151"/>
    <mergeCell ref="M151:Q151"/>
    <mergeCell ref="R151:U151"/>
    <mergeCell ref="V151:Y151"/>
    <mergeCell ref="Z151:AC151"/>
    <mergeCell ref="M147:Q147"/>
    <mergeCell ref="AD147:AI147"/>
    <mergeCell ref="AJ147:AP147"/>
    <mergeCell ref="AQ147:AT147"/>
    <mergeCell ref="AU147:AX147"/>
    <mergeCell ref="AY147:BB147"/>
    <mergeCell ref="AU148:AX148"/>
    <mergeCell ref="AY148:BB148"/>
    <mergeCell ref="AQ148:AT148"/>
    <mergeCell ref="AQ149:AT149"/>
    <mergeCell ref="AU149:AX149"/>
    <mergeCell ref="A149:G149"/>
    <mergeCell ref="H149:L149"/>
    <mergeCell ref="M149:Q149"/>
    <mergeCell ref="R149:U149"/>
    <mergeCell ref="V149:Y149"/>
    <mergeCell ref="Z149:AC149"/>
    <mergeCell ref="AD149:AI149"/>
    <mergeCell ref="AJ149:AP149"/>
    <mergeCell ref="A148:G148"/>
    <mergeCell ref="H148:L148"/>
    <mergeCell ref="M148:Q148"/>
    <mergeCell ref="AD148:AI148"/>
    <mergeCell ref="AJ148:AP148"/>
    <mergeCell ref="BE157:CA157"/>
    <mergeCell ref="BE159:BG159"/>
    <mergeCell ref="BH159:BL159"/>
    <mergeCell ref="BE160:BG160"/>
    <mergeCell ref="BI160:BM160"/>
    <mergeCell ref="BN160:BT160"/>
    <mergeCell ref="BE161:BG161"/>
    <mergeCell ref="BI161:BM161"/>
    <mergeCell ref="BN161:BT161"/>
    <mergeCell ref="A110:Z110"/>
    <mergeCell ref="BC152:BD152"/>
    <mergeCell ref="BC153:BD153"/>
    <mergeCell ref="BC154:BD154"/>
    <mergeCell ref="B154:S154"/>
    <mergeCell ref="B155:S156"/>
    <mergeCell ref="AY149:BB149"/>
    <mergeCell ref="A150:F150"/>
    <mergeCell ref="H150:L150"/>
    <mergeCell ref="M150:Q150"/>
    <mergeCell ref="R150:U150"/>
    <mergeCell ref="V150:Y150"/>
    <mergeCell ref="Z150:AC150"/>
    <mergeCell ref="AD150:AI150"/>
    <mergeCell ref="AD151:AI151"/>
    <mergeCell ref="AJ151:AP151"/>
    <mergeCell ref="AQ151:AT151"/>
    <mergeCell ref="AU151:AX151"/>
    <mergeCell ref="AY151:BB151"/>
    <mergeCell ref="AJ150:AP150"/>
    <mergeCell ref="AQ150:AT150"/>
    <mergeCell ref="AU150:AX150"/>
    <mergeCell ref="AY150:BB150"/>
    <mergeCell ref="CG162:CI162"/>
    <mergeCell ref="CK162:CO162"/>
    <mergeCell ref="CP162:CV162"/>
    <mergeCell ref="CG157:DC157"/>
    <mergeCell ref="CG159:CI159"/>
    <mergeCell ref="CJ159:CN159"/>
    <mergeCell ref="CG160:CI160"/>
    <mergeCell ref="CK160:CO160"/>
    <mergeCell ref="CP160:CV160"/>
    <mergeCell ref="CG161:CI161"/>
    <mergeCell ref="CK161:CO161"/>
    <mergeCell ref="CP161:CV161"/>
    <mergeCell ref="BN176:BT176"/>
    <mergeCell ref="BE177:BG177"/>
    <mergeCell ref="BI177:BM177"/>
    <mergeCell ref="BN177:BT177"/>
    <mergeCell ref="BE178:BG178"/>
    <mergeCell ref="BI178:BM178"/>
    <mergeCell ref="BN178:BT178"/>
    <mergeCell ref="BE169:BG169"/>
    <mergeCell ref="BI169:BM169"/>
    <mergeCell ref="BN169:BT169"/>
    <mergeCell ref="BE170:BG170"/>
    <mergeCell ref="BI170:BM170"/>
    <mergeCell ref="BN170:BT170"/>
    <mergeCell ref="BE174:CA174"/>
    <mergeCell ref="BE175:BG175"/>
    <mergeCell ref="BH175:BL175"/>
    <mergeCell ref="BE162:BG162"/>
    <mergeCell ref="BI162:BM162"/>
    <mergeCell ref="BN162:BT162"/>
    <mergeCell ref="BE166:CA166"/>
    <mergeCell ref="BN184:BT184"/>
    <mergeCell ref="BE185:BG185"/>
    <mergeCell ref="BI185:BM185"/>
    <mergeCell ref="BN185:BT185"/>
    <mergeCell ref="BE176:BG176"/>
    <mergeCell ref="BI176:BM176"/>
    <mergeCell ref="CG178:CI178"/>
    <mergeCell ref="CG170:CI170"/>
    <mergeCell ref="CK170:CO170"/>
    <mergeCell ref="CP170:CV170"/>
    <mergeCell ref="CG166:DC166"/>
    <mergeCell ref="CG167:CI167"/>
    <mergeCell ref="CJ167:CN167"/>
    <mergeCell ref="CG168:CI168"/>
    <mergeCell ref="CK168:CO168"/>
    <mergeCell ref="CP168:CV168"/>
    <mergeCell ref="CG169:CI169"/>
    <mergeCell ref="CK169:CO169"/>
    <mergeCell ref="CP169:CV169"/>
    <mergeCell ref="BE167:BG167"/>
    <mergeCell ref="BH167:BL167"/>
    <mergeCell ref="BE168:BG168"/>
    <mergeCell ref="BI168:BM168"/>
    <mergeCell ref="BN168:BT168"/>
    <mergeCell ref="CK178:CO178"/>
    <mergeCell ref="CP178:CV178"/>
    <mergeCell ref="CG182:DC182"/>
    <mergeCell ref="CP193:CV193"/>
    <mergeCell ref="BE193:BG193"/>
    <mergeCell ref="BI193:BM193"/>
    <mergeCell ref="BN193:BT193"/>
    <mergeCell ref="CK220:CO220"/>
    <mergeCell ref="CP220:CV220"/>
    <mergeCell ref="BE221:BG221"/>
    <mergeCell ref="CG183:CI183"/>
    <mergeCell ref="CJ183:CN183"/>
    <mergeCell ref="CG184:CI184"/>
    <mergeCell ref="CK184:CO184"/>
    <mergeCell ref="CP184:CV184"/>
    <mergeCell ref="CG174:DC174"/>
    <mergeCell ref="CG175:CI175"/>
    <mergeCell ref="CJ175:CN175"/>
    <mergeCell ref="CG176:CI176"/>
    <mergeCell ref="CK176:CO176"/>
    <mergeCell ref="CP176:CV176"/>
    <mergeCell ref="CG177:CI177"/>
    <mergeCell ref="CK177:CO177"/>
    <mergeCell ref="CP177:CV177"/>
    <mergeCell ref="BE189:CA189"/>
    <mergeCell ref="BE191:BG191"/>
    <mergeCell ref="BE192:BG192"/>
    <mergeCell ref="BI192:BM192"/>
    <mergeCell ref="BN192:BT192"/>
    <mergeCell ref="BE190:CA190"/>
    <mergeCell ref="BE182:CA182"/>
    <mergeCell ref="BE183:BG183"/>
    <mergeCell ref="BH183:BL183"/>
    <mergeCell ref="BE184:BG184"/>
    <mergeCell ref="BI184:BM184"/>
    <mergeCell ref="BE208:BG208"/>
    <mergeCell ref="BI208:BM208"/>
    <mergeCell ref="BN208:BT208"/>
    <mergeCell ref="BI221:BM221"/>
    <mergeCell ref="BE220:BG220"/>
    <mergeCell ref="BI220:BM220"/>
    <mergeCell ref="BN220:BT220"/>
    <mergeCell ref="BE244:BG244"/>
    <mergeCell ref="BI244:BM244"/>
    <mergeCell ref="BN244:BT244"/>
    <mergeCell ref="BE194:BG194"/>
    <mergeCell ref="BI194:BM194"/>
    <mergeCell ref="BN194:BT194"/>
    <mergeCell ref="BH191:BL191"/>
    <mergeCell ref="CG185:CI185"/>
    <mergeCell ref="CK185:CO185"/>
    <mergeCell ref="CP185:CV185"/>
    <mergeCell ref="CG186:CI186"/>
    <mergeCell ref="CK186:CO186"/>
    <mergeCell ref="CP186:CV186"/>
    <mergeCell ref="BE186:BG186"/>
    <mergeCell ref="BI186:BM186"/>
    <mergeCell ref="BN186:BT186"/>
    <mergeCell ref="CK194:CO194"/>
    <mergeCell ref="CP194:CV194"/>
    <mergeCell ref="CG190:DC190"/>
    <mergeCell ref="CJ191:CN191"/>
    <mergeCell ref="CG192:CI192"/>
    <mergeCell ref="CK192:CO192"/>
    <mergeCell ref="CP192:CV192"/>
    <mergeCell ref="CG193:CI193"/>
    <mergeCell ref="CK193:CO193"/>
    <mergeCell ref="BE310:BG310"/>
    <mergeCell ref="BI310:BM310"/>
    <mergeCell ref="BN310:BT310"/>
    <mergeCell ref="BE317:CA317"/>
    <mergeCell ref="BE318:BG318"/>
    <mergeCell ref="BH318:BL318"/>
    <mergeCell ref="BE287:CA287"/>
    <mergeCell ref="BE288:BG288"/>
    <mergeCell ref="BH288:BL288"/>
    <mergeCell ref="BE301:CA301"/>
    <mergeCell ref="BE294:CA294"/>
    <mergeCell ref="BE291:BG291"/>
    <mergeCell ref="BI291:BM291"/>
    <mergeCell ref="BN291:BT291"/>
    <mergeCell ref="BE197:CA197"/>
    <mergeCell ref="BE198:BG198"/>
    <mergeCell ref="BH198:BL198"/>
    <mergeCell ref="BI199:BM199"/>
    <mergeCell ref="BN199:BT199"/>
    <mergeCell ref="BE211:CA211"/>
    <mergeCell ref="BI214:BM214"/>
    <mergeCell ref="BN214:BT214"/>
    <mergeCell ref="BE233:BG233"/>
    <mergeCell ref="BI233:BM233"/>
    <mergeCell ref="BN233:BT233"/>
    <mergeCell ref="BE231:CA231"/>
    <mergeCell ref="BE232:BG232"/>
    <mergeCell ref="BH232:BL232"/>
    <mergeCell ref="BN206:BT206"/>
    <mergeCell ref="BE207:BG207"/>
    <mergeCell ref="BI207:BM207"/>
    <mergeCell ref="BN207:BT207"/>
    <mergeCell ref="CM289:CS289"/>
    <mergeCell ref="BI321:BM321"/>
    <mergeCell ref="BN321:BT321"/>
    <mergeCell ref="BI289:BM289"/>
    <mergeCell ref="BN289:BT289"/>
    <mergeCell ref="CE289:CJ289"/>
    <mergeCell ref="BE289:BG289"/>
    <mergeCell ref="BE290:BG290"/>
    <mergeCell ref="BI290:BM290"/>
    <mergeCell ref="BH302:BL302"/>
    <mergeCell ref="BE303:BG303"/>
    <mergeCell ref="BI303:BM303"/>
    <mergeCell ref="BN303:BT303"/>
    <mergeCell ref="CE303:CJ303"/>
    <mergeCell ref="CM303:CS303"/>
    <mergeCell ref="BE304:BG304"/>
    <mergeCell ref="BI304:BM304"/>
    <mergeCell ref="BN304:BT304"/>
    <mergeCell ref="CE304:CJ304"/>
    <mergeCell ref="CM304:CS304"/>
    <mergeCell ref="BE298:BG298"/>
    <mergeCell ref="BI298:BM298"/>
    <mergeCell ref="BN298:BT298"/>
    <mergeCell ref="CM319:CS319"/>
    <mergeCell ref="BE320:BG320"/>
    <mergeCell ref="BI320:BM320"/>
    <mergeCell ref="BN320:BT320"/>
    <mergeCell ref="CE320:CJ320"/>
    <mergeCell ref="BN305:BT305"/>
    <mergeCell ref="BE308:CA308"/>
    <mergeCell ref="BE309:BG309"/>
    <mergeCell ref="BH309:BL309"/>
    <mergeCell ref="CE276:CJ276"/>
    <mergeCell ref="BE302:BG302"/>
    <mergeCell ref="BI268:BM268"/>
    <mergeCell ref="BH281:BL281"/>
    <mergeCell ref="BE281:BG281"/>
    <mergeCell ref="BE273:CA273"/>
    <mergeCell ref="BE274:BG274"/>
    <mergeCell ref="BH274:BL274"/>
    <mergeCell ref="BE275:BG275"/>
    <mergeCell ref="BI275:BM275"/>
    <mergeCell ref="BN275:BT275"/>
    <mergeCell ref="CE275:CJ275"/>
    <mergeCell ref="BE284:BG284"/>
    <mergeCell ref="BI284:BM284"/>
    <mergeCell ref="BN284:BT284"/>
    <mergeCell ref="BN290:BT290"/>
    <mergeCell ref="CE290:CJ290"/>
    <mergeCell ref="BE357:BG357"/>
    <mergeCell ref="BI357:BM357"/>
    <mergeCell ref="BE346:CA346"/>
    <mergeCell ref="BE347:BG347"/>
    <mergeCell ref="BE364:BG364"/>
    <mergeCell ref="BI364:BM364"/>
    <mergeCell ref="BN364:BT364"/>
    <mergeCell ref="CE364:CJ364"/>
    <mergeCell ref="CM364:CS364"/>
    <mergeCell ref="BN357:BT357"/>
    <mergeCell ref="CE357:CJ357"/>
    <mergeCell ref="BE245:CA245"/>
    <mergeCell ref="BE246:BG246"/>
    <mergeCell ref="BE295:BG295"/>
    <mergeCell ref="BH295:BL295"/>
    <mergeCell ref="BE296:BG296"/>
    <mergeCell ref="BI296:BM296"/>
    <mergeCell ref="BN296:BT296"/>
    <mergeCell ref="CE296:CJ296"/>
    <mergeCell ref="CM296:CS296"/>
    <mergeCell ref="BE297:BG297"/>
    <mergeCell ref="BI297:BM297"/>
    <mergeCell ref="BN297:BT297"/>
    <mergeCell ref="CE297:CJ297"/>
    <mergeCell ref="CM297:CS297"/>
    <mergeCell ref="CE310:CJ310"/>
    <mergeCell ref="CM310:CS310"/>
    <mergeCell ref="BE311:BG311"/>
    <mergeCell ref="CM290:CS290"/>
    <mergeCell ref="BE305:BG305"/>
    <mergeCell ref="BI305:BM305"/>
    <mergeCell ref="BN276:BT276"/>
    <mergeCell ref="BE342:BG342"/>
    <mergeCell ref="BI342:BM342"/>
    <mergeCell ref="BN342:BT342"/>
    <mergeCell ref="CE342:CJ342"/>
    <mergeCell ref="CM342:CS342"/>
    <mergeCell ref="BE343:BG343"/>
    <mergeCell ref="BI343:BM343"/>
    <mergeCell ref="BN343:BT343"/>
    <mergeCell ref="BE350:BG350"/>
    <mergeCell ref="BI350:BM350"/>
    <mergeCell ref="BN350:BT350"/>
    <mergeCell ref="BE354:CA354"/>
    <mergeCell ref="BE355:BG355"/>
    <mergeCell ref="BH355:BL355"/>
    <mergeCell ref="BE356:BG356"/>
    <mergeCell ref="BI356:BM356"/>
    <mergeCell ref="BN356:BT356"/>
    <mergeCell ref="CE356:CJ356"/>
    <mergeCell ref="CM356:CS356"/>
    <mergeCell ref="CE388:CJ388"/>
    <mergeCell ref="CM388:CS388"/>
    <mergeCell ref="BE403:BG403"/>
    <mergeCell ref="BI403:BM403"/>
    <mergeCell ref="BN403:BT403"/>
    <mergeCell ref="BE399:CA399"/>
    <mergeCell ref="BE400:BG400"/>
    <mergeCell ref="BH400:BL400"/>
    <mergeCell ref="BE401:BG401"/>
    <mergeCell ref="BI401:BM401"/>
    <mergeCell ref="BN401:BT401"/>
    <mergeCell ref="CE401:CJ401"/>
    <mergeCell ref="CM401:CS401"/>
    <mergeCell ref="BE402:BG402"/>
    <mergeCell ref="BI402:BM402"/>
    <mergeCell ref="BN402:BT402"/>
    <mergeCell ref="CE402:CJ402"/>
    <mergeCell ref="CM402:CS402"/>
    <mergeCell ref="CE394:CJ394"/>
    <mergeCell ref="CM394:CS394"/>
    <mergeCell ref="BE395:BG395"/>
    <mergeCell ref="BI395:BM395"/>
    <mergeCell ref="BN395:BT395"/>
    <mergeCell ref="CE395:CJ395"/>
    <mergeCell ref="CM395:CS395"/>
    <mergeCell ref="BE396:BG396"/>
    <mergeCell ref="BI396:BM396"/>
    <mergeCell ref="CE408:CJ408"/>
    <mergeCell ref="CM408:CS408"/>
    <mergeCell ref="BE409:BG409"/>
    <mergeCell ref="BI409:BM409"/>
    <mergeCell ref="BN409:BT409"/>
    <mergeCell ref="CE409:CJ409"/>
    <mergeCell ref="CM409:CS409"/>
    <mergeCell ref="BE410:BG410"/>
    <mergeCell ref="BI410:BM410"/>
    <mergeCell ref="BN410:BT410"/>
    <mergeCell ref="BE413:CA413"/>
    <mergeCell ref="BE427:CA427"/>
    <mergeCell ref="BE428:BG428"/>
    <mergeCell ref="BH428:BL428"/>
    <mergeCell ref="BE429:BG429"/>
    <mergeCell ref="BI429:BM429"/>
    <mergeCell ref="BN429:BT429"/>
    <mergeCell ref="CE429:CJ429"/>
    <mergeCell ref="CM429:CS429"/>
    <mergeCell ref="BE420:CA420"/>
    <mergeCell ref="BE421:BG421"/>
    <mergeCell ref="BH421:BL421"/>
    <mergeCell ref="BE422:BG422"/>
    <mergeCell ref="BI422:BM422"/>
    <mergeCell ref="BN422:BT422"/>
    <mergeCell ref="CE422:CJ422"/>
    <mergeCell ref="CM422:CS422"/>
    <mergeCell ref="BE423:BG423"/>
    <mergeCell ref="BI423:BM423"/>
    <mergeCell ref="BN423:BT423"/>
    <mergeCell ref="CE423:CJ423"/>
    <mergeCell ref="CM423:CS423"/>
    <mergeCell ref="CM444:CS444"/>
    <mergeCell ref="BE445:BG445"/>
    <mergeCell ref="BI445:BM445"/>
    <mergeCell ref="BN445:BT445"/>
    <mergeCell ref="BE434:CA434"/>
    <mergeCell ref="BE435:BG435"/>
    <mergeCell ref="BH435:BL435"/>
    <mergeCell ref="BE436:BG436"/>
    <mergeCell ref="BI436:BM436"/>
    <mergeCell ref="BN436:BT436"/>
    <mergeCell ref="CE436:CJ436"/>
    <mergeCell ref="CM436:CS436"/>
    <mergeCell ref="BE437:BG437"/>
    <mergeCell ref="BI437:BM437"/>
    <mergeCell ref="BN437:BT437"/>
    <mergeCell ref="CE437:CJ437"/>
    <mergeCell ref="CM437:CS437"/>
    <mergeCell ref="BE438:BG438"/>
    <mergeCell ref="BI438:BM438"/>
    <mergeCell ref="AS2:BC2"/>
    <mergeCell ref="AM156:BB156"/>
    <mergeCell ref="A377:F377"/>
    <mergeCell ref="BE487:CA487"/>
    <mergeCell ref="BE488:BG488"/>
    <mergeCell ref="BH488:BL488"/>
    <mergeCell ref="BE489:BG489"/>
    <mergeCell ref="BI489:BM489"/>
    <mergeCell ref="BN489:BT489"/>
    <mergeCell ref="CE489:CJ489"/>
    <mergeCell ref="CM489:CS489"/>
    <mergeCell ref="BE490:BG490"/>
    <mergeCell ref="BI490:BM490"/>
    <mergeCell ref="BN490:BT490"/>
    <mergeCell ref="CE490:CJ490"/>
    <mergeCell ref="CM490:CS490"/>
    <mergeCell ref="BE491:BG491"/>
    <mergeCell ref="BI491:BM491"/>
    <mergeCell ref="BN491:BT491"/>
    <mergeCell ref="BN438:BT438"/>
    <mergeCell ref="BE441:CA441"/>
    <mergeCell ref="BE480:CA480"/>
    <mergeCell ref="BE481:BG481"/>
    <mergeCell ref="BH481:BL481"/>
    <mergeCell ref="BE482:BG482"/>
    <mergeCell ref="BI482:BM482"/>
    <mergeCell ref="BN482:BT482"/>
    <mergeCell ref="CE482:CJ482"/>
    <mergeCell ref="CM482:CS482"/>
    <mergeCell ref="BE483:BG483"/>
    <mergeCell ref="BI483:BM483"/>
    <mergeCell ref="BN483:BT483"/>
    <mergeCell ref="CM387:CS387"/>
    <mergeCell ref="CE387:CJ387"/>
    <mergeCell ref="CM380:CS380"/>
    <mergeCell ref="CE380:CJ380"/>
    <mergeCell ref="BN380:BT380"/>
    <mergeCell ref="BI380:BM380"/>
    <mergeCell ref="BE380:BG380"/>
    <mergeCell ref="BH379:BL379"/>
    <mergeCell ref="BE379:BG379"/>
    <mergeCell ref="BE378:CA378"/>
    <mergeCell ref="BE494:CA494"/>
    <mergeCell ref="BE495:BG495"/>
    <mergeCell ref="BH495:BL495"/>
    <mergeCell ref="BE496:BG496"/>
    <mergeCell ref="BI496:BM496"/>
    <mergeCell ref="BN496:BT496"/>
    <mergeCell ref="CE496:CJ496"/>
    <mergeCell ref="CM496:CS496"/>
    <mergeCell ref="CE483:CJ483"/>
    <mergeCell ref="CM483:CS483"/>
    <mergeCell ref="BE484:BG484"/>
    <mergeCell ref="BI484:BM484"/>
    <mergeCell ref="BN484:BT484"/>
    <mergeCell ref="BI424:BM424"/>
    <mergeCell ref="BN424:BT424"/>
    <mergeCell ref="BE442:BG442"/>
    <mergeCell ref="BH442:BL442"/>
    <mergeCell ref="BE443:BG443"/>
    <mergeCell ref="BI443:BM443"/>
    <mergeCell ref="BN443:BT443"/>
    <mergeCell ref="CE443:CJ443"/>
    <mergeCell ref="CM443:CS443"/>
    <mergeCell ref="BE497:BG497"/>
    <mergeCell ref="BI497:BM497"/>
    <mergeCell ref="BN497:BT497"/>
    <mergeCell ref="CE497:CJ497"/>
    <mergeCell ref="CM497:CS497"/>
    <mergeCell ref="BE498:BG498"/>
    <mergeCell ref="BI498:BM498"/>
    <mergeCell ref="BN498:BT498"/>
    <mergeCell ref="BE501:CA501"/>
    <mergeCell ref="BE502:BG502"/>
    <mergeCell ref="BH502:BL502"/>
    <mergeCell ref="BE503:BG503"/>
    <mergeCell ref="BI503:BM503"/>
    <mergeCell ref="BN503:BT503"/>
    <mergeCell ref="CE503:CJ503"/>
    <mergeCell ref="CM503:CS503"/>
    <mergeCell ref="BE504:BG504"/>
    <mergeCell ref="BI504:BM504"/>
    <mergeCell ref="BN504:BT504"/>
    <mergeCell ref="CE504:CJ504"/>
    <mergeCell ref="CM504:CS504"/>
    <mergeCell ref="BE523:CA523"/>
    <mergeCell ref="BE505:BG505"/>
    <mergeCell ref="BI505:BM505"/>
    <mergeCell ref="BN505:BT505"/>
    <mergeCell ref="BE508:CA508"/>
    <mergeCell ref="BE509:BG509"/>
    <mergeCell ref="BH509:BL509"/>
    <mergeCell ref="BE510:BG510"/>
    <mergeCell ref="BI510:BM510"/>
    <mergeCell ref="BN510:BT510"/>
    <mergeCell ref="CE510:CJ510"/>
    <mergeCell ref="CM510:CS510"/>
    <mergeCell ref="BE511:BG511"/>
    <mergeCell ref="BI511:BM511"/>
    <mergeCell ref="BN511:BT511"/>
    <mergeCell ref="CE511:CJ511"/>
    <mergeCell ref="CM511:CS511"/>
    <mergeCell ref="BE512:BG512"/>
    <mergeCell ref="BI512:BM512"/>
    <mergeCell ref="BN512:BT512"/>
    <mergeCell ref="BE524:BG524"/>
    <mergeCell ref="BH524:BL524"/>
    <mergeCell ref="BE525:BG525"/>
    <mergeCell ref="BI525:BM525"/>
    <mergeCell ref="BN525:BT525"/>
    <mergeCell ref="CE525:CJ525"/>
    <mergeCell ref="CM525:CS525"/>
    <mergeCell ref="BE526:BG526"/>
    <mergeCell ref="BI526:BM526"/>
    <mergeCell ref="BN526:BT526"/>
    <mergeCell ref="CE526:CJ526"/>
    <mergeCell ref="CM526:CS526"/>
    <mergeCell ref="BE527:BG527"/>
    <mergeCell ref="BI527:BM527"/>
    <mergeCell ref="BN527:BT527"/>
    <mergeCell ref="CG530:CJ530"/>
    <mergeCell ref="BE516:CA516"/>
    <mergeCell ref="BE517:BG517"/>
    <mergeCell ref="BH517:BL517"/>
    <mergeCell ref="BE518:BG518"/>
    <mergeCell ref="BI518:BM518"/>
    <mergeCell ref="BN518:BT518"/>
    <mergeCell ref="CE518:CJ518"/>
    <mergeCell ref="CM518:CS518"/>
    <mergeCell ref="BE519:BG519"/>
    <mergeCell ref="BI519:BM519"/>
    <mergeCell ref="BN519:BT519"/>
    <mergeCell ref="CE519:CJ519"/>
    <mergeCell ref="CM519:CS519"/>
    <mergeCell ref="BE520:BG520"/>
    <mergeCell ref="BI520:BM520"/>
    <mergeCell ref="BN520:BT520"/>
  </mergeCells>
  <pageMargins left="0" right="0" top="0" bottom="0" header="0.31496062992125984" footer="0.31496062992125984"/>
  <pageSetup paperSize="9" scale="69" fitToHeight="0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GA337"/>
  <sheetViews>
    <sheetView topLeftCell="A142" zoomScaleNormal="100" workbookViewId="0">
      <selection activeCell="CB336" sqref="CB336:CE336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6" width="1.85546875" style="117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4.42578125" style="117" customWidth="1"/>
    <col min="55" max="55" width="4.5703125" style="117" customWidth="1"/>
    <col min="56" max="56" width="4.7109375" style="117" customWidth="1"/>
    <col min="57" max="58" width="8.140625" style="117" customWidth="1"/>
    <col min="59" max="59" width="4.140625" style="117" customWidth="1"/>
    <col min="60" max="60" width="7.7109375" style="117" customWidth="1"/>
    <col min="61" max="61" width="3.140625" style="117" customWidth="1"/>
    <col min="62" max="82" width="1.85546875" style="117"/>
    <col min="83" max="83" width="8.85546875" style="117" customWidth="1"/>
    <col min="84" max="110" width="1.85546875" style="117"/>
    <col min="111" max="111" width="10.85546875" style="117" customWidth="1"/>
    <col min="112" max="136" width="1.85546875" style="117"/>
    <col min="137" max="137" width="7.85546875" style="117" customWidth="1"/>
    <col min="138" max="160" width="1.85546875" style="117"/>
    <col min="161" max="163" width="0" style="117" hidden="1" customWidth="1"/>
    <col min="164" max="164" width="9.140625" style="117" hidden="1" customWidth="1"/>
    <col min="165" max="188" width="0" style="117" hidden="1" customWidth="1"/>
    <col min="189" max="16384" width="1.85546875" style="117"/>
  </cols>
  <sheetData>
    <row r="1" spans="1:55" s="100" customFormat="1" ht="15" customHeight="1" x14ac:dyDescent="0.25">
      <c r="AW1" s="100" t="s">
        <v>83</v>
      </c>
    </row>
    <row r="2" spans="1:55" s="100" customFormat="1" ht="15" x14ac:dyDescent="0.25">
      <c r="AQ2" s="915" t="s">
        <v>680</v>
      </c>
      <c r="AR2" s="915"/>
      <c r="AS2" s="915"/>
      <c r="AT2" s="916"/>
      <c r="AU2" s="916"/>
      <c r="AV2" s="916"/>
      <c r="AW2" s="916"/>
      <c r="AX2" s="916"/>
      <c r="AY2" s="916"/>
      <c r="AZ2" s="916"/>
      <c r="BA2" s="916"/>
      <c r="BB2" s="916"/>
      <c r="BC2" s="916"/>
    </row>
    <row r="3" spans="1:55" s="100" customFormat="1" ht="15" customHeight="1" x14ac:dyDescent="0.25">
      <c r="AQ3" s="100" t="s">
        <v>91</v>
      </c>
    </row>
    <row r="4" spans="1:55" s="100" customFormat="1" ht="5.0999999999999996" customHeight="1" x14ac:dyDescent="0.25"/>
    <row r="5" spans="1:55" s="100" customFormat="1" ht="15" customHeight="1" x14ac:dyDescent="0.25">
      <c r="AM5" s="157"/>
      <c r="AN5" s="157"/>
      <c r="AO5" s="157"/>
      <c r="AP5" s="157"/>
      <c r="AQ5" s="156"/>
      <c r="AR5" s="156"/>
      <c r="AS5" s="156"/>
      <c r="AT5" s="156"/>
      <c r="AU5" s="156"/>
      <c r="AV5" s="1370" t="s">
        <v>222</v>
      </c>
      <c r="AW5" s="443"/>
      <c r="AX5" s="443"/>
      <c r="AY5" s="443"/>
      <c r="AZ5" s="443"/>
      <c r="BA5" s="443"/>
      <c r="BB5" s="443"/>
      <c r="BC5" s="443"/>
    </row>
    <row r="6" spans="1:55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5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5" s="100" customFormat="1" ht="15" customHeight="1" x14ac:dyDescent="0.25">
      <c r="A8" s="756" t="s">
        <v>315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5" s="100" customFormat="1" ht="5.0999999999999996" customHeight="1" x14ac:dyDescent="0.25">
      <c r="A9" s="158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</row>
    <row r="10" spans="1:55" s="100" customFormat="1" ht="15" customHeight="1" x14ac:dyDescent="0.25">
      <c r="A10" s="158"/>
      <c r="B10" s="158" t="s">
        <v>113</v>
      </c>
      <c r="C10" s="757">
        <v>1</v>
      </c>
      <c r="D10" s="757"/>
      <c r="E10" s="757"/>
      <c r="F10" s="158"/>
      <c r="G10" s="757" t="s">
        <v>675</v>
      </c>
      <c r="H10" s="757"/>
      <c r="I10" s="757"/>
      <c r="J10" s="757"/>
      <c r="K10" s="757"/>
      <c r="L10" s="757"/>
      <c r="M10" s="158"/>
      <c r="N10" s="756">
        <v>2021</v>
      </c>
      <c r="O10" s="756"/>
      <c r="P10" s="756"/>
      <c r="Q10" s="756"/>
      <c r="R10" s="158"/>
      <c r="S10" s="158" t="s">
        <v>114</v>
      </c>
      <c r="T10" s="158"/>
      <c r="U10" s="756" t="s">
        <v>115</v>
      </c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758"/>
      <c r="AI10" s="758"/>
      <c r="AJ10" s="757">
        <v>31</v>
      </c>
      <c r="AK10" s="757"/>
      <c r="AL10" s="757"/>
      <c r="AM10" s="158"/>
      <c r="AN10" s="757" t="s">
        <v>116</v>
      </c>
      <c r="AO10" s="757"/>
      <c r="AP10" s="757"/>
      <c r="AQ10" s="757"/>
      <c r="AR10" s="757"/>
      <c r="AS10" s="757"/>
      <c r="AT10" s="757"/>
      <c r="AU10" s="158"/>
      <c r="AV10" s="756">
        <v>2021</v>
      </c>
      <c r="AW10" s="756"/>
      <c r="AX10" s="756"/>
      <c r="AY10" s="756"/>
      <c r="AZ10" s="158"/>
      <c r="BA10" s="158" t="s">
        <v>114</v>
      </c>
    </row>
    <row r="11" spans="1:55" s="82" customFormat="1" ht="12" customHeight="1" x14ac:dyDescent="0.2"/>
    <row r="12" spans="1:55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14</v>
      </c>
      <c r="V12" s="761"/>
      <c r="W12" s="761"/>
    </row>
    <row r="13" spans="1:55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5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1">
        <v>20</v>
      </c>
      <c r="V14" s="761"/>
      <c r="W14" s="761"/>
    </row>
    <row r="15" spans="1:55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5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2</v>
      </c>
      <c r="V16" s="761"/>
      <c r="W16" s="761"/>
      <c r="X16" s="83" t="s">
        <v>4</v>
      </c>
      <c r="Y16" s="761">
        <v>10</v>
      </c>
      <c r="Z16" s="761"/>
      <c r="AA16" s="761"/>
    </row>
    <row r="17" spans="1:54" ht="5.0999999999999996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530</v>
      </c>
      <c r="AR19" s="162"/>
      <c r="AS19" s="164"/>
      <c r="AX19" s="708">
        <v>15600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419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4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customHeight="1" x14ac:dyDescent="0.2">
      <c r="A24" s="764" t="s">
        <v>417</v>
      </c>
      <c r="B24" s="765"/>
      <c r="C24" s="765"/>
      <c r="D24" s="765"/>
      <c r="E24" s="765"/>
      <c r="F24" s="765"/>
      <c r="G24" s="766"/>
      <c r="H24" s="714" t="s">
        <v>16</v>
      </c>
      <c r="I24" s="704"/>
      <c r="J24" s="704"/>
      <c r="K24" s="704"/>
      <c r="L24" s="704"/>
      <c r="M24" s="704"/>
      <c r="N24" s="704"/>
      <c r="O24" s="704"/>
      <c r="P24" s="704"/>
      <c r="Q24" s="704"/>
      <c r="R24" s="704"/>
      <c r="S24" s="704"/>
      <c r="T24" s="704"/>
      <c r="U24" s="704"/>
      <c r="V24" s="704"/>
      <c r="W24" s="704"/>
      <c r="X24" s="704"/>
      <c r="Y24" s="704"/>
      <c r="Z24" s="723">
        <v>0.2</v>
      </c>
      <c r="AA24" s="723"/>
      <c r="AB24" s="723"/>
      <c r="AC24" s="781">
        <f>(AX51+AX83)*Z24*AH24</f>
        <v>1892.8000000000002</v>
      </c>
      <c r="AD24" s="781"/>
      <c r="AE24" s="781"/>
      <c r="AF24" s="781"/>
      <c r="AG24" s="781"/>
      <c r="AH24" s="668">
        <v>2</v>
      </c>
      <c r="AI24" s="668"/>
      <c r="AJ24" s="668"/>
      <c r="AK24" s="668"/>
      <c r="AL24" s="668"/>
      <c r="AM24" s="668"/>
      <c r="AN24" s="781">
        <f>AC24/U12</f>
        <v>135.20000000000002</v>
      </c>
      <c r="AO24" s="781"/>
      <c r="AP24" s="781"/>
      <c r="AQ24" s="781"/>
      <c r="AR24" s="781"/>
      <c r="AS24" s="668" t="s">
        <v>17</v>
      </c>
      <c r="AT24" s="668"/>
      <c r="AU24" s="668"/>
      <c r="AV24" s="668"/>
      <c r="AW24" s="668"/>
      <c r="AX24" s="781" t="s">
        <v>17</v>
      </c>
      <c r="AY24" s="781"/>
      <c r="AZ24" s="781"/>
      <c r="BA24" s="781"/>
      <c r="BB24" s="782"/>
    </row>
    <row r="25" spans="1:54" s="165" customFormat="1" ht="26.25" customHeight="1" x14ac:dyDescent="0.2">
      <c r="A25" s="767"/>
      <c r="B25" s="768"/>
      <c r="C25" s="768"/>
      <c r="D25" s="768"/>
      <c r="E25" s="768"/>
      <c r="F25" s="768"/>
      <c r="G25" s="769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771" t="s">
        <v>89</v>
      </c>
      <c r="B26" s="772"/>
      <c r="C26" s="772"/>
      <c r="D26" s="772"/>
      <c r="E26" s="772"/>
      <c r="F26" s="772"/>
      <c r="G26" s="773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11.25" customHeight="1" x14ac:dyDescent="0.2">
      <c r="A27" s="750"/>
      <c r="B27" s="751"/>
      <c r="C27" s="751"/>
      <c r="D27" s="751"/>
      <c r="E27" s="751"/>
      <c r="F27" s="751"/>
      <c r="G27" s="7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17.25" customHeight="1" thickBot="1" x14ac:dyDescent="0.25">
      <c r="A33" s="753"/>
      <c r="B33" s="754"/>
      <c r="C33" s="754"/>
      <c r="D33" s="754"/>
      <c r="E33" s="754"/>
      <c r="F33" s="754"/>
      <c r="G33" s="775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9"/>
      <c r="AA33" s="729"/>
      <c r="AB33" s="729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95"/>
      <c r="R34" s="169" t="s">
        <v>18</v>
      </c>
      <c r="S34" s="170"/>
      <c r="T34" s="170"/>
      <c r="U34" s="171"/>
      <c r="V34" s="171"/>
      <c r="W34" s="171"/>
      <c r="X34" s="171"/>
      <c r="Y34" s="171"/>
      <c r="Z34" s="162"/>
      <c r="AA34" s="162"/>
      <c r="AB34" s="162"/>
      <c r="AC34" s="171"/>
      <c r="AD34" s="171" t="s">
        <v>19</v>
      </c>
      <c r="AE34" s="171" t="s">
        <v>20</v>
      </c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2"/>
      <c r="AS34" s="453">
        <f>AN24</f>
        <v>135.20000000000002</v>
      </c>
      <c r="AT34" s="453"/>
      <c r="AU34" s="453"/>
      <c r="AV34" s="453"/>
      <c r="AW34" s="453"/>
      <c r="AX34" s="453">
        <f>AC24</f>
        <v>1892.8000000000002</v>
      </c>
      <c r="AY34" s="453"/>
      <c r="AZ34" s="453"/>
      <c r="BA34" s="453"/>
      <c r="BB34" s="454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173"/>
      <c r="I35" s="173"/>
      <c r="J35" s="173"/>
      <c r="K35" s="173"/>
      <c r="L35" s="173"/>
      <c r="M35" s="173"/>
      <c r="P35" s="168"/>
      <c r="Q35" s="174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40.830400000000004</v>
      </c>
      <c r="AT35" s="463"/>
      <c r="AU35" s="463"/>
      <c r="AV35" s="463"/>
      <c r="AW35" s="463"/>
      <c r="AX35" s="463">
        <f>AX34*AO35</f>
        <v>571.62560000000008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173"/>
      <c r="I36" s="173"/>
      <c r="J36" s="173"/>
      <c r="K36" s="173"/>
      <c r="L36" s="173"/>
      <c r="M36" s="173"/>
      <c r="P36" s="168"/>
      <c r="Q36" s="174"/>
      <c r="R36" s="174"/>
      <c r="S36" s="174"/>
      <c r="U36" s="174"/>
      <c r="V36" s="174"/>
      <c r="W36" s="174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8"/>
      <c r="AT36" s="179"/>
      <c r="AU36" s="179"/>
      <c r="AV36" s="179"/>
      <c r="AW36" s="179"/>
      <c r="AX36" s="178"/>
      <c r="AY36" s="179"/>
      <c r="AZ36" s="179"/>
      <c r="BA36" s="179"/>
      <c r="BB36" s="179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420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747"/>
      <c r="B41" s="748"/>
      <c r="C41" s="748"/>
      <c r="D41" s="748"/>
      <c r="E41" s="748"/>
      <c r="F41" s="748"/>
      <c r="G41" s="749"/>
      <c r="H41" s="718" t="s">
        <v>16</v>
      </c>
      <c r="I41" s="712"/>
      <c r="J41" s="712"/>
      <c r="K41" s="712"/>
      <c r="L41" s="712"/>
      <c r="M41" s="712"/>
      <c r="N41" s="712"/>
      <c r="O41" s="712"/>
      <c r="P41" s="712"/>
      <c r="Q41" s="712"/>
      <c r="R41" s="712"/>
      <c r="S41" s="712"/>
      <c r="T41" s="712"/>
      <c r="U41" s="712"/>
      <c r="V41" s="712"/>
      <c r="W41" s="712"/>
      <c r="X41" s="712"/>
      <c r="Y41" s="712"/>
      <c r="Z41" s="722">
        <v>0</v>
      </c>
      <c r="AA41" s="723"/>
      <c r="AB41" s="724"/>
      <c r="AC41" s="712">
        <f>AX83*Z41*AH41</f>
        <v>0</v>
      </c>
      <c r="AD41" s="712"/>
      <c r="AE41" s="712"/>
      <c r="AF41" s="712"/>
      <c r="AG41" s="734"/>
      <c r="AH41" s="508">
        <v>1</v>
      </c>
      <c r="AI41" s="509"/>
      <c r="AJ41" s="509"/>
      <c r="AK41" s="509"/>
      <c r="AL41" s="509"/>
      <c r="AM41" s="510"/>
      <c r="AN41" s="711">
        <f>AC41/U12</f>
        <v>0</v>
      </c>
      <c r="AO41" s="712"/>
      <c r="AP41" s="712"/>
      <c r="AQ41" s="712"/>
      <c r="AR41" s="734"/>
      <c r="AS41" s="508" t="s">
        <v>17</v>
      </c>
      <c r="AT41" s="509"/>
      <c r="AU41" s="509"/>
      <c r="AV41" s="509"/>
      <c r="AW41" s="510"/>
      <c r="AX41" s="711" t="s">
        <v>17</v>
      </c>
      <c r="AY41" s="712"/>
      <c r="AZ41" s="712"/>
      <c r="BA41" s="712"/>
      <c r="BB41" s="713"/>
    </row>
    <row r="42" spans="1:54" s="165" customFormat="1" ht="0.75" hidden="1" customHeight="1" x14ac:dyDescent="0.2">
      <c r="A42" s="750"/>
      <c r="B42" s="751"/>
      <c r="C42" s="751"/>
      <c r="D42" s="751"/>
      <c r="E42" s="751"/>
      <c r="F42" s="751"/>
      <c r="G42" s="752"/>
      <c r="H42" s="719"/>
      <c r="I42" s="704"/>
      <c r="J42" s="704"/>
      <c r="K42" s="704"/>
      <c r="L42" s="704"/>
      <c r="M42" s="704"/>
      <c r="N42" s="704"/>
      <c r="O42" s="704"/>
      <c r="P42" s="704"/>
      <c r="Q42" s="704"/>
      <c r="R42" s="704"/>
      <c r="S42" s="704"/>
      <c r="T42" s="704"/>
      <c r="U42" s="704"/>
      <c r="V42" s="704"/>
      <c r="W42" s="704"/>
      <c r="X42" s="704"/>
      <c r="Y42" s="704"/>
      <c r="Z42" s="725"/>
      <c r="AA42" s="726"/>
      <c r="AB42" s="727"/>
      <c r="AC42" s="704"/>
      <c r="AD42" s="704"/>
      <c r="AE42" s="704"/>
      <c r="AF42" s="704"/>
      <c r="AG42" s="735"/>
      <c r="AH42" s="511"/>
      <c r="AI42" s="512"/>
      <c r="AJ42" s="512"/>
      <c r="AK42" s="512"/>
      <c r="AL42" s="512"/>
      <c r="AM42" s="513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714"/>
      <c r="AY42" s="704"/>
      <c r="AZ42" s="704"/>
      <c r="BA42" s="704"/>
      <c r="BB42" s="715"/>
    </row>
    <row r="43" spans="1:54" ht="18" customHeight="1" x14ac:dyDescent="0.2">
      <c r="A43" s="750"/>
      <c r="B43" s="751"/>
      <c r="C43" s="751"/>
      <c r="D43" s="751"/>
      <c r="E43" s="751"/>
      <c r="F43" s="751"/>
      <c r="G43" s="752"/>
      <c r="H43" s="719"/>
      <c r="I43" s="704"/>
      <c r="J43" s="704"/>
      <c r="K43" s="704"/>
      <c r="L43" s="704"/>
      <c r="M43" s="704"/>
      <c r="N43" s="704"/>
      <c r="O43" s="704"/>
      <c r="P43" s="704"/>
      <c r="Q43" s="704"/>
      <c r="R43" s="704"/>
      <c r="S43" s="704"/>
      <c r="T43" s="704"/>
      <c r="U43" s="704"/>
      <c r="V43" s="704"/>
      <c r="W43" s="704"/>
      <c r="X43" s="704"/>
      <c r="Y43" s="704"/>
      <c r="Z43" s="725"/>
      <c r="AA43" s="726"/>
      <c r="AB43" s="727"/>
      <c r="AC43" s="669"/>
      <c r="AD43" s="669"/>
      <c r="AE43" s="669"/>
      <c r="AF43" s="669"/>
      <c r="AG43" s="670"/>
      <c r="AH43" s="736"/>
      <c r="AI43" s="737"/>
      <c r="AJ43" s="737"/>
      <c r="AK43" s="737"/>
      <c r="AL43" s="737"/>
      <c r="AM43" s="738"/>
      <c r="AN43" s="716"/>
      <c r="AO43" s="669"/>
      <c r="AP43" s="669"/>
      <c r="AQ43" s="669"/>
      <c r="AR43" s="670"/>
      <c r="AS43" s="736"/>
      <c r="AT43" s="737"/>
      <c r="AU43" s="737"/>
      <c r="AV43" s="737"/>
      <c r="AW43" s="738"/>
      <c r="AX43" s="716"/>
      <c r="AY43" s="669"/>
      <c r="AZ43" s="669"/>
      <c r="BA43" s="669"/>
      <c r="BB43" s="717"/>
    </row>
    <row r="44" spans="1:54" s="165" customFormat="1" ht="21" hidden="1" customHeight="1" x14ac:dyDescent="0.2">
      <c r="A44" s="750"/>
      <c r="B44" s="751"/>
      <c r="C44" s="751"/>
      <c r="D44" s="751"/>
      <c r="E44" s="751"/>
      <c r="F44" s="751"/>
      <c r="G44" s="752"/>
      <c r="H44" s="719"/>
      <c r="I44" s="704"/>
      <c r="J44" s="704"/>
      <c r="K44" s="704"/>
      <c r="L44" s="704"/>
      <c r="M44" s="704"/>
      <c r="N44" s="704"/>
      <c r="O44" s="704"/>
      <c r="P44" s="704"/>
      <c r="Q44" s="704"/>
      <c r="R44" s="704"/>
      <c r="S44" s="704"/>
      <c r="T44" s="704"/>
      <c r="U44" s="704"/>
      <c r="V44" s="704"/>
      <c r="W44" s="704"/>
      <c r="X44" s="704"/>
      <c r="Y44" s="704"/>
      <c r="Z44" s="725"/>
      <c r="AA44" s="726"/>
      <c r="AB44" s="727"/>
      <c r="AC44" s="86"/>
      <c r="AD44" s="84"/>
      <c r="AE44" s="84"/>
      <c r="AF44" s="84"/>
      <c r="AG44" s="85"/>
      <c r="AH44" s="180"/>
      <c r="AI44" s="181"/>
      <c r="AJ44" s="181"/>
      <c r="AK44" s="181"/>
      <c r="AL44" s="181"/>
      <c r="AM44" s="182"/>
      <c r="AN44" s="86"/>
      <c r="AO44" s="84"/>
      <c r="AP44" s="84"/>
      <c r="AQ44" s="84"/>
      <c r="AR44" s="85"/>
      <c r="AS44" s="180"/>
      <c r="AT44" s="181"/>
      <c r="AU44" s="181"/>
      <c r="AV44" s="181"/>
      <c r="AW44" s="182"/>
      <c r="AX44" s="86"/>
      <c r="AY44" s="84"/>
      <c r="AZ44" s="84"/>
      <c r="BA44" s="84"/>
      <c r="BB44" s="255"/>
    </row>
    <row r="45" spans="1:54" s="165" customFormat="1" ht="21.75" hidden="1" customHeight="1" x14ac:dyDescent="0.2">
      <c r="A45" s="750"/>
      <c r="B45" s="751"/>
      <c r="C45" s="751"/>
      <c r="D45" s="751"/>
      <c r="E45" s="751"/>
      <c r="F45" s="751"/>
      <c r="G45" s="752"/>
      <c r="H45" s="719"/>
      <c r="I45" s="704"/>
      <c r="J45" s="704"/>
      <c r="K45" s="704"/>
      <c r="L45" s="704"/>
      <c r="M45" s="704"/>
      <c r="N45" s="704"/>
      <c r="O45" s="704"/>
      <c r="P45" s="704"/>
      <c r="Q45" s="704"/>
      <c r="R45" s="704"/>
      <c r="S45" s="704"/>
      <c r="T45" s="704"/>
      <c r="U45" s="704"/>
      <c r="V45" s="704"/>
      <c r="W45" s="704"/>
      <c r="X45" s="704"/>
      <c r="Y45" s="704"/>
      <c r="Z45" s="725"/>
      <c r="AA45" s="726"/>
      <c r="AB45" s="727"/>
      <c r="AC45" s="86"/>
      <c r="AD45" s="84"/>
      <c r="AE45" s="84"/>
      <c r="AF45" s="84"/>
      <c r="AG45" s="85"/>
      <c r="AH45" s="180"/>
      <c r="AI45" s="181"/>
      <c r="AJ45" s="181"/>
      <c r="AK45" s="181"/>
      <c r="AL45" s="181"/>
      <c r="AM45" s="182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255"/>
    </row>
    <row r="46" spans="1:54" s="165" customFormat="1" ht="24" hidden="1" customHeight="1" x14ac:dyDescent="0.2">
      <c r="A46" s="750"/>
      <c r="B46" s="751"/>
      <c r="C46" s="751"/>
      <c r="D46" s="751"/>
      <c r="E46" s="751"/>
      <c r="F46" s="751"/>
      <c r="G46" s="752"/>
      <c r="H46" s="719"/>
      <c r="I46" s="704"/>
      <c r="J46" s="704"/>
      <c r="K46" s="704"/>
      <c r="L46" s="704"/>
      <c r="M46" s="704"/>
      <c r="N46" s="704"/>
      <c r="O46" s="704"/>
      <c r="P46" s="704"/>
      <c r="Q46" s="704"/>
      <c r="R46" s="704"/>
      <c r="S46" s="704"/>
      <c r="T46" s="704"/>
      <c r="U46" s="704"/>
      <c r="V46" s="704"/>
      <c r="W46" s="704"/>
      <c r="X46" s="704"/>
      <c r="Y46" s="704"/>
      <c r="Z46" s="725"/>
      <c r="AA46" s="726"/>
      <c r="AB46" s="727"/>
      <c r="AC46" s="86"/>
      <c r="AD46" s="84"/>
      <c r="AE46" s="84"/>
      <c r="AF46" s="84"/>
      <c r="AG46" s="85"/>
      <c r="AH46" s="180"/>
      <c r="AI46" s="181"/>
      <c r="AJ46" s="181"/>
      <c r="AK46" s="181"/>
      <c r="AL46" s="181"/>
      <c r="AM46" s="182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255"/>
    </row>
    <row r="47" spans="1:54" s="165" customFormat="1" ht="18" hidden="1" customHeight="1" x14ac:dyDescent="0.2">
      <c r="A47" s="750"/>
      <c r="B47" s="751"/>
      <c r="C47" s="751"/>
      <c r="D47" s="751"/>
      <c r="E47" s="751"/>
      <c r="F47" s="751"/>
      <c r="G47" s="752"/>
      <c r="H47" s="719"/>
      <c r="I47" s="704"/>
      <c r="J47" s="704"/>
      <c r="K47" s="704"/>
      <c r="L47" s="704"/>
      <c r="M47" s="704"/>
      <c r="N47" s="704"/>
      <c r="O47" s="704"/>
      <c r="P47" s="704"/>
      <c r="Q47" s="704"/>
      <c r="R47" s="704"/>
      <c r="S47" s="704"/>
      <c r="T47" s="704"/>
      <c r="U47" s="704"/>
      <c r="V47" s="704"/>
      <c r="W47" s="704"/>
      <c r="X47" s="704"/>
      <c r="Y47" s="704"/>
      <c r="Z47" s="725"/>
      <c r="AA47" s="726"/>
      <c r="AB47" s="727"/>
      <c r="AC47" s="86"/>
      <c r="AD47" s="84"/>
      <c r="AE47" s="84"/>
      <c r="AF47" s="84"/>
      <c r="AG47" s="85"/>
      <c r="AH47" s="180"/>
      <c r="AI47" s="181"/>
      <c r="AJ47" s="181"/>
      <c r="AK47" s="181"/>
      <c r="AL47" s="181"/>
      <c r="AM47" s="182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255"/>
    </row>
    <row r="48" spans="1:54" s="165" customFormat="1" ht="17.25" hidden="1" customHeight="1" x14ac:dyDescent="0.2">
      <c r="A48" s="750"/>
      <c r="B48" s="751"/>
      <c r="C48" s="751"/>
      <c r="D48" s="751"/>
      <c r="E48" s="751"/>
      <c r="F48" s="751"/>
      <c r="G48" s="752"/>
      <c r="H48" s="719"/>
      <c r="I48" s="704"/>
      <c r="J48" s="704"/>
      <c r="K48" s="704"/>
      <c r="L48" s="704"/>
      <c r="M48" s="704"/>
      <c r="N48" s="704"/>
      <c r="O48" s="704"/>
      <c r="P48" s="704"/>
      <c r="Q48" s="704"/>
      <c r="R48" s="704"/>
      <c r="S48" s="704"/>
      <c r="T48" s="704"/>
      <c r="U48" s="704"/>
      <c r="V48" s="704"/>
      <c r="W48" s="704"/>
      <c r="X48" s="704"/>
      <c r="Y48" s="704"/>
      <c r="Z48" s="725"/>
      <c r="AA48" s="726"/>
      <c r="AB48" s="727"/>
      <c r="AC48" s="86"/>
      <c r="AD48" s="84"/>
      <c r="AE48" s="84"/>
      <c r="AF48" s="84"/>
      <c r="AG48" s="85"/>
      <c r="AH48" s="180"/>
      <c r="AI48" s="181"/>
      <c r="AJ48" s="181"/>
      <c r="AK48" s="181"/>
      <c r="AL48" s="181"/>
      <c r="AM48" s="182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255"/>
    </row>
    <row r="49" spans="1:54" s="165" customFormat="1" ht="14.25" hidden="1" customHeight="1" x14ac:dyDescent="0.2">
      <c r="A49" s="750"/>
      <c r="B49" s="751"/>
      <c r="C49" s="751"/>
      <c r="D49" s="751"/>
      <c r="E49" s="751"/>
      <c r="F49" s="751"/>
      <c r="G49" s="752"/>
      <c r="H49" s="719"/>
      <c r="I49" s="704"/>
      <c r="J49" s="704"/>
      <c r="K49" s="704"/>
      <c r="L49" s="704"/>
      <c r="M49" s="704"/>
      <c r="N49" s="704"/>
      <c r="O49" s="704"/>
      <c r="P49" s="704"/>
      <c r="Q49" s="704"/>
      <c r="R49" s="704"/>
      <c r="S49" s="704"/>
      <c r="T49" s="704"/>
      <c r="U49" s="704"/>
      <c r="V49" s="704"/>
      <c r="W49" s="704"/>
      <c r="X49" s="704"/>
      <c r="Y49" s="704"/>
      <c r="Z49" s="725"/>
      <c r="AA49" s="726"/>
      <c r="AB49" s="727"/>
      <c r="AC49" s="86"/>
      <c r="AD49" s="84"/>
      <c r="AE49" s="84"/>
      <c r="AF49" s="84"/>
      <c r="AG49" s="85"/>
      <c r="AH49" s="180"/>
      <c r="AI49" s="181"/>
      <c r="AJ49" s="181"/>
      <c r="AK49" s="181"/>
      <c r="AL49" s="181"/>
      <c r="AM49" s="182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255"/>
    </row>
    <row r="50" spans="1:54" ht="0.75" customHeight="1" thickBot="1" x14ac:dyDescent="0.25">
      <c r="A50" s="753"/>
      <c r="B50" s="754"/>
      <c r="C50" s="754"/>
      <c r="D50" s="754"/>
      <c r="E50" s="754"/>
      <c r="F50" s="754"/>
      <c r="G50" s="755"/>
      <c r="H50" s="720"/>
      <c r="I50" s="721"/>
      <c r="J50" s="721"/>
      <c r="K50" s="721"/>
      <c r="L50" s="721"/>
      <c r="M50" s="721"/>
      <c r="N50" s="721"/>
      <c r="O50" s="721"/>
      <c r="P50" s="721"/>
      <c r="Q50" s="721"/>
      <c r="R50" s="721"/>
      <c r="S50" s="721"/>
      <c r="T50" s="721"/>
      <c r="U50" s="721"/>
      <c r="V50" s="721"/>
      <c r="W50" s="721"/>
      <c r="X50" s="721"/>
      <c r="Y50" s="721"/>
      <c r="Z50" s="728"/>
      <c r="AA50" s="729"/>
      <c r="AB50" s="730"/>
      <c r="AC50" s="256"/>
      <c r="AD50" s="257"/>
      <c r="AE50" s="257"/>
      <c r="AF50" s="257"/>
      <c r="AG50" s="258"/>
      <c r="AH50" s="259"/>
      <c r="AI50" s="260"/>
      <c r="AJ50" s="260"/>
      <c r="AK50" s="260"/>
      <c r="AL50" s="260"/>
      <c r="AM50" s="261"/>
      <c r="AN50" s="256"/>
      <c r="AO50" s="257"/>
      <c r="AP50" s="257"/>
      <c r="AQ50" s="257"/>
      <c r="AR50" s="258"/>
      <c r="AS50" s="259"/>
      <c r="AT50" s="260"/>
      <c r="AU50" s="260"/>
      <c r="AV50" s="260"/>
      <c r="AW50" s="261"/>
      <c r="AX50" s="256"/>
      <c r="AY50" s="257"/>
      <c r="AZ50" s="257"/>
      <c r="BA50" s="257"/>
      <c r="BB50" s="262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189"/>
      <c r="I52" s="189"/>
      <c r="J52" s="189"/>
      <c r="K52" s="189"/>
      <c r="L52" s="164"/>
      <c r="M52" s="164"/>
      <c r="N52" s="164"/>
      <c r="O52" s="164"/>
      <c r="P52" s="164"/>
      <c r="Q52" s="190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1317" t="s">
        <v>327</v>
      </c>
      <c r="B58" s="1318"/>
      <c r="C58" s="1318"/>
      <c r="D58" s="1318"/>
      <c r="E58" s="1318"/>
      <c r="F58" s="1318"/>
      <c r="G58" s="1318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275"/>
      <c r="AC58" s="606">
        <f>((R59+(R59*U61)+(R59*Q61)+(R59*M61)+(R59*I61))*Z61)</f>
        <v>40560</v>
      </c>
      <c r="AD58" s="662"/>
      <c r="AE58" s="662"/>
      <c r="AF58" s="662"/>
      <c r="AG58" s="662"/>
      <c r="AH58" s="711">
        <v>120</v>
      </c>
      <c r="AI58" s="712"/>
      <c r="AJ58" s="712"/>
      <c r="AK58" s="712"/>
      <c r="AL58" s="712"/>
      <c r="AM58" s="734"/>
      <c r="AN58" s="662">
        <f>AC58/AH58</f>
        <v>338</v>
      </c>
      <c r="AO58" s="662"/>
      <c r="AP58" s="662"/>
      <c r="AQ58" s="662"/>
      <c r="AR58" s="662"/>
      <c r="AS58" s="663">
        <f>U12</f>
        <v>14</v>
      </c>
      <c r="AT58" s="663"/>
      <c r="AU58" s="663"/>
      <c r="AV58" s="663"/>
      <c r="AW58" s="663"/>
      <c r="AX58" s="662">
        <f>AN58*AS58</f>
        <v>4732</v>
      </c>
      <c r="AY58" s="662"/>
      <c r="AZ58" s="662"/>
      <c r="BA58" s="662"/>
      <c r="BB58" s="684"/>
    </row>
    <row r="59" spans="1:54" s="165" customFormat="1" ht="30" customHeight="1" x14ac:dyDescent="0.2">
      <c r="A59" s="1319"/>
      <c r="B59" s="1320"/>
      <c r="C59" s="1320"/>
      <c r="D59" s="1320"/>
      <c r="E59" s="1320"/>
      <c r="F59" s="1320"/>
      <c r="G59" s="1320"/>
      <c r="H59" s="685" t="s">
        <v>530</v>
      </c>
      <c r="I59" s="686"/>
      <c r="J59" s="686"/>
      <c r="K59" s="686"/>
      <c r="L59" s="686"/>
      <c r="M59" s="686"/>
      <c r="N59" s="669"/>
      <c r="O59" s="669"/>
      <c r="P59" s="669"/>
      <c r="Q59" s="84" t="s">
        <v>27</v>
      </c>
      <c r="R59" s="669">
        <v>15600</v>
      </c>
      <c r="S59" s="669"/>
      <c r="T59" s="669"/>
      <c r="U59" s="669"/>
      <c r="V59" s="669"/>
      <c r="W59" s="84" t="s">
        <v>28</v>
      </c>
      <c r="X59" s="84"/>
      <c r="Y59" s="84"/>
      <c r="Z59" s="84"/>
      <c r="AA59" s="84"/>
      <c r="AB59" s="255"/>
      <c r="AC59" s="598"/>
      <c r="AD59" s="601"/>
      <c r="AE59" s="601"/>
      <c r="AF59" s="601"/>
      <c r="AG59" s="601"/>
      <c r="AH59" s="714"/>
      <c r="AI59" s="704"/>
      <c r="AJ59" s="704"/>
      <c r="AK59" s="704"/>
      <c r="AL59" s="704"/>
      <c r="AM59" s="735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1319"/>
      <c r="B60" s="1320"/>
      <c r="C60" s="1320"/>
      <c r="D60" s="1320"/>
      <c r="E60" s="1320"/>
      <c r="F60" s="1320"/>
      <c r="G60" s="1320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255"/>
      <c r="AC60" s="598"/>
      <c r="AD60" s="601"/>
      <c r="AE60" s="601"/>
      <c r="AF60" s="601"/>
      <c r="AG60" s="601"/>
      <c r="AH60" s="714"/>
      <c r="AI60" s="704"/>
      <c r="AJ60" s="704"/>
      <c r="AK60" s="704"/>
      <c r="AL60" s="704"/>
      <c r="AM60" s="735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1.25" customHeight="1" x14ac:dyDescent="0.2">
      <c r="A61" s="1319"/>
      <c r="B61" s="1320"/>
      <c r="C61" s="1320"/>
      <c r="D61" s="1320"/>
      <c r="E61" s="1320"/>
      <c r="F61" s="1320"/>
      <c r="G61" s="1320"/>
      <c r="H61" s="706" t="s">
        <v>656</v>
      </c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  <c r="V61" s="707"/>
      <c r="W61" s="707"/>
      <c r="X61" s="707"/>
      <c r="Y61" s="389" t="s">
        <v>28</v>
      </c>
      <c r="Z61" s="669">
        <v>2.6</v>
      </c>
      <c r="AA61" s="669"/>
      <c r="AB61" s="717"/>
      <c r="AC61" s="598"/>
      <c r="AD61" s="601"/>
      <c r="AE61" s="601"/>
      <c r="AF61" s="601"/>
      <c r="AG61" s="601"/>
      <c r="AH61" s="714"/>
      <c r="AI61" s="704"/>
      <c r="AJ61" s="704"/>
      <c r="AK61" s="704"/>
      <c r="AL61" s="704"/>
      <c r="AM61" s="735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" customHeight="1" thickBot="1" x14ac:dyDescent="0.25">
      <c r="A62" s="1321"/>
      <c r="B62" s="1322"/>
      <c r="C62" s="1322"/>
      <c r="D62" s="1322"/>
      <c r="E62" s="1322"/>
      <c r="F62" s="1322"/>
      <c r="G62" s="1322"/>
      <c r="H62" s="256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62"/>
      <c r="AC62" s="598"/>
      <c r="AD62" s="601"/>
      <c r="AE62" s="601"/>
      <c r="AF62" s="601"/>
      <c r="AG62" s="601"/>
      <c r="AH62" s="770"/>
      <c r="AI62" s="721"/>
      <c r="AJ62" s="721"/>
      <c r="AK62" s="721"/>
      <c r="AL62" s="721"/>
      <c r="AM62" s="851"/>
      <c r="AN62" s="601"/>
      <c r="AO62" s="601"/>
      <c r="AP62" s="601"/>
      <c r="AQ62" s="601"/>
      <c r="AR62" s="601"/>
      <c r="AS62" s="664"/>
      <c r="AT62" s="664"/>
      <c r="AU62" s="664"/>
      <c r="AV62" s="664"/>
      <c r="AW62" s="664"/>
      <c r="AX62" s="601"/>
      <c r="AY62" s="601"/>
      <c r="AZ62" s="601"/>
      <c r="BA62" s="601"/>
      <c r="BB62" s="655"/>
    </row>
    <row r="63" spans="1:54" ht="5.0999999999999996" hidden="1" customHeight="1" x14ac:dyDescent="0.2">
      <c r="A63" s="666"/>
      <c r="B63" s="667"/>
      <c r="C63" s="667"/>
      <c r="D63" s="667"/>
      <c r="E63" s="667"/>
      <c r="F63" s="667"/>
      <c r="G63" s="667"/>
      <c r="H63" s="193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94" t="e">
        <f>#REF!</f>
        <v>#REF!</v>
      </c>
      <c r="AA63" s="191"/>
      <c r="AB63" s="195"/>
      <c r="AC63" s="507">
        <f>((R64+(R64*U66)+(R64*Q66)+(R64*M66)+(R64*I66))*Z66)*1.15</f>
        <v>0</v>
      </c>
      <c r="AD63" s="507"/>
      <c r="AE63" s="507"/>
      <c r="AF63" s="507"/>
      <c r="AG63" s="507"/>
      <c r="AH63" s="529">
        <v>1</v>
      </c>
      <c r="AI63" s="529"/>
      <c r="AJ63" s="529"/>
      <c r="AK63" s="529"/>
      <c r="AL63" s="529"/>
      <c r="AM63" s="529"/>
      <c r="AN63" s="529">
        <f>AC63/AH63</f>
        <v>0</v>
      </c>
      <c r="AO63" s="529"/>
      <c r="AP63" s="529"/>
      <c r="AQ63" s="529"/>
      <c r="AR63" s="529"/>
      <c r="AS63" s="663">
        <f t="shared" ref="AS63" si="0">U17</f>
        <v>0</v>
      </c>
      <c r="AT63" s="663"/>
      <c r="AU63" s="663"/>
      <c r="AV63" s="663"/>
      <c r="AW63" s="663"/>
      <c r="AX63" s="529">
        <f>AN63*AS63</f>
        <v>0</v>
      </c>
      <c r="AY63" s="529"/>
      <c r="AZ63" s="529"/>
      <c r="BA63" s="529"/>
      <c r="BB63" s="665"/>
    </row>
    <row r="64" spans="1:54" s="165" customFormat="1" ht="11.25" hidden="1" customHeight="1" x14ac:dyDescent="0.2">
      <c r="A64" s="652"/>
      <c r="B64" s="653"/>
      <c r="C64" s="653"/>
      <c r="D64" s="653"/>
      <c r="E64" s="653"/>
      <c r="F64" s="653"/>
      <c r="G64" s="653"/>
      <c r="H64" s="658" t="s">
        <v>26</v>
      </c>
      <c r="I64" s="659"/>
      <c r="J64" s="659"/>
      <c r="K64" s="659"/>
      <c r="L64" s="659"/>
      <c r="M64" s="659"/>
      <c r="N64" s="650">
        <v>0</v>
      </c>
      <c r="O64" s="650"/>
      <c r="P64" s="650"/>
      <c r="Q64" s="191" t="s">
        <v>27</v>
      </c>
      <c r="R64" s="650">
        <f>$AX$19*N64</f>
        <v>0</v>
      </c>
      <c r="S64" s="650"/>
      <c r="T64" s="650"/>
      <c r="U64" s="650"/>
      <c r="V64" s="650"/>
      <c r="W64" s="191" t="s">
        <v>28</v>
      </c>
      <c r="X64" s="191" t="s">
        <v>29</v>
      </c>
      <c r="Y64" s="191"/>
      <c r="Z64" s="191"/>
      <c r="AA64" s="191"/>
      <c r="AB64" s="195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664"/>
      <c r="AT64" s="664"/>
      <c r="AU64" s="664"/>
      <c r="AV64" s="664"/>
      <c r="AW64" s="664"/>
      <c r="AX64" s="529"/>
      <c r="AY64" s="529"/>
      <c r="AZ64" s="529"/>
      <c r="BA64" s="529"/>
      <c r="BB64" s="665"/>
    </row>
    <row r="65" spans="1:54" s="165" customFormat="1" ht="5.0999999999999996" hidden="1" customHeight="1" x14ac:dyDescent="0.2">
      <c r="A65" s="652"/>
      <c r="B65" s="653"/>
      <c r="C65" s="653"/>
      <c r="D65" s="653"/>
      <c r="E65" s="653"/>
      <c r="F65" s="653"/>
      <c r="G65" s="653"/>
      <c r="H65" s="196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91"/>
      <c r="AA65" s="191"/>
      <c r="AB65" s="195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65" customFormat="1" ht="11.25" hidden="1" customHeight="1" x14ac:dyDescent="0.2">
      <c r="A66" s="652"/>
      <c r="B66" s="653"/>
      <c r="C66" s="653"/>
      <c r="D66" s="653"/>
      <c r="E66" s="653"/>
      <c r="F66" s="653"/>
      <c r="G66" s="653"/>
      <c r="H66" s="197" t="s">
        <v>30</v>
      </c>
      <c r="I66" s="654">
        <v>0</v>
      </c>
      <c r="J66" s="654"/>
      <c r="K66" s="654"/>
      <c r="L66" s="191" t="s">
        <v>28</v>
      </c>
      <c r="M66" s="654">
        <v>0</v>
      </c>
      <c r="N66" s="654"/>
      <c r="O66" s="654"/>
      <c r="P66" s="191" t="s">
        <v>28</v>
      </c>
      <c r="Q66" s="654"/>
      <c r="R66" s="654"/>
      <c r="S66" s="654"/>
      <c r="T66" s="191" t="s">
        <v>28</v>
      </c>
      <c r="U66" s="654"/>
      <c r="V66" s="654"/>
      <c r="W66" s="654"/>
      <c r="X66" s="191" t="s">
        <v>31</v>
      </c>
      <c r="Y66" s="191" t="s">
        <v>28</v>
      </c>
      <c r="Z66" s="650">
        <v>2.6</v>
      </c>
      <c r="AA66" s="650"/>
      <c r="AB66" s="651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65" customFormat="1" ht="5.0999999999999996" hidden="1" customHeight="1" thickBot="1" x14ac:dyDescent="0.25">
      <c r="A67" s="652"/>
      <c r="B67" s="653"/>
      <c r="C67" s="653"/>
      <c r="D67" s="653"/>
      <c r="E67" s="653"/>
      <c r="F67" s="653"/>
      <c r="G67" s="653"/>
      <c r="H67" s="198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200"/>
      <c r="AA67" s="200"/>
      <c r="AB67" s="201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65" customFormat="1" ht="5.0999999999999996" hidden="1" customHeight="1" x14ac:dyDescent="0.2">
      <c r="A68" s="652"/>
      <c r="B68" s="653"/>
      <c r="C68" s="653"/>
      <c r="D68" s="653"/>
      <c r="E68" s="653"/>
      <c r="F68" s="653"/>
      <c r="G68" s="653"/>
      <c r="H68" s="19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94" t="e">
        <f>#REF!</f>
        <v>#REF!</v>
      </c>
      <c r="AA68" s="191"/>
      <c r="AB68" s="195"/>
      <c r="AC68" s="507">
        <f>((R69+(R69*U71)+(R69*Q71)+(R69*M71)+(R69*I71))*Z71)*1.15</f>
        <v>0</v>
      </c>
      <c r="AD68" s="507"/>
      <c r="AE68" s="507"/>
      <c r="AF68" s="507"/>
      <c r="AG68" s="507"/>
      <c r="AH68" s="529">
        <v>1</v>
      </c>
      <c r="AI68" s="529"/>
      <c r="AJ68" s="529"/>
      <c r="AK68" s="529"/>
      <c r="AL68" s="529"/>
      <c r="AM68" s="529"/>
      <c r="AN68" s="529">
        <f>AC68/AH68</f>
        <v>0</v>
      </c>
      <c r="AO68" s="529"/>
      <c r="AP68" s="529"/>
      <c r="AQ68" s="529"/>
      <c r="AR68" s="529"/>
      <c r="AS68" s="663">
        <f t="shared" ref="AS68" si="1">U22</f>
        <v>0</v>
      </c>
      <c r="AT68" s="663"/>
      <c r="AU68" s="663"/>
      <c r="AV68" s="663"/>
      <c r="AW68" s="663"/>
      <c r="AX68" s="529">
        <f>AN68*AS68</f>
        <v>0</v>
      </c>
      <c r="AY68" s="529"/>
      <c r="AZ68" s="529"/>
      <c r="BA68" s="529"/>
      <c r="BB68" s="665"/>
    </row>
    <row r="69" spans="1:54" s="165" customFormat="1" ht="11.25" hidden="1" customHeight="1" x14ac:dyDescent="0.2">
      <c r="A69" s="652"/>
      <c r="B69" s="653"/>
      <c r="C69" s="653"/>
      <c r="D69" s="653"/>
      <c r="E69" s="653"/>
      <c r="F69" s="653"/>
      <c r="G69" s="653"/>
      <c r="H69" s="658" t="s">
        <v>26</v>
      </c>
      <c r="I69" s="659"/>
      <c r="J69" s="659"/>
      <c r="K69" s="659"/>
      <c r="L69" s="659"/>
      <c r="M69" s="659"/>
      <c r="N69" s="650">
        <v>0</v>
      </c>
      <c r="O69" s="650"/>
      <c r="P69" s="650"/>
      <c r="Q69" s="191" t="s">
        <v>27</v>
      </c>
      <c r="R69" s="650">
        <f>$AX$19*N69</f>
        <v>0</v>
      </c>
      <c r="S69" s="650"/>
      <c r="T69" s="650"/>
      <c r="U69" s="650"/>
      <c r="V69" s="650"/>
      <c r="W69" s="191" t="s">
        <v>28</v>
      </c>
      <c r="X69" s="191" t="s">
        <v>29</v>
      </c>
      <c r="Y69" s="191"/>
      <c r="Z69" s="191"/>
      <c r="AA69" s="191"/>
      <c r="AB69" s="195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529"/>
      <c r="AP69" s="529"/>
      <c r="AQ69" s="529"/>
      <c r="AR69" s="529"/>
      <c r="AS69" s="664"/>
      <c r="AT69" s="664"/>
      <c r="AU69" s="664"/>
      <c r="AV69" s="664"/>
      <c r="AW69" s="664"/>
      <c r="AX69" s="529"/>
      <c r="AY69" s="529"/>
      <c r="AZ69" s="529"/>
      <c r="BA69" s="529"/>
      <c r="BB69" s="665"/>
    </row>
    <row r="70" spans="1:54" ht="5.0999999999999996" hidden="1" customHeight="1" x14ac:dyDescent="0.2">
      <c r="A70" s="652"/>
      <c r="B70" s="653"/>
      <c r="C70" s="653"/>
      <c r="D70" s="653"/>
      <c r="E70" s="653"/>
      <c r="F70" s="653"/>
      <c r="G70" s="653"/>
      <c r="H70" s="19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91"/>
      <c r="AA70" s="191"/>
      <c r="AB70" s="195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s="165" customFormat="1" ht="11.25" hidden="1" customHeight="1" x14ac:dyDescent="0.2">
      <c r="A71" s="652"/>
      <c r="B71" s="653"/>
      <c r="C71" s="653"/>
      <c r="D71" s="653"/>
      <c r="E71" s="653"/>
      <c r="F71" s="653"/>
      <c r="G71" s="653"/>
      <c r="H71" s="197" t="s">
        <v>30</v>
      </c>
      <c r="I71" s="654">
        <v>0</v>
      </c>
      <c r="J71" s="654"/>
      <c r="K71" s="654"/>
      <c r="L71" s="191" t="s">
        <v>28</v>
      </c>
      <c r="M71" s="654">
        <v>0</v>
      </c>
      <c r="N71" s="654"/>
      <c r="O71" s="654"/>
      <c r="P71" s="191" t="s">
        <v>28</v>
      </c>
      <c r="Q71" s="654"/>
      <c r="R71" s="654"/>
      <c r="S71" s="654"/>
      <c r="T71" s="191" t="s">
        <v>28</v>
      </c>
      <c r="U71" s="654"/>
      <c r="V71" s="654"/>
      <c r="W71" s="654"/>
      <c r="X71" s="191" t="s">
        <v>31</v>
      </c>
      <c r="Y71" s="191" t="s">
        <v>28</v>
      </c>
      <c r="Z71" s="650">
        <v>2.6</v>
      </c>
      <c r="AA71" s="650"/>
      <c r="AB71" s="651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65" customFormat="1" ht="11.25" hidden="1" customHeight="1" thickBot="1" x14ac:dyDescent="0.25">
      <c r="A72" s="652"/>
      <c r="B72" s="653"/>
      <c r="C72" s="653"/>
      <c r="D72" s="653"/>
      <c r="E72" s="653"/>
      <c r="F72" s="653"/>
      <c r="G72" s="653"/>
      <c r="H72" s="198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200"/>
      <c r="AA72" s="200"/>
      <c r="AB72" s="201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65" customFormat="1" ht="15" hidden="1" customHeight="1" x14ac:dyDescent="0.2">
      <c r="A73" s="660" t="s">
        <v>84</v>
      </c>
      <c r="B73" s="661"/>
      <c r="C73" s="661"/>
      <c r="D73" s="661"/>
      <c r="E73" s="661"/>
      <c r="F73" s="661"/>
      <c r="G73" s="661"/>
      <c r="H73" s="19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94" t="e">
        <f>#REF!</f>
        <v>#REF!</v>
      </c>
      <c r="AA73" s="191"/>
      <c r="AB73" s="195"/>
      <c r="AC73" s="507">
        <f>((R74+(R74*U76)+(R74*Q76)+(R74*M76)+(R74*I76))*Z76)</f>
        <v>0</v>
      </c>
      <c r="AD73" s="507"/>
      <c r="AE73" s="507"/>
      <c r="AF73" s="507"/>
      <c r="AG73" s="507"/>
      <c r="AH73" s="529">
        <v>75</v>
      </c>
      <c r="AI73" s="529"/>
      <c r="AJ73" s="529"/>
      <c r="AK73" s="529"/>
      <c r="AL73" s="529"/>
      <c r="AM73" s="529"/>
      <c r="AN73" s="529">
        <f>AC73/AH73</f>
        <v>0</v>
      </c>
      <c r="AO73" s="529"/>
      <c r="AP73" s="529"/>
      <c r="AQ73" s="529"/>
      <c r="AR73" s="529"/>
      <c r="AS73" s="663">
        <f t="shared" ref="AS73" si="2">U27</f>
        <v>0</v>
      </c>
      <c r="AT73" s="663"/>
      <c r="AU73" s="663"/>
      <c r="AV73" s="663"/>
      <c r="AW73" s="663"/>
      <c r="AX73" s="529">
        <f>AN73*AS73</f>
        <v>0</v>
      </c>
      <c r="AY73" s="529"/>
      <c r="AZ73" s="529"/>
      <c r="BA73" s="529"/>
      <c r="BB73" s="665"/>
    </row>
    <row r="74" spans="1:54" s="165" customFormat="1" ht="21" hidden="1" customHeight="1" thickBot="1" x14ac:dyDescent="0.25">
      <c r="A74" s="652"/>
      <c r="B74" s="653"/>
      <c r="C74" s="653"/>
      <c r="D74" s="653"/>
      <c r="E74" s="653"/>
      <c r="F74" s="653"/>
      <c r="G74" s="653"/>
      <c r="H74" s="658" t="s">
        <v>26</v>
      </c>
      <c r="I74" s="659"/>
      <c r="J74" s="659"/>
      <c r="K74" s="659"/>
      <c r="L74" s="659"/>
      <c r="M74" s="659"/>
      <c r="N74" s="650">
        <v>0</v>
      </c>
      <c r="O74" s="650"/>
      <c r="P74" s="650"/>
      <c r="Q74" s="191" t="s">
        <v>27</v>
      </c>
      <c r="R74" s="650">
        <f>$AX$19*N74</f>
        <v>0</v>
      </c>
      <c r="S74" s="650"/>
      <c r="T74" s="650"/>
      <c r="U74" s="650"/>
      <c r="V74" s="650"/>
      <c r="W74" s="191" t="s">
        <v>28</v>
      </c>
      <c r="X74" s="191" t="s">
        <v>29</v>
      </c>
      <c r="Y74" s="191"/>
      <c r="Z74" s="191"/>
      <c r="AA74" s="191"/>
      <c r="AB74" s="195"/>
      <c r="AC74" s="529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29"/>
      <c r="AS74" s="664"/>
      <c r="AT74" s="664"/>
      <c r="AU74" s="664"/>
      <c r="AV74" s="664"/>
      <c r="AW74" s="664"/>
      <c r="AX74" s="529"/>
      <c r="AY74" s="529"/>
      <c r="AZ74" s="529"/>
      <c r="BA74" s="529"/>
      <c r="BB74" s="665"/>
    </row>
    <row r="75" spans="1:54" s="165" customFormat="1" ht="12" hidden="1" customHeight="1" thickBot="1" x14ac:dyDescent="0.25">
      <c r="A75" s="652"/>
      <c r="B75" s="653"/>
      <c r="C75" s="653"/>
      <c r="D75" s="653"/>
      <c r="E75" s="653"/>
      <c r="F75" s="653"/>
      <c r="G75" s="653"/>
      <c r="H75" s="196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91"/>
      <c r="AA75" s="191"/>
      <c r="AB75" s="195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29"/>
      <c r="AS75" s="664"/>
      <c r="AT75" s="664"/>
      <c r="AU75" s="664"/>
      <c r="AV75" s="664"/>
      <c r="AW75" s="664"/>
      <c r="AX75" s="529"/>
      <c r="AY75" s="529"/>
      <c r="AZ75" s="529"/>
      <c r="BA75" s="529"/>
      <c r="BB75" s="665"/>
    </row>
    <row r="76" spans="1:54" s="165" customFormat="1" ht="15.75" hidden="1" customHeight="1" thickBot="1" x14ac:dyDescent="0.25">
      <c r="A76" s="652"/>
      <c r="B76" s="653"/>
      <c r="C76" s="653"/>
      <c r="D76" s="653"/>
      <c r="E76" s="653"/>
      <c r="F76" s="653"/>
      <c r="G76" s="653"/>
      <c r="H76" s="197" t="s">
        <v>30</v>
      </c>
      <c r="I76" s="654">
        <v>0.2</v>
      </c>
      <c r="J76" s="654"/>
      <c r="K76" s="654"/>
      <c r="L76" s="191" t="s">
        <v>28</v>
      </c>
      <c r="M76" s="654">
        <v>0.15</v>
      </c>
      <c r="N76" s="654"/>
      <c r="O76" s="654"/>
      <c r="P76" s="191" t="s">
        <v>28</v>
      </c>
      <c r="Q76" s="654">
        <v>0.5</v>
      </c>
      <c r="R76" s="654"/>
      <c r="S76" s="654"/>
      <c r="T76" s="191" t="s">
        <v>28</v>
      </c>
      <c r="U76" s="654">
        <v>0</v>
      </c>
      <c r="V76" s="654"/>
      <c r="W76" s="654"/>
      <c r="X76" s="191" t="s">
        <v>31</v>
      </c>
      <c r="Y76" s="191" t="s">
        <v>28</v>
      </c>
      <c r="Z76" s="650">
        <v>2.6</v>
      </c>
      <c r="AA76" s="650"/>
      <c r="AB76" s="651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29"/>
      <c r="AS76" s="664"/>
      <c r="AT76" s="664"/>
      <c r="AU76" s="664"/>
      <c r="AV76" s="664"/>
      <c r="AW76" s="664"/>
      <c r="AX76" s="529"/>
      <c r="AY76" s="529"/>
      <c r="AZ76" s="529"/>
      <c r="BA76" s="529"/>
      <c r="BB76" s="665"/>
    </row>
    <row r="77" spans="1:54" ht="13.5" hidden="1" customHeight="1" thickBot="1" x14ac:dyDescent="0.25">
      <c r="A77" s="652"/>
      <c r="B77" s="653"/>
      <c r="C77" s="653"/>
      <c r="D77" s="653"/>
      <c r="E77" s="653"/>
      <c r="F77" s="653"/>
      <c r="G77" s="653"/>
      <c r="H77" s="198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200"/>
      <c r="AA77" s="200"/>
      <c r="AB77" s="201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29"/>
      <c r="AS77" s="664"/>
      <c r="AT77" s="664"/>
      <c r="AU77" s="664"/>
      <c r="AV77" s="664"/>
      <c r="AW77" s="664"/>
      <c r="AX77" s="529"/>
      <c r="AY77" s="529"/>
      <c r="AZ77" s="529"/>
      <c r="BA77" s="529"/>
      <c r="BB77" s="665"/>
    </row>
    <row r="78" spans="1:54" s="165" customFormat="1" ht="8.25" hidden="1" customHeight="1" x14ac:dyDescent="0.2">
      <c r="A78" s="660" t="s">
        <v>86</v>
      </c>
      <c r="B78" s="661"/>
      <c r="C78" s="661"/>
      <c r="D78" s="661"/>
      <c r="E78" s="661"/>
      <c r="F78" s="661"/>
      <c r="G78" s="661"/>
      <c r="H78" s="19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94" t="e">
        <f>#REF!</f>
        <v>#REF!</v>
      </c>
      <c r="AA78" s="191"/>
      <c r="AB78" s="195"/>
      <c r="AC78" s="662">
        <f>((R79+(R79*U81)+(R79*Q81)+(R79*M81)+(R79*I81))*Z81)*1.15</f>
        <v>0</v>
      </c>
      <c r="AD78" s="662"/>
      <c r="AE78" s="662"/>
      <c r="AF78" s="662"/>
      <c r="AG78" s="662"/>
      <c r="AH78" s="601">
        <v>144</v>
      </c>
      <c r="AI78" s="601"/>
      <c r="AJ78" s="601"/>
      <c r="AK78" s="601"/>
      <c r="AL78" s="601"/>
      <c r="AM78" s="601"/>
      <c r="AN78" s="601">
        <f>AC78/AH78</f>
        <v>0</v>
      </c>
      <c r="AO78" s="601"/>
      <c r="AP78" s="601"/>
      <c r="AQ78" s="601"/>
      <c r="AR78" s="601"/>
      <c r="AS78" s="663">
        <v>72</v>
      </c>
      <c r="AT78" s="663"/>
      <c r="AU78" s="663"/>
      <c r="AV78" s="663"/>
      <c r="AW78" s="663"/>
      <c r="AX78" s="601">
        <f>AN78*AS78</f>
        <v>0</v>
      </c>
      <c r="AY78" s="601"/>
      <c r="AZ78" s="601"/>
      <c r="BA78" s="601"/>
      <c r="BB78" s="655"/>
    </row>
    <row r="79" spans="1:54" s="165" customFormat="1" ht="27" hidden="1" customHeight="1" thickBot="1" x14ac:dyDescent="0.25">
      <c r="A79" s="652"/>
      <c r="B79" s="653"/>
      <c r="C79" s="653"/>
      <c r="D79" s="653"/>
      <c r="E79" s="653"/>
      <c r="F79" s="653"/>
      <c r="G79" s="653"/>
      <c r="H79" s="658" t="s">
        <v>26</v>
      </c>
      <c r="I79" s="659"/>
      <c r="J79" s="659"/>
      <c r="K79" s="659"/>
      <c r="L79" s="659"/>
      <c r="M79" s="659"/>
      <c r="N79" s="650">
        <v>0</v>
      </c>
      <c r="O79" s="650"/>
      <c r="P79" s="650"/>
      <c r="Q79" s="191" t="s">
        <v>27</v>
      </c>
      <c r="R79" s="650">
        <f>$AX$19*N79</f>
        <v>0</v>
      </c>
      <c r="S79" s="650"/>
      <c r="T79" s="650"/>
      <c r="U79" s="650"/>
      <c r="V79" s="650"/>
      <c r="W79" s="191" t="s">
        <v>28</v>
      </c>
      <c r="X79" s="191" t="s">
        <v>29</v>
      </c>
      <c r="Y79" s="191"/>
      <c r="Z79" s="191"/>
      <c r="AA79" s="191"/>
      <c r="AB79" s="195"/>
      <c r="AC79" s="601"/>
      <c r="AD79" s="601"/>
      <c r="AE79" s="601"/>
      <c r="AF79" s="601"/>
      <c r="AG79" s="601"/>
      <c r="AH79" s="601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64"/>
      <c r="AT79" s="664"/>
      <c r="AU79" s="664"/>
      <c r="AV79" s="664"/>
      <c r="AW79" s="664"/>
      <c r="AX79" s="601"/>
      <c r="AY79" s="601"/>
      <c r="AZ79" s="601"/>
      <c r="BA79" s="601"/>
      <c r="BB79" s="655"/>
    </row>
    <row r="80" spans="1:54" s="165" customFormat="1" ht="6.75" hidden="1" customHeight="1" thickBot="1" x14ac:dyDescent="0.25">
      <c r="A80" s="652"/>
      <c r="B80" s="653"/>
      <c r="C80" s="653"/>
      <c r="D80" s="653"/>
      <c r="E80" s="653"/>
      <c r="F80" s="653"/>
      <c r="G80" s="653"/>
      <c r="H80" s="19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91"/>
      <c r="AA80" s="191"/>
      <c r="AB80" s="195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ht="12" hidden="1" customHeight="1" thickBot="1" x14ac:dyDescent="0.25">
      <c r="A81" s="652"/>
      <c r="B81" s="653"/>
      <c r="C81" s="653"/>
      <c r="D81" s="653"/>
      <c r="E81" s="653"/>
      <c r="F81" s="653"/>
      <c r="G81" s="653"/>
      <c r="H81" s="197" t="s">
        <v>30</v>
      </c>
      <c r="I81" s="654">
        <v>0.2</v>
      </c>
      <c r="J81" s="654"/>
      <c r="K81" s="654"/>
      <c r="L81" s="191" t="s">
        <v>28</v>
      </c>
      <c r="M81" s="654">
        <v>0</v>
      </c>
      <c r="N81" s="654"/>
      <c r="O81" s="654"/>
      <c r="P81" s="191" t="s">
        <v>28</v>
      </c>
      <c r="Q81" s="654">
        <v>0</v>
      </c>
      <c r="R81" s="654"/>
      <c r="S81" s="654"/>
      <c r="T81" s="191" t="s">
        <v>28</v>
      </c>
      <c r="U81" s="654">
        <v>0</v>
      </c>
      <c r="V81" s="654"/>
      <c r="W81" s="654"/>
      <c r="X81" s="191" t="s">
        <v>31</v>
      </c>
      <c r="Y81" s="191" t="s">
        <v>28</v>
      </c>
      <c r="Z81" s="650">
        <v>2.6</v>
      </c>
      <c r="AA81" s="650"/>
      <c r="AB81" s="651"/>
      <c r="AC81" s="601"/>
      <c r="AD81" s="601"/>
      <c r="AE81" s="601"/>
      <c r="AF81" s="601"/>
      <c r="AG81" s="601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3.5" hidden="1" customHeight="1" thickBot="1" x14ac:dyDescent="0.25">
      <c r="A82" s="652"/>
      <c r="B82" s="653"/>
      <c r="C82" s="653"/>
      <c r="D82" s="653"/>
      <c r="E82" s="653"/>
      <c r="F82" s="653"/>
      <c r="G82" s="653"/>
      <c r="H82" s="202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4"/>
      <c r="AA82" s="204"/>
      <c r="AB82" s="205"/>
      <c r="AC82" s="601"/>
      <c r="AD82" s="601"/>
      <c r="AE82" s="601"/>
      <c r="AF82" s="601"/>
      <c r="AG82" s="601"/>
      <c r="AH82" s="656"/>
      <c r="AI82" s="656"/>
      <c r="AJ82" s="656"/>
      <c r="AK82" s="656"/>
      <c r="AL82" s="656"/>
      <c r="AM82" s="656"/>
      <c r="AN82" s="656"/>
      <c r="AO82" s="656"/>
      <c r="AP82" s="656"/>
      <c r="AQ82" s="656"/>
      <c r="AR82" s="656"/>
      <c r="AS82" s="664"/>
      <c r="AT82" s="664"/>
      <c r="AU82" s="664"/>
      <c r="AV82" s="664"/>
      <c r="AW82" s="664"/>
      <c r="AX82" s="656"/>
      <c r="AY82" s="656"/>
      <c r="AZ82" s="656"/>
      <c r="BA82" s="656"/>
      <c r="BB82" s="657"/>
    </row>
    <row r="83" spans="1:54" ht="11.25" customHeight="1" x14ac:dyDescent="0.2">
      <c r="R83" s="169" t="s">
        <v>18</v>
      </c>
      <c r="S83" s="170"/>
      <c r="T83" s="170"/>
      <c r="U83" s="171"/>
      <c r="V83" s="171"/>
      <c r="W83" s="171"/>
      <c r="X83" s="171"/>
      <c r="Y83" s="171"/>
      <c r="Z83" s="171"/>
      <c r="AA83" s="171"/>
      <c r="AB83" s="171"/>
      <c r="AC83" s="171"/>
      <c r="AD83" s="171" t="s">
        <v>19</v>
      </c>
      <c r="AE83" s="171" t="s">
        <v>20</v>
      </c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2"/>
      <c r="AS83" s="453">
        <f>AX83/U12</f>
        <v>338</v>
      </c>
      <c r="AT83" s="453"/>
      <c r="AU83" s="453"/>
      <c r="AV83" s="453"/>
      <c r="AW83" s="453"/>
      <c r="AX83" s="453">
        <f>SUM(AX58:BB82)</f>
        <v>4732</v>
      </c>
      <c r="AY83" s="453"/>
      <c r="AZ83" s="453"/>
      <c r="BA83" s="453"/>
      <c r="BB83" s="454"/>
    </row>
    <row r="84" spans="1:54" ht="11.25" customHeight="1" thickBot="1" x14ac:dyDescent="0.25">
      <c r="R84" s="175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 t="s">
        <v>19</v>
      </c>
      <c r="AE84" s="176" t="s">
        <v>21</v>
      </c>
      <c r="AF84" s="176"/>
      <c r="AG84" s="176"/>
      <c r="AH84" s="176"/>
      <c r="AI84" s="176"/>
      <c r="AJ84" s="176"/>
      <c r="AK84" s="176"/>
      <c r="AL84" s="176"/>
      <c r="AM84" s="176"/>
      <c r="AN84" s="176"/>
      <c r="AO84" s="630">
        <v>0.30199999999999999</v>
      </c>
      <c r="AP84" s="631"/>
      <c r="AQ84" s="631"/>
      <c r="AR84" s="632"/>
      <c r="AS84" s="463">
        <f>AX84/U12</f>
        <v>102.07599999999999</v>
      </c>
      <c r="AT84" s="463"/>
      <c r="AU84" s="463"/>
      <c r="AV84" s="463"/>
      <c r="AW84" s="463"/>
      <c r="AX84" s="463">
        <f>AX83*AO84</f>
        <v>1429.0639999999999</v>
      </c>
      <c r="AY84" s="463"/>
      <c r="AZ84" s="463"/>
      <c r="BA84" s="463"/>
      <c r="BB84" s="633"/>
    </row>
    <row r="85" spans="1:54" ht="11.25" customHeight="1" thickBot="1" x14ac:dyDescent="0.25">
      <c r="M85" s="164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206"/>
      <c r="AP85" s="179"/>
      <c r="AQ85" s="179"/>
      <c r="AR85" s="179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</row>
    <row r="86" spans="1:54" ht="12" customHeight="1" x14ac:dyDescent="0.2">
      <c r="A86" s="634" t="s">
        <v>32</v>
      </c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34"/>
      <c r="O86" s="635" t="s">
        <v>33</v>
      </c>
      <c r="P86" s="636"/>
      <c r="Q86" s="636"/>
      <c r="R86" s="636"/>
      <c r="S86" s="636"/>
      <c r="T86" s="636"/>
      <c r="U86" s="636"/>
      <c r="V86" s="636"/>
      <c r="W86" s="636"/>
      <c r="X86" s="636"/>
      <c r="Y86" s="636"/>
      <c r="Z86" s="636"/>
      <c r="AA86" s="636"/>
      <c r="AB86" s="636"/>
      <c r="AC86" s="636"/>
      <c r="AD86" s="636"/>
      <c r="AE86" s="636"/>
      <c r="AF86" s="636"/>
      <c r="AG86" s="636"/>
      <c r="AH86" s="636"/>
      <c r="AI86" s="636"/>
      <c r="AJ86" s="636"/>
      <c r="AK86" s="636"/>
      <c r="AL86" s="636"/>
      <c r="AM86" s="636"/>
      <c r="AN86" s="636"/>
      <c r="AO86" s="637">
        <f>AS34+AS51+AS83</f>
        <v>473.20000000000005</v>
      </c>
      <c r="AP86" s="637"/>
      <c r="AQ86" s="637"/>
      <c r="AR86" s="637"/>
      <c r="AS86" s="637"/>
      <c r="AT86" s="637"/>
      <c r="AU86" s="637"/>
      <c r="AV86" s="637">
        <f>AX34+AX51+AX83</f>
        <v>6624.8</v>
      </c>
      <c r="AW86" s="637"/>
      <c r="AX86" s="637"/>
      <c r="AY86" s="637"/>
      <c r="AZ86" s="637"/>
      <c r="BA86" s="637"/>
      <c r="BB86" s="638"/>
    </row>
    <row r="87" spans="1:54" ht="12" customHeight="1" thickBot="1" x14ac:dyDescent="0.25">
      <c r="M87" s="163"/>
      <c r="O87" s="643" t="s">
        <v>34</v>
      </c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4"/>
      <c r="AI87" s="644"/>
      <c r="AJ87" s="644"/>
      <c r="AK87" s="644"/>
      <c r="AL87" s="644"/>
      <c r="AM87" s="644"/>
      <c r="AN87" s="644"/>
      <c r="AO87" s="645">
        <f>AS35+AS52+AS84</f>
        <v>142.90639999999999</v>
      </c>
      <c r="AP87" s="645"/>
      <c r="AQ87" s="645"/>
      <c r="AR87" s="645"/>
      <c r="AS87" s="645"/>
      <c r="AT87" s="645"/>
      <c r="AU87" s="645"/>
      <c r="AV87" s="645">
        <f>AX35+AX52+AX84</f>
        <v>2000.6895999999999</v>
      </c>
      <c r="AW87" s="645"/>
      <c r="AX87" s="645"/>
      <c r="AY87" s="645"/>
      <c r="AZ87" s="645"/>
      <c r="BA87" s="645"/>
      <c r="BB87" s="646"/>
    </row>
    <row r="88" spans="1:54" ht="12" customHeight="1" thickBot="1" x14ac:dyDescent="0.25">
      <c r="M88" s="208" t="s">
        <v>35</v>
      </c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10"/>
      <c r="AO88" s="647">
        <f>AO87+AO86</f>
        <v>616.10640000000001</v>
      </c>
      <c r="AP88" s="648"/>
      <c r="AQ88" s="648"/>
      <c r="AR88" s="648"/>
      <c r="AS88" s="648"/>
      <c r="AT88" s="648"/>
      <c r="AU88" s="648"/>
      <c r="AV88" s="648">
        <f>AV86+AV87</f>
        <v>8625.4896000000008</v>
      </c>
      <c r="AW88" s="648"/>
      <c r="AX88" s="648"/>
      <c r="AY88" s="648"/>
      <c r="AZ88" s="648"/>
      <c r="BA88" s="648"/>
      <c r="BB88" s="649"/>
    </row>
    <row r="89" spans="1:54" ht="10.5" customHeight="1" x14ac:dyDescent="0.2"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</row>
    <row r="90" spans="1:54" s="159" customFormat="1" ht="15" customHeight="1" x14ac:dyDescent="0.2">
      <c r="A90" s="159" t="s">
        <v>36</v>
      </c>
      <c r="C90" s="159" t="s">
        <v>37</v>
      </c>
      <c r="AX90" s="160"/>
      <c r="AY90" s="160"/>
      <c r="AZ90" s="160"/>
      <c r="BA90" s="160"/>
      <c r="BB90" s="160"/>
    </row>
    <row r="91" spans="1:54" ht="12" customHeight="1" thickBot="1" x14ac:dyDescent="0.25"/>
    <row r="92" spans="1:54" s="163" customFormat="1" ht="39" customHeight="1" thickBot="1" x14ac:dyDescent="0.25">
      <c r="A92" s="1362" t="s">
        <v>38</v>
      </c>
      <c r="B92" s="1360"/>
      <c r="C92" s="1360"/>
      <c r="D92" s="1360"/>
      <c r="E92" s="1360"/>
      <c r="F92" s="1360"/>
      <c r="G92" s="1360"/>
      <c r="H92" s="1360"/>
      <c r="I92" s="1360"/>
      <c r="J92" s="1360"/>
      <c r="K92" s="1360"/>
      <c r="L92" s="1360"/>
      <c r="M92" s="1360"/>
      <c r="N92" s="1360"/>
      <c r="O92" s="1360"/>
      <c r="P92" s="1360"/>
      <c r="Q92" s="1363" t="s">
        <v>39</v>
      </c>
      <c r="R92" s="1363"/>
      <c r="S92" s="1363"/>
      <c r="T92" s="1363"/>
      <c r="U92" s="1363"/>
      <c r="V92" s="1363"/>
      <c r="W92" s="1363"/>
      <c r="X92" s="1363" t="s">
        <v>40</v>
      </c>
      <c r="Y92" s="1363"/>
      <c r="Z92" s="1363"/>
      <c r="AA92" s="1363"/>
      <c r="AB92" s="1363"/>
      <c r="AC92" s="1363"/>
      <c r="AD92" s="1363"/>
      <c r="AE92" s="1363" t="s">
        <v>41</v>
      </c>
      <c r="AF92" s="1363"/>
      <c r="AG92" s="1363"/>
      <c r="AH92" s="1363"/>
      <c r="AI92" s="1363"/>
      <c r="AJ92" s="1363"/>
      <c r="AK92" s="1363"/>
      <c r="AL92" s="1363"/>
      <c r="AM92" s="1360" t="s">
        <v>42</v>
      </c>
      <c r="AN92" s="1360"/>
      <c r="AO92" s="1360"/>
      <c r="AP92" s="1360"/>
      <c r="AQ92" s="1360"/>
      <c r="AR92" s="1360"/>
      <c r="AS92" s="1360"/>
      <c r="AT92" s="1360"/>
      <c r="AU92" s="1360"/>
      <c r="AV92" s="1360" t="s">
        <v>43</v>
      </c>
      <c r="AW92" s="1360"/>
      <c r="AX92" s="1360"/>
      <c r="AY92" s="1360"/>
      <c r="AZ92" s="1360"/>
      <c r="BA92" s="1360"/>
      <c r="BB92" s="1361"/>
    </row>
    <row r="93" spans="1:54" s="163" customFormat="1" ht="12" customHeight="1" thickBot="1" x14ac:dyDescent="0.25">
      <c r="A93" s="892">
        <v>1</v>
      </c>
      <c r="B93" s="890"/>
      <c r="C93" s="890"/>
      <c r="D93" s="890"/>
      <c r="E93" s="890"/>
      <c r="F93" s="890"/>
      <c r="G93" s="890"/>
      <c r="H93" s="890"/>
      <c r="I93" s="890"/>
      <c r="J93" s="890"/>
      <c r="K93" s="890"/>
      <c r="L93" s="890"/>
      <c r="M93" s="890"/>
      <c r="N93" s="890"/>
      <c r="O93" s="890"/>
      <c r="P93" s="890"/>
      <c r="Q93" s="890">
        <v>2</v>
      </c>
      <c r="R93" s="890"/>
      <c r="S93" s="890"/>
      <c r="T93" s="890"/>
      <c r="U93" s="890"/>
      <c r="V93" s="890"/>
      <c r="W93" s="890"/>
      <c r="X93" s="890">
        <v>3</v>
      </c>
      <c r="Y93" s="890"/>
      <c r="Z93" s="890"/>
      <c r="AA93" s="890"/>
      <c r="AB93" s="890"/>
      <c r="AC93" s="890"/>
      <c r="AD93" s="890"/>
      <c r="AE93" s="890">
        <v>4</v>
      </c>
      <c r="AF93" s="890"/>
      <c r="AG93" s="890"/>
      <c r="AH93" s="890"/>
      <c r="AI93" s="890"/>
      <c r="AJ93" s="890"/>
      <c r="AK93" s="890"/>
      <c r="AL93" s="890"/>
      <c r="AM93" s="890">
        <v>5</v>
      </c>
      <c r="AN93" s="890"/>
      <c r="AO93" s="890"/>
      <c r="AP93" s="890"/>
      <c r="AQ93" s="890"/>
      <c r="AR93" s="890"/>
      <c r="AS93" s="890"/>
      <c r="AT93" s="890"/>
      <c r="AU93" s="890"/>
      <c r="AV93" s="890">
        <v>6</v>
      </c>
      <c r="AW93" s="890"/>
      <c r="AX93" s="890"/>
      <c r="AY93" s="890"/>
      <c r="AZ93" s="890"/>
      <c r="BA93" s="890"/>
      <c r="BB93" s="891"/>
    </row>
    <row r="94" spans="1:54" ht="15" customHeight="1" x14ac:dyDescent="0.2">
      <c r="A94" s="618" t="s">
        <v>44</v>
      </c>
      <c r="B94" s="619"/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9"/>
      <c r="Q94" s="572">
        <v>5014.7</v>
      </c>
      <c r="R94" s="573"/>
      <c r="S94" s="573"/>
      <c r="T94" s="573"/>
      <c r="U94" s="573"/>
      <c r="V94" s="573"/>
      <c r="W94" s="574"/>
      <c r="X94" s="572">
        <v>100.8</v>
      </c>
      <c r="Y94" s="573"/>
      <c r="Z94" s="573"/>
      <c r="AA94" s="573"/>
      <c r="AB94" s="573"/>
      <c r="AC94" s="573"/>
      <c r="AD94" s="574"/>
      <c r="AE94" s="477">
        <v>1543273.99</v>
      </c>
      <c r="AF94" s="477"/>
      <c r="AG94" s="477"/>
      <c r="AH94" s="477"/>
      <c r="AI94" s="477"/>
      <c r="AJ94" s="477"/>
      <c r="AK94" s="477"/>
      <c r="AL94" s="477"/>
      <c r="AM94" s="620" t="s">
        <v>45</v>
      </c>
      <c r="AN94" s="621"/>
      <c r="AO94" s="621"/>
      <c r="AP94" s="621"/>
      <c r="AQ94" s="621"/>
      <c r="AR94" s="621"/>
      <c r="AS94" s="621"/>
      <c r="AT94" s="621"/>
      <c r="AU94" s="622"/>
      <c r="AV94" s="615">
        <f>AE94/$Q$94*$X$94/($AN$95*$AN$96)</f>
        <v>10.465992343643292</v>
      </c>
      <c r="AW94" s="615"/>
      <c r="AX94" s="615"/>
      <c r="AY94" s="615"/>
      <c r="AZ94" s="615"/>
      <c r="BA94" s="615"/>
      <c r="BB94" s="616"/>
    </row>
    <row r="95" spans="1:54" ht="15" customHeight="1" x14ac:dyDescent="0.2">
      <c r="A95" s="618" t="s">
        <v>46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/>
      <c r="R95" s="573"/>
      <c r="S95" s="573"/>
      <c r="T95" s="573"/>
      <c r="U95" s="573"/>
      <c r="V95" s="573"/>
      <c r="W95" s="574"/>
      <c r="X95" s="572"/>
      <c r="Y95" s="573"/>
      <c r="Z95" s="573"/>
      <c r="AA95" s="573"/>
      <c r="AB95" s="573"/>
      <c r="AC95" s="573"/>
      <c r="AD95" s="574"/>
      <c r="AE95" s="529">
        <v>2640483.81</v>
      </c>
      <c r="AF95" s="529"/>
      <c r="AG95" s="529"/>
      <c r="AH95" s="529"/>
      <c r="AI95" s="529"/>
      <c r="AJ95" s="529"/>
      <c r="AK95" s="529"/>
      <c r="AL95" s="529"/>
      <c r="AM95" s="213"/>
      <c r="AN95" s="623">
        <v>247</v>
      </c>
      <c r="AO95" s="623"/>
      <c r="AP95" s="623"/>
      <c r="AQ95" s="617" t="s">
        <v>47</v>
      </c>
      <c r="AR95" s="617"/>
      <c r="AS95" s="617"/>
      <c r="AT95" s="617"/>
      <c r="AU95" s="214"/>
      <c r="AV95" s="615">
        <f>AE95/$Q$94*$X$94/($AN$95*$AN$96)</f>
        <v>17.906919651366682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449" t="s">
        <v>48</v>
      </c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  <c r="M96" s="450"/>
      <c r="N96" s="450"/>
      <c r="O96" s="450"/>
      <c r="P96" s="451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529">
        <v>4214618.8899999997</v>
      </c>
      <c r="AF96" s="529"/>
      <c r="AG96" s="529"/>
      <c r="AH96" s="529"/>
      <c r="AI96" s="529"/>
      <c r="AJ96" s="529"/>
      <c r="AK96" s="529"/>
      <c r="AL96" s="529"/>
      <c r="AM96" s="213"/>
      <c r="AN96" s="562">
        <v>12</v>
      </c>
      <c r="AO96" s="562"/>
      <c r="AP96" s="562"/>
      <c r="AQ96" s="617" t="s">
        <v>49</v>
      </c>
      <c r="AR96" s="617"/>
      <c r="AS96" s="617"/>
      <c r="AT96" s="617"/>
      <c r="AU96" s="214"/>
      <c r="AV96" s="615">
        <f>AE96/$Q$94*$X$94/($AN$95*$AN$96)</f>
        <v>28.582202071658312</v>
      </c>
      <c r="AW96" s="615"/>
      <c r="AX96" s="615"/>
      <c r="AY96" s="615"/>
      <c r="AZ96" s="615"/>
      <c r="BA96" s="615"/>
      <c r="BB96" s="616"/>
    </row>
    <row r="97" spans="1:57" ht="15" customHeight="1" thickBot="1" x14ac:dyDescent="0.25">
      <c r="A97" s="624" t="s">
        <v>50</v>
      </c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6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627">
        <v>1852856.09</v>
      </c>
      <c r="AF97" s="627"/>
      <c r="AG97" s="627"/>
      <c r="AH97" s="627"/>
      <c r="AI97" s="627"/>
      <c r="AJ97" s="627"/>
      <c r="AK97" s="627"/>
      <c r="AL97" s="627"/>
      <c r="AM97" s="213"/>
      <c r="AN97" s="186"/>
      <c r="AO97" s="186"/>
      <c r="AP97" s="186"/>
      <c r="AQ97" s="186"/>
      <c r="AR97" s="186"/>
      <c r="AS97" s="186"/>
      <c r="AT97" s="186"/>
      <c r="AU97" s="214"/>
      <c r="AV97" s="628">
        <f>AE97/$Q$94*$X$94/($AN$95*$AN$96)</f>
        <v>12.565479478995721</v>
      </c>
      <c r="AW97" s="628"/>
      <c r="AX97" s="628"/>
      <c r="AY97" s="628"/>
      <c r="AZ97" s="628"/>
      <c r="BA97" s="628"/>
      <c r="BB97" s="629"/>
    </row>
    <row r="98" spans="1:57" s="161" customFormat="1" ht="15" customHeight="1" thickBot="1" x14ac:dyDescent="0.25">
      <c r="A98" s="610" t="s">
        <v>51</v>
      </c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531">
        <f>Q94</f>
        <v>5014.7</v>
      </c>
      <c r="R98" s="533"/>
      <c r="S98" s="533"/>
      <c r="T98" s="533"/>
      <c r="U98" s="533"/>
      <c r="V98" s="533"/>
      <c r="W98" s="534"/>
      <c r="X98" s="531">
        <f>X94</f>
        <v>100.8</v>
      </c>
      <c r="Y98" s="533"/>
      <c r="Z98" s="533"/>
      <c r="AA98" s="533"/>
      <c r="AB98" s="533"/>
      <c r="AC98" s="533"/>
      <c r="AD98" s="534"/>
      <c r="AE98" s="612">
        <f>SUM(AE94:AL97)</f>
        <v>10251232.779999999</v>
      </c>
      <c r="AF98" s="612"/>
      <c r="AG98" s="612"/>
      <c r="AH98" s="612"/>
      <c r="AI98" s="612"/>
      <c r="AJ98" s="612"/>
      <c r="AK98" s="612"/>
      <c r="AL98" s="612"/>
      <c r="AM98" s="531" t="s">
        <v>17</v>
      </c>
      <c r="AN98" s="533"/>
      <c r="AO98" s="533"/>
      <c r="AP98" s="533"/>
      <c r="AQ98" s="533"/>
      <c r="AR98" s="533"/>
      <c r="AS98" s="533"/>
      <c r="AT98" s="533"/>
      <c r="AU98" s="534"/>
      <c r="AV98" s="613">
        <f>SUM(AV94:BB97)</f>
        <v>69.520593545664013</v>
      </c>
      <c r="AW98" s="613"/>
      <c r="AX98" s="613"/>
      <c r="AY98" s="613"/>
      <c r="AZ98" s="613"/>
      <c r="BA98" s="613"/>
      <c r="BB98" s="614"/>
    </row>
    <row r="99" spans="1:57" ht="12" customHeight="1" x14ac:dyDescent="0.2"/>
    <row r="100" spans="1:57" s="159" customFormat="1" ht="15" customHeight="1" x14ac:dyDescent="0.2">
      <c r="A100" s="159" t="s">
        <v>52</v>
      </c>
      <c r="C100" s="159" t="s">
        <v>53</v>
      </c>
      <c r="AX100" s="160"/>
      <c r="AY100" s="160"/>
      <c r="AZ100" s="160"/>
      <c r="BA100" s="160"/>
      <c r="BB100" s="160"/>
    </row>
    <row r="101" spans="1:57" ht="12" customHeight="1" thickBot="1" x14ac:dyDescent="0.25"/>
    <row r="102" spans="1:57" ht="39" customHeight="1" thickBot="1" x14ac:dyDescent="0.25">
      <c r="A102" s="901" t="s">
        <v>54</v>
      </c>
      <c r="B102" s="552"/>
      <c r="C102" s="552"/>
      <c r="D102" s="552"/>
      <c r="E102" s="552"/>
      <c r="F102" s="552"/>
      <c r="G102" s="552"/>
      <c r="H102" s="552"/>
      <c r="I102" s="552"/>
      <c r="J102" s="552"/>
      <c r="K102" s="552"/>
      <c r="L102" s="552"/>
      <c r="M102" s="552"/>
      <c r="N102" s="552"/>
      <c r="O102" s="552"/>
      <c r="P102" s="552"/>
      <c r="Q102" s="552"/>
      <c r="R102" s="552"/>
      <c r="S102" s="552"/>
      <c r="T102" s="552"/>
      <c r="U102" s="552"/>
      <c r="V102" s="552"/>
      <c r="W102" s="552"/>
      <c r="X102" s="552"/>
      <c r="Y102" s="552"/>
      <c r="Z102" s="553"/>
      <c r="AA102" s="902" t="s">
        <v>55</v>
      </c>
      <c r="AB102" s="903"/>
      <c r="AC102" s="903"/>
      <c r="AD102" s="903"/>
      <c r="AE102" s="903"/>
      <c r="AF102" s="904"/>
      <c r="AG102" s="902" t="s">
        <v>56</v>
      </c>
      <c r="AH102" s="903"/>
      <c r="AI102" s="903"/>
      <c r="AJ102" s="903"/>
      <c r="AK102" s="903"/>
      <c r="AL102" s="904"/>
      <c r="AM102" s="551" t="s">
        <v>57</v>
      </c>
      <c r="AN102" s="552"/>
      <c r="AO102" s="552"/>
      <c r="AP102" s="552"/>
      <c r="AQ102" s="552"/>
      <c r="AR102" s="552"/>
      <c r="AS102" s="552"/>
      <c r="AT102" s="553"/>
      <c r="AU102" s="551" t="s">
        <v>43</v>
      </c>
      <c r="AV102" s="552"/>
      <c r="AW102" s="552"/>
      <c r="AX102" s="552"/>
      <c r="AY102" s="552"/>
      <c r="AZ102" s="552"/>
      <c r="BA102" s="552"/>
      <c r="BB102" s="584"/>
    </row>
    <row r="103" spans="1:57" ht="15.75" customHeight="1" thickBot="1" x14ac:dyDescent="0.25">
      <c r="A103" s="899">
        <v>1</v>
      </c>
      <c r="B103" s="631"/>
      <c r="C103" s="631"/>
      <c r="D103" s="631"/>
      <c r="E103" s="631"/>
      <c r="F103" s="631"/>
      <c r="G103" s="631"/>
      <c r="H103" s="631"/>
      <c r="I103" s="631"/>
      <c r="J103" s="631"/>
      <c r="K103" s="631"/>
      <c r="L103" s="631"/>
      <c r="M103" s="631"/>
      <c r="N103" s="631"/>
      <c r="O103" s="631"/>
      <c r="P103" s="631"/>
      <c r="Q103" s="631"/>
      <c r="R103" s="631"/>
      <c r="S103" s="631"/>
      <c r="T103" s="631"/>
      <c r="U103" s="631"/>
      <c r="V103" s="631"/>
      <c r="W103" s="631"/>
      <c r="X103" s="631"/>
      <c r="Y103" s="631"/>
      <c r="Z103" s="632"/>
      <c r="AA103" s="893">
        <v>2</v>
      </c>
      <c r="AB103" s="631"/>
      <c r="AC103" s="631"/>
      <c r="AD103" s="631"/>
      <c r="AE103" s="631"/>
      <c r="AF103" s="632"/>
      <c r="AG103" s="893">
        <v>3</v>
      </c>
      <c r="AH103" s="631"/>
      <c r="AI103" s="631"/>
      <c r="AJ103" s="631"/>
      <c r="AK103" s="631"/>
      <c r="AL103" s="632"/>
      <c r="AM103" s="893">
        <v>4</v>
      </c>
      <c r="AN103" s="631"/>
      <c r="AO103" s="631"/>
      <c r="AP103" s="631"/>
      <c r="AQ103" s="631"/>
      <c r="AR103" s="631"/>
      <c r="AS103" s="631"/>
      <c r="AT103" s="632"/>
      <c r="AU103" s="893">
        <v>5</v>
      </c>
      <c r="AV103" s="631"/>
      <c r="AW103" s="631"/>
      <c r="AX103" s="631"/>
      <c r="AY103" s="631"/>
      <c r="AZ103" s="631"/>
      <c r="BA103" s="631"/>
      <c r="BB103" s="900"/>
    </row>
    <row r="104" spans="1:57" ht="18.75" customHeight="1" x14ac:dyDescent="0.2">
      <c r="A104" s="856" t="s">
        <v>90</v>
      </c>
      <c r="B104" s="857"/>
      <c r="C104" s="857"/>
      <c r="D104" s="857"/>
      <c r="E104" s="857"/>
      <c r="F104" s="857"/>
      <c r="G104" s="857"/>
      <c r="H104" s="857"/>
      <c r="I104" s="857"/>
      <c r="J104" s="857"/>
      <c r="K104" s="857"/>
      <c r="L104" s="857"/>
      <c r="M104" s="857"/>
      <c r="N104" s="857"/>
      <c r="O104" s="857"/>
      <c r="P104" s="857"/>
      <c r="Q104" s="857"/>
      <c r="R104" s="857"/>
      <c r="S104" s="857"/>
      <c r="T104" s="857"/>
      <c r="U104" s="857"/>
      <c r="V104" s="857"/>
      <c r="W104" s="857"/>
      <c r="X104" s="857"/>
      <c r="Y104" s="857"/>
      <c r="Z104" s="858"/>
      <c r="AA104" s="604">
        <v>100</v>
      </c>
      <c r="AB104" s="605"/>
      <c r="AC104" s="605"/>
      <c r="AD104" s="605"/>
      <c r="AE104" s="605"/>
      <c r="AF104" s="606"/>
      <c r="AG104" s="569">
        <f>U12</f>
        <v>14</v>
      </c>
      <c r="AH104" s="570"/>
      <c r="AI104" s="570"/>
      <c r="AJ104" s="570"/>
      <c r="AK104" s="570"/>
      <c r="AL104" s="571"/>
      <c r="AM104" s="569" t="s">
        <v>58</v>
      </c>
      <c r="AN104" s="570"/>
      <c r="AO104" s="570"/>
      <c r="AP104" s="570"/>
      <c r="AQ104" s="570"/>
      <c r="AR104" s="570"/>
      <c r="AS104" s="570"/>
      <c r="AT104" s="571"/>
      <c r="AU104" s="1367">
        <f>AA104/AG104</f>
        <v>7.1428571428571432</v>
      </c>
      <c r="AV104" s="1368"/>
      <c r="AW104" s="1368"/>
      <c r="AX104" s="1368"/>
      <c r="AY104" s="1368"/>
      <c r="AZ104" s="1368"/>
      <c r="BA104" s="1368"/>
      <c r="BB104" s="1369"/>
    </row>
    <row r="105" spans="1:57" ht="20.25" customHeight="1" x14ac:dyDescent="0.2">
      <c r="A105" s="853" t="s">
        <v>96</v>
      </c>
      <c r="B105" s="854"/>
      <c r="C105" s="854"/>
      <c r="D105" s="854"/>
      <c r="E105" s="854"/>
      <c r="F105" s="854"/>
      <c r="G105" s="854"/>
      <c r="H105" s="854"/>
      <c r="I105" s="854"/>
      <c r="J105" s="854"/>
      <c r="K105" s="854"/>
      <c r="L105" s="854"/>
      <c r="M105" s="854"/>
      <c r="N105" s="854"/>
      <c r="O105" s="854"/>
      <c r="P105" s="854"/>
      <c r="Q105" s="854"/>
      <c r="R105" s="854"/>
      <c r="S105" s="854"/>
      <c r="T105" s="854"/>
      <c r="U105" s="854"/>
      <c r="V105" s="854"/>
      <c r="W105" s="854"/>
      <c r="X105" s="854"/>
      <c r="Y105" s="854"/>
      <c r="Z105" s="855"/>
      <c r="AA105" s="596">
        <v>30</v>
      </c>
      <c r="AB105" s="597"/>
      <c r="AC105" s="597"/>
      <c r="AD105" s="597"/>
      <c r="AE105" s="597"/>
      <c r="AF105" s="59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1364">
        <f>AA105/AG104</f>
        <v>2.1428571428571428</v>
      </c>
      <c r="AV105" s="1365"/>
      <c r="AW105" s="1365"/>
      <c r="AX105" s="1365"/>
      <c r="AY105" s="1365"/>
      <c r="AZ105" s="1365"/>
      <c r="BA105" s="1365"/>
      <c r="BB105" s="1366"/>
    </row>
    <row r="106" spans="1:57" ht="20.25" customHeight="1" x14ac:dyDescent="0.2">
      <c r="A106" s="853" t="s">
        <v>322</v>
      </c>
      <c r="B106" s="854"/>
      <c r="C106" s="854"/>
      <c r="D106" s="854"/>
      <c r="E106" s="854"/>
      <c r="F106" s="854"/>
      <c r="G106" s="854"/>
      <c r="H106" s="854"/>
      <c r="I106" s="854"/>
      <c r="J106" s="854"/>
      <c r="K106" s="854"/>
      <c r="L106" s="854"/>
      <c r="M106" s="854"/>
      <c r="N106" s="854"/>
      <c r="O106" s="854"/>
      <c r="P106" s="854"/>
      <c r="Q106" s="854"/>
      <c r="R106" s="854"/>
      <c r="S106" s="854"/>
      <c r="T106" s="854"/>
      <c r="U106" s="854"/>
      <c r="V106" s="854"/>
      <c r="W106" s="854"/>
      <c r="X106" s="854"/>
      <c r="Y106" s="854"/>
      <c r="Z106" s="855"/>
      <c r="AA106" s="596">
        <v>500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1364">
        <f>AA106/AG104</f>
        <v>35.714285714285715</v>
      </c>
      <c r="AV106" s="1365"/>
      <c r="AW106" s="1365"/>
      <c r="AX106" s="1365"/>
      <c r="AY106" s="1365"/>
      <c r="AZ106" s="1365"/>
      <c r="BA106" s="1365"/>
      <c r="BB106" s="1366"/>
      <c r="BE106" s="117">
        <f>AU106*12*4</f>
        <v>1714.2857142857142</v>
      </c>
    </row>
    <row r="107" spans="1:57" ht="22.5" customHeight="1" x14ac:dyDescent="0.2">
      <c r="A107" s="853" t="s">
        <v>323</v>
      </c>
      <c r="B107" s="854"/>
      <c r="C107" s="854"/>
      <c r="D107" s="854"/>
      <c r="E107" s="854"/>
      <c r="F107" s="854"/>
      <c r="G107" s="854"/>
      <c r="H107" s="854"/>
      <c r="I107" s="854"/>
      <c r="J107" s="854"/>
      <c r="K107" s="854"/>
      <c r="L107" s="854"/>
      <c r="M107" s="854"/>
      <c r="N107" s="854"/>
      <c r="O107" s="854"/>
      <c r="P107" s="854"/>
      <c r="Q107" s="854"/>
      <c r="R107" s="854"/>
      <c r="S107" s="854"/>
      <c r="T107" s="854"/>
      <c r="U107" s="854"/>
      <c r="V107" s="854"/>
      <c r="W107" s="854"/>
      <c r="X107" s="854"/>
      <c r="Y107" s="854"/>
      <c r="Z107" s="855"/>
      <c r="AA107" s="596">
        <v>500</v>
      </c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1364">
        <f>AA107/AG104</f>
        <v>35.714285714285715</v>
      </c>
      <c r="AV107" s="1365"/>
      <c r="AW107" s="1365"/>
      <c r="AX107" s="1365"/>
      <c r="AY107" s="1365"/>
      <c r="AZ107" s="1365"/>
      <c r="BA107" s="1365"/>
      <c r="BB107" s="1366"/>
    </row>
    <row r="108" spans="1:57" ht="18" customHeight="1" x14ac:dyDescent="0.2">
      <c r="A108" s="862" t="s">
        <v>429</v>
      </c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3"/>
      <c r="AA108" s="596">
        <v>264.93</v>
      </c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>
        <f>AA108/AG104</f>
        <v>18.923571428571428</v>
      </c>
      <c r="AV108" s="591"/>
      <c r="AW108" s="591"/>
      <c r="AX108" s="591"/>
      <c r="AY108" s="591"/>
      <c r="AZ108" s="591"/>
      <c r="BA108" s="591"/>
      <c r="BB108" s="592"/>
    </row>
    <row r="109" spans="1:57" ht="19.5" hidden="1" customHeight="1" x14ac:dyDescent="0.2">
      <c r="A109" s="796" t="s">
        <v>266</v>
      </c>
      <c r="B109" s="594"/>
      <c r="C109" s="594"/>
      <c r="D109" s="594"/>
      <c r="E109" s="594"/>
      <c r="F109" s="594"/>
      <c r="G109" s="594"/>
      <c r="H109" s="594"/>
      <c r="I109" s="594"/>
      <c r="J109" s="594"/>
      <c r="K109" s="594"/>
      <c r="L109" s="594"/>
      <c r="M109" s="594"/>
      <c r="N109" s="594"/>
      <c r="O109" s="594"/>
      <c r="P109" s="594"/>
      <c r="Q109" s="594"/>
      <c r="R109" s="594"/>
      <c r="S109" s="594"/>
      <c r="T109" s="594"/>
      <c r="U109" s="594"/>
      <c r="V109" s="594"/>
      <c r="W109" s="594"/>
      <c r="X109" s="594"/>
      <c r="Y109" s="594"/>
      <c r="Z109" s="595"/>
      <c r="AA109" s="596">
        <v>0</v>
      </c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590">
        <f>AA109/AG104</f>
        <v>0</v>
      </c>
      <c r="AV109" s="591"/>
      <c r="AW109" s="591"/>
      <c r="AX109" s="591"/>
      <c r="AY109" s="591"/>
      <c r="AZ109" s="591"/>
      <c r="BA109" s="591"/>
      <c r="BB109" s="797"/>
    </row>
    <row r="110" spans="1:57" ht="0.75" hidden="1" customHeight="1" x14ac:dyDescent="0.2">
      <c r="A110" s="796"/>
      <c r="B110" s="594"/>
      <c r="C110" s="594"/>
      <c r="D110" s="594"/>
      <c r="E110" s="594"/>
      <c r="F110" s="594"/>
      <c r="G110" s="594"/>
      <c r="H110" s="594"/>
      <c r="I110" s="594"/>
      <c r="J110" s="594"/>
      <c r="K110" s="594"/>
      <c r="L110" s="594"/>
      <c r="M110" s="594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4"/>
      <c r="Z110" s="595"/>
      <c r="AA110" s="596"/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590">
        <f>AA110/AG104</f>
        <v>0</v>
      </c>
      <c r="AV110" s="591"/>
      <c r="AW110" s="591"/>
      <c r="AX110" s="591"/>
      <c r="AY110" s="591"/>
      <c r="AZ110" s="591"/>
      <c r="BA110" s="591"/>
      <c r="BB110" s="797"/>
    </row>
    <row r="111" spans="1:57" ht="19.5" hidden="1" customHeight="1" x14ac:dyDescent="0.2">
      <c r="A111" s="796"/>
      <c r="B111" s="594"/>
      <c r="C111" s="594"/>
      <c r="D111" s="594"/>
      <c r="E111" s="594"/>
      <c r="F111" s="594"/>
      <c r="G111" s="594"/>
      <c r="H111" s="594"/>
      <c r="I111" s="594"/>
      <c r="J111" s="594"/>
      <c r="K111" s="594"/>
      <c r="L111" s="594"/>
      <c r="M111" s="594"/>
      <c r="N111" s="594"/>
      <c r="O111" s="594"/>
      <c r="P111" s="594"/>
      <c r="Q111" s="594"/>
      <c r="R111" s="594"/>
      <c r="S111" s="594"/>
      <c r="T111" s="594"/>
      <c r="U111" s="594"/>
      <c r="V111" s="594"/>
      <c r="W111" s="594"/>
      <c r="X111" s="594"/>
      <c r="Y111" s="594"/>
      <c r="Z111" s="595"/>
      <c r="AA111" s="596"/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AA111/AG104</f>
        <v>0</v>
      </c>
      <c r="AV111" s="591"/>
      <c r="AW111" s="591"/>
      <c r="AX111" s="591"/>
      <c r="AY111" s="591"/>
      <c r="AZ111" s="591"/>
      <c r="BA111" s="591"/>
      <c r="BB111" s="797"/>
    </row>
    <row r="112" spans="1:57" ht="20.25" hidden="1" customHeight="1" x14ac:dyDescent="0.2">
      <c r="A112" s="796"/>
      <c r="B112" s="594"/>
      <c r="C112" s="594"/>
      <c r="D112" s="594"/>
      <c r="E112" s="594"/>
      <c r="F112" s="594"/>
      <c r="G112" s="594"/>
      <c r="H112" s="594"/>
      <c r="I112" s="594"/>
      <c r="J112" s="594"/>
      <c r="K112" s="594"/>
      <c r="L112" s="594"/>
      <c r="M112" s="594"/>
      <c r="N112" s="594"/>
      <c r="O112" s="594"/>
      <c r="P112" s="594"/>
      <c r="Q112" s="594"/>
      <c r="R112" s="594"/>
      <c r="S112" s="594"/>
      <c r="T112" s="594"/>
      <c r="U112" s="594"/>
      <c r="V112" s="594"/>
      <c r="W112" s="594"/>
      <c r="X112" s="594"/>
      <c r="Y112" s="594"/>
      <c r="Z112" s="595"/>
      <c r="AA112" s="596"/>
      <c r="AB112" s="597"/>
      <c r="AC112" s="597"/>
      <c r="AD112" s="597"/>
      <c r="AE112" s="597"/>
      <c r="AF112" s="598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AA112/AG104</f>
        <v>0</v>
      </c>
      <c r="AV112" s="591"/>
      <c r="AW112" s="591"/>
      <c r="AX112" s="591"/>
      <c r="AY112" s="591"/>
      <c r="AZ112" s="591"/>
      <c r="BA112" s="591"/>
      <c r="BB112" s="797"/>
    </row>
    <row r="113" spans="1:54" ht="16.5" hidden="1" customHeight="1" x14ac:dyDescent="0.2">
      <c r="A113" s="796"/>
      <c r="B113" s="594"/>
      <c r="C113" s="594"/>
      <c r="D113" s="594"/>
      <c r="E113" s="594"/>
      <c r="F113" s="594"/>
      <c r="G113" s="594"/>
      <c r="H113" s="594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4"/>
      <c r="Z113" s="595"/>
      <c r="AA113" s="596"/>
      <c r="AB113" s="597"/>
      <c r="AC113" s="597"/>
      <c r="AD113" s="597"/>
      <c r="AE113" s="597"/>
      <c r="AF113" s="598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AA113/AG104</f>
        <v>0</v>
      </c>
      <c r="AV113" s="591"/>
      <c r="AW113" s="591"/>
      <c r="AX113" s="591"/>
      <c r="AY113" s="591"/>
      <c r="AZ113" s="591"/>
      <c r="BA113" s="591"/>
      <c r="BB113" s="797"/>
    </row>
    <row r="114" spans="1:54" s="161" customFormat="1" ht="19.5" hidden="1" customHeight="1" x14ac:dyDescent="0.2">
      <c r="A114" s="796"/>
      <c r="B114" s="594"/>
      <c r="C114" s="594"/>
      <c r="D114" s="594"/>
      <c r="E114" s="594"/>
      <c r="F114" s="594"/>
      <c r="G114" s="594"/>
      <c r="H114" s="594"/>
      <c r="I114" s="594"/>
      <c r="J114" s="594"/>
      <c r="K114" s="594"/>
      <c r="L114" s="594"/>
      <c r="M114" s="594"/>
      <c r="N114" s="594"/>
      <c r="O114" s="594"/>
      <c r="P114" s="594"/>
      <c r="Q114" s="594"/>
      <c r="R114" s="594"/>
      <c r="S114" s="594"/>
      <c r="T114" s="594"/>
      <c r="U114" s="594"/>
      <c r="V114" s="594"/>
      <c r="W114" s="594"/>
      <c r="X114" s="594"/>
      <c r="Y114" s="594"/>
      <c r="Z114" s="595"/>
      <c r="AA114" s="596"/>
      <c r="AB114" s="597"/>
      <c r="AC114" s="597"/>
      <c r="AD114" s="597"/>
      <c r="AE114" s="597"/>
      <c r="AF114" s="598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AA114/AG104</f>
        <v>0</v>
      </c>
      <c r="AV114" s="591"/>
      <c r="AW114" s="591"/>
      <c r="AX114" s="591"/>
      <c r="AY114" s="591"/>
      <c r="AZ114" s="591"/>
      <c r="BA114" s="591"/>
      <c r="BB114" s="797"/>
    </row>
    <row r="115" spans="1:54" ht="1.5" hidden="1" customHeight="1" x14ac:dyDescent="0.2">
      <c r="A115" s="796"/>
      <c r="B115" s="594"/>
      <c r="C115" s="594"/>
      <c r="D115" s="594"/>
      <c r="E115" s="594"/>
      <c r="F115" s="594"/>
      <c r="G115" s="594"/>
      <c r="H115" s="594"/>
      <c r="I115" s="594"/>
      <c r="J115" s="594"/>
      <c r="K115" s="594"/>
      <c r="L115" s="594"/>
      <c r="M115" s="594"/>
      <c r="N115" s="594"/>
      <c r="O115" s="594"/>
      <c r="P115" s="594"/>
      <c r="Q115" s="594"/>
      <c r="R115" s="594"/>
      <c r="S115" s="594"/>
      <c r="T115" s="594"/>
      <c r="U115" s="594"/>
      <c r="V115" s="594"/>
      <c r="W115" s="594"/>
      <c r="X115" s="594"/>
      <c r="Y115" s="594"/>
      <c r="Z115" s="595"/>
      <c r="AA115" s="596"/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AA115/AG104</f>
        <v>0</v>
      </c>
      <c r="AV115" s="591"/>
      <c r="AW115" s="591"/>
      <c r="AX115" s="591"/>
      <c r="AY115" s="591"/>
      <c r="AZ115" s="591"/>
      <c r="BA115" s="591"/>
      <c r="BB115" s="797"/>
    </row>
    <row r="116" spans="1:54" s="159" customFormat="1" ht="17.25" hidden="1" customHeight="1" x14ac:dyDescent="0.2">
      <c r="A116" s="796"/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5"/>
      <c r="AA116" s="596"/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AA116/AG104</f>
        <v>0</v>
      </c>
      <c r="AV116" s="591"/>
      <c r="AW116" s="591"/>
      <c r="AX116" s="591"/>
      <c r="AY116" s="591"/>
      <c r="AZ116" s="591"/>
      <c r="BA116" s="591"/>
      <c r="BB116" s="797"/>
    </row>
    <row r="117" spans="1:54" ht="20.25" hidden="1" customHeight="1" x14ac:dyDescent="0.2">
      <c r="A117" s="796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AA117/AG104</f>
        <v>0</v>
      </c>
      <c r="AV117" s="591"/>
      <c r="AW117" s="591"/>
      <c r="AX117" s="591"/>
      <c r="AY117" s="591"/>
      <c r="AZ117" s="591"/>
      <c r="BA117" s="591"/>
      <c r="BB117" s="797"/>
    </row>
    <row r="118" spans="1:54" ht="18.75" hidden="1" customHeight="1" x14ac:dyDescent="0.2">
      <c r="A118" s="796"/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596"/>
      <c r="AB118" s="597"/>
      <c r="AC118" s="597"/>
      <c r="AD118" s="597"/>
      <c r="AE118" s="597"/>
      <c r="AF118" s="59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AA118/AG104</f>
        <v>0</v>
      </c>
      <c r="AV118" s="591"/>
      <c r="AW118" s="591"/>
      <c r="AX118" s="591"/>
      <c r="AY118" s="591"/>
      <c r="AZ118" s="591"/>
      <c r="BA118" s="591"/>
      <c r="BB118" s="797"/>
    </row>
    <row r="119" spans="1:54" ht="37.5" hidden="1" customHeight="1" x14ac:dyDescent="0.2">
      <c r="A119" s="796"/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596"/>
      <c r="AB119" s="597"/>
      <c r="AC119" s="597"/>
      <c r="AD119" s="597"/>
      <c r="AE119" s="597"/>
      <c r="AF119" s="59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AA119/AG104</f>
        <v>0</v>
      </c>
      <c r="AV119" s="591"/>
      <c r="AW119" s="591"/>
      <c r="AX119" s="591"/>
      <c r="AY119" s="591"/>
      <c r="AZ119" s="591"/>
      <c r="BA119" s="591"/>
      <c r="BB119" s="797"/>
    </row>
    <row r="120" spans="1:54" ht="28.5" hidden="1" customHeight="1" x14ac:dyDescent="0.2">
      <c r="A120" s="796"/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5"/>
      <c r="AA120" s="596"/>
      <c r="AB120" s="597"/>
      <c r="AC120" s="597"/>
      <c r="AD120" s="597"/>
      <c r="AE120" s="597"/>
      <c r="AF120" s="598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90">
        <f>AA120/AG104</f>
        <v>0</v>
      </c>
      <c r="AV120" s="591"/>
      <c r="AW120" s="591"/>
      <c r="AX120" s="591"/>
      <c r="AY120" s="591"/>
      <c r="AZ120" s="591"/>
      <c r="BA120" s="591"/>
      <c r="BB120" s="797"/>
    </row>
    <row r="121" spans="1:54" ht="21" hidden="1" customHeight="1" x14ac:dyDescent="0.2">
      <c r="A121" s="796"/>
      <c r="B121" s="594"/>
      <c r="C121" s="594"/>
      <c r="D121" s="594"/>
      <c r="E121" s="594"/>
      <c r="F121" s="594"/>
      <c r="G121" s="594"/>
      <c r="H121" s="594"/>
      <c r="I121" s="594"/>
      <c r="J121" s="594"/>
      <c r="K121" s="594"/>
      <c r="L121" s="594"/>
      <c r="M121" s="594"/>
      <c r="N121" s="594"/>
      <c r="O121" s="594"/>
      <c r="P121" s="594"/>
      <c r="Q121" s="594"/>
      <c r="R121" s="594"/>
      <c r="S121" s="594"/>
      <c r="T121" s="594"/>
      <c r="U121" s="594"/>
      <c r="V121" s="594"/>
      <c r="W121" s="594"/>
      <c r="X121" s="594"/>
      <c r="Y121" s="594"/>
      <c r="Z121" s="595"/>
      <c r="AA121" s="596"/>
      <c r="AB121" s="597"/>
      <c r="AC121" s="597"/>
      <c r="AD121" s="597"/>
      <c r="AE121" s="597"/>
      <c r="AF121" s="598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590">
        <f>AA121/AG104</f>
        <v>0</v>
      </c>
      <c r="AV121" s="591"/>
      <c r="AW121" s="591"/>
      <c r="AX121" s="591"/>
      <c r="AY121" s="591"/>
      <c r="AZ121" s="591"/>
      <c r="BA121" s="591"/>
      <c r="BB121" s="797"/>
    </row>
    <row r="122" spans="1:54" ht="21" hidden="1" customHeight="1" x14ac:dyDescent="0.2">
      <c r="A122" s="600"/>
      <c r="B122" s="600"/>
      <c r="C122" s="600"/>
      <c r="D122" s="600"/>
      <c r="E122" s="600"/>
      <c r="F122" s="600"/>
      <c r="G122" s="600"/>
      <c r="H122" s="600"/>
      <c r="I122" s="600"/>
      <c r="J122" s="600"/>
      <c r="K122" s="600"/>
      <c r="L122" s="600"/>
      <c r="M122" s="600"/>
      <c r="N122" s="600"/>
      <c r="O122" s="600"/>
      <c r="P122" s="600"/>
      <c r="Q122" s="600"/>
      <c r="R122" s="600"/>
      <c r="S122" s="600"/>
      <c r="T122" s="600"/>
      <c r="U122" s="600"/>
      <c r="V122" s="600"/>
      <c r="W122" s="600"/>
      <c r="X122" s="600"/>
      <c r="Y122" s="600"/>
      <c r="Z122" s="600"/>
      <c r="AA122" s="601"/>
      <c r="AB122" s="601"/>
      <c r="AC122" s="601"/>
      <c r="AD122" s="601"/>
      <c r="AE122" s="601"/>
      <c r="AF122" s="601"/>
      <c r="AG122" s="572"/>
      <c r="AH122" s="573"/>
      <c r="AI122" s="573"/>
      <c r="AJ122" s="573"/>
      <c r="AK122" s="573"/>
      <c r="AL122" s="574"/>
      <c r="AM122" s="572"/>
      <c r="AN122" s="573"/>
      <c r="AO122" s="573"/>
      <c r="AP122" s="573"/>
      <c r="AQ122" s="573"/>
      <c r="AR122" s="573"/>
      <c r="AS122" s="573"/>
      <c r="AT122" s="574"/>
      <c r="AU122" s="602">
        <f>AA122/AG104</f>
        <v>0</v>
      </c>
      <c r="AV122" s="602"/>
      <c r="AW122" s="602"/>
      <c r="AX122" s="602"/>
      <c r="AY122" s="602"/>
      <c r="AZ122" s="602"/>
      <c r="BA122" s="602"/>
      <c r="BB122" s="602"/>
    </row>
    <row r="123" spans="1:54" ht="0.75" customHeight="1" thickBot="1" x14ac:dyDescent="0.25">
      <c r="A123" s="798"/>
      <c r="B123" s="798"/>
      <c r="C123" s="798"/>
      <c r="D123" s="798"/>
      <c r="E123" s="798"/>
      <c r="F123" s="798"/>
      <c r="G123" s="798"/>
      <c r="H123" s="798"/>
      <c r="I123" s="798"/>
      <c r="J123" s="798"/>
      <c r="K123" s="798"/>
      <c r="L123" s="798"/>
      <c r="M123" s="798"/>
      <c r="N123" s="798"/>
      <c r="O123" s="798"/>
      <c r="P123" s="798"/>
      <c r="Q123" s="798"/>
      <c r="R123" s="798"/>
      <c r="S123" s="798"/>
      <c r="T123" s="798"/>
      <c r="U123" s="798"/>
      <c r="V123" s="798"/>
      <c r="W123" s="798"/>
      <c r="X123" s="798"/>
      <c r="Y123" s="798"/>
      <c r="Z123" s="798"/>
      <c r="AA123" s="799"/>
      <c r="AB123" s="799"/>
      <c r="AC123" s="799"/>
      <c r="AD123" s="799"/>
      <c r="AE123" s="799"/>
      <c r="AF123" s="799"/>
      <c r="AG123" s="572"/>
      <c r="AH123" s="573"/>
      <c r="AI123" s="573"/>
      <c r="AJ123" s="573"/>
      <c r="AK123" s="573"/>
      <c r="AL123" s="574"/>
      <c r="AM123" s="572"/>
      <c r="AN123" s="573"/>
      <c r="AO123" s="573"/>
      <c r="AP123" s="573"/>
      <c r="AQ123" s="573"/>
      <c r="AR123" s="573"/>
      <c r="AS123" s="573"/>
      <c r="AT123" s="574"/>
      <c r="AU123" s="800">
        <f>AA123/AG104</f>
        <v>0</v>
      </c>
      <c r="AV123" s="800"/>
      <c r="AW123" s="800"/>
      <c r="AX123" s="800"/>
      <c r="AY123" s="800"/>
      <c r="AZ123" s="800"/>
      <c r="BA123" s="800"/>
      <c r="BB123" s="800"/>
    </row>
    <row r="124" spans="1:54" ht="16.5" customHeight="1" thickBot="1" x14ac:dyDescent="0.25">
      <c r="A124" s="545" t="s">
        <v>51</v>
      </c>
      <c r="B124" s="546"/>
      <c r="C124" s="546"/>
      <c r="D124" s="546"/>
      <c r="E124" s="546"/>
      <c r="F124" s="546"/>
      <c r="G124" s="546"/>
      <c r="H124" s="546"/>
      <c r="I124" s="546"/>
      <c r="J124" s="546"/>
      <c r="K124" s="546"/>
      <c r="L124" s="546"/>
      <c r="M124" s="546"/>
      <c r="N124" s="546"/>
      <c r="O124" s="546"/>
      <c r="P124" s="546"/>
      <c r="Q124" s="546"/>
      <c r="R124" s="546"/>
      <c r="S124" s="546"/>
      <c r="T124" s="546"/>
      <c r="U124" s="546"/>
      <c r="V124" s="546"/>
      <c r="W124" s="546"/>
      <c r="X124" s="546"/>
      <c r="Y124" s="546"/>
      <c r="Z124" s="547"/>
      <c r="AA124" s="582">
        <f>SUM(AA104:AF123)</f>
        <v>1394.93</v>
      </c>
      <c r="AB124" s="583"/>
      <c r="AC124" s="583"/>
      <c r="AD124" s="583"/>
      <c r="AE124" s="583"/>
      <c r="AF124" s="583"/>
      <c r="AG124" s="532">
        <f>AG104</f>
        <v>14</v>
      </c>
      <c r="AH124" s="533"/>
      <c r="AI124" s="533"/>
      <c r="AJ124" s="533"/>
      <c r="AK124" s="533"/>
      <c r="AL124" s="534"/>
      <c r="AM124" s="551" t="s">
        <v>17</v>
      </c>
      <c r="AN124" s="552"/>
      <c r="AO124" s="552"/>
      <c r="AP124" s="552"/>
      <c r="AQ124" s="552"/>
      <c r="AR124" s="552"/>
      <c r="AS124" s="552"/>
      <c r="AT124" s="584"/>
      <c r="AU124" s="555">
        <f>SUM(AU104:BB123)</f>
        <v>99.637857142857143</v>
      </c>
      <c r="AV124" s="555"/>
      <c r="AW124" s="555"/>
      <c r="AX124" s="555"/>
      <c r="AY124" s="555"/>
      <c r="AZ124" s="555"/>
      <c r="BA124" s="555"/>
      <c r="BB124" s="556"/>
    </row>
    <row r="125" spans="1:54" ht="62.25" customHeight="1" x14ac:dyDescent="0.2"/>
    <row r="126" spans="1:54" s="161" customFormat="1" ht="15" customHeight="1" x14ac:dyDescent="0.2">
      <c r="A126" s="159" t="s">
        <v>59</v>
      </c>
      <c r="B126" s="159"/>
      <c r="C126" s="159" t="s">
        <v>60</v>
      </c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60"/>
      <c r="AY126" s="160"/>
      <c r="AZ126" s="160"/>
      <c r="BA126" s="160"/>
      <c r="BB126" s="160"/>
    </row>
    <row r="127" spans="1:54" ht="12" customHeight="1" thickBot="1" x14ac:dyDescent="0.25"/>
    <row r="128" spans="1:54" s="159" customFormat="1" ht="12" customHeight="1" x14ac:dyDescent="0.2">
      <c r="A128" s="585" t="s">
        <v>54</v>
      </c>
      <c r="B128" s="586"/>
      <c r="C128" s="586"/>
      <c r="D128" s="586"/>
      <c r="E128" s="586"/>
      <c r="F128" s="586"/>
      <c r="G128" s="586"/>
      <c r="H128" s="586"/>
      <c r="I128" s="586"/>
      <c r="J128" s="586"/>
      <c r="K128" s="586"/>
      <c r="L128" s="586"/>
      <c r="M128" s="586"/>
      <c r="N128" s="586"/>
      <c r="O128" s="586"/>
      <c r="P128" s="586"/>
      <c r="Q128" s="586"/>
      <c r="R128" s="586"/>
      <c r="S128" s="586"/>
      <c r="T128" s="586"/>
      <c r="U128" s="586"/>
      <c r="V128" s="586"/>
      <c r="W128" s="586"/>
      <c r="X128" s="586"/>
      <c r="Y128" s="586"/>
      <c r="Z128" s="587"/>
      <c r="AA128" s="536" t="s">
        <v>55</v>
      </c>
      <c r="AB128" s="537"/>
      <c r="AC128" s="537"/>
      <c r="AD128" s="537"/>
      <c r="AE128" s="537"/>
      <c r="AF128" s="538"/>
      <c r="AG128" s="536" t="s">
        <v>56</v>
      </c>
      <c r="AH128" s="537"/>
      <c r="AI128" s="537"/>
      <c r="AJ128" s="537"/>
      <c r="AK128" s="537"/>
      <c r="AL128" s="538"/>
      <c r="AM128" s="588" t="s">
        <v>57</v>
      </c>
      <c r="AN128" s="586"/>
      <c r="AO128" s="586"/>
      <c r="AP128" s="586"/>
      <c r="AQ128" s="586"/>
      <c r="AR128" s="586"/>
      <c r="AS128" s="586"/>
      <c r="AT128" s="587"/>
      <c r="AU128" s="588" t="s">
        <v>43</v>
      </c>
      <c r="AV128" s="586"/>
      <c r="AW128" s="586"/>
      <c r="AX128" s="586"/>
      <c r="AY128" s="586"/>
      <c r="AZ128" s="586"/>
      <c r="BA128" s="586"/>
      <c r="BB128" s="589"/>
    </row>
    <row r="129" spans="1:54" ht="11.25" customHeight="1" thickBot="1" x14ac:dyDescent="0.25">
      <c r="A129" s="564">
        <v>1</v>
      </c>
      <c r="B129" s="475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5"/>
      <c r="O129" s="475"/>
      <c r="P129" s="475"/>
      <c r="Q129" s="475"/>
      <c r="R129" s="475"/>
      <c r="S129" s="475"/>
      <c r="T129" s="475"/>
      <c r="U129" s="475"/>
      <c r="V129" s="475"/>
      <c r="W129" s="475"/>
      <c r="X129" s="475"/>
      <c r="Y129" s="475"/>
      <c r="Z129" s="476"/>
      <c r="AA129" s="474">
        <v>2</v>
      </c>
      <c r="AB129" s="475"/>
      <c r="AC129" s="475"/>
      <c r="AD129" s="475"/>
      <c r="AE129" s="475"/>
      <c r="AF129" s="476"/>
      <c r="AG129" s="474">
        <v>3</v>
      </c>
      <c r="AH129" s="475"/>
      <c r="AI129" s="475"/>
      <c r="AJ129" s="475"/>
      <c r="AK129" s="475"/>
      <c r="AL129" s="476"/>
      <c r="AM129" s="474">
        <v>4</v>
      </c>
      <c r="AN129" s="475"/>
      <c r="AO129" s="475"/>
      <c r="AP129" s="475"/>
      <c r="AQ129" s="475"/>
      <c r="AR129" s="475"/>
      <c r="AS129" s="475"/>
      <c r="AT129" s="476"/>
      <c r="AU129" s="474">
        <v>5</v>
      </c>
      <c r="AV129" s="475"/>
      <c r="AW129" s="475"/>
      <c r="AX129" s="475"/>
      <c r="AY129" s="475"/>
      <c r="AZ129" s="475"/>
      <c r="BA129" s="475"/>
      <c r="BB129" s="565"/>
    </row>
    <row r="130" spans="1:54" ht="31.5" hidden="1" customHeight="1" x14ac:dyDescent="0.2">
      <c r="A130" s="566"/>
      <c r="B130" s="567"/>
      <c r="C130" s="567"/>
      <c r="D130" s="567"/>
      <c r="E130" s="567"/>
      <c r="F130" s="567"/>
      <c r="G130" s="567"/>
      <c r="H130" s="567"/>
      <c r="I130" s="567"/>
      <c r="J130" s="567"/>
      <c r="K130" s="567"/>
      <c r="L130" s="567"/>
      <c r="M130" s="567"/>
      <c r="N130" s="567"/>
      <c r="O130" s="567"/>
      <c r="P130" s="567"/>
      <c r="Q130" s="567"/>
      <c r="R130" s="567"/>
      <c r="S130" s="567"/>
      <c r="T130" s="567"/>
      <c r="U130" s="567"/>
      <c r="V130" s="567"/>
      <c r="W130" s="567"/>
      <c r="X130" s="567"/>
      <c r="Y130" s="567"/>
      <c r="Z130" s="568"/>
      <c r="AA130" s="569">
        <v>0</v>
      </c>
      <c r="AB130" s="570"/>
      <c r="AC130" s="570"/>
      <c r="AD130" s="570"/>
      <c r="AE130" s="570"/>
      <c r="AF130" s="571"/>
      <c r="AG130" s="569">
        <f>U12</f>
        <v>14</v>
      </c>
      <c r="AH130" s="570"/>
      <c r="AI130" s="570"/>
      <c r="AJ130" s="570"/>
      <c r="AK130" s="570"/>
      <c r="AL130" s="571"/>
      <c r="AM130" s="569" t="s">
        <v>61</v>
      </c>
      <c r="AN130" s="570"/>
      <c r="AO130" s="570"/>
      <c r="AP130" s="570"/>
      <c r="AQ130" s="570"/>
      <c r="AR130" s="570"/>
      <c r="AS130" s="570"/>
      <c r="AT130" s="571"/>
      <c r="AU130" s="558">
        <f>AA130/AG130</f>
        <v>0</v>
      </c>
      <c r="AV130" s="559"/>
      <c r="AW130" s="559"/>
      <c r="AX130" s="559"/>
      <c r="AY130" s="559"/>
      <c r="AZ130" s="559"/>
      <c r="BA130" s="559"/>
      <c r="BB130" s="560"/>
    </row>
    <row r="131" spans="1:54" ht="4.5" hidden="1" customHeight="1" x14ac:dyDescent="0.2">
      <c r="A131" s="561"/>
      <c r="B131" s="562"/>
      <c r="C131" s="562"/>
      <c r="D131" s="562"/>
      <c r="E131" s="562"/>
      <c r="F131" s="562"/>
      <c r="G131" s="562"/>
      <c r="H131" s="562"/>
      <c r="I131" s="562"/>
      <c r="J131" s="562"/>
      <c r="K131" s="562"/>
      <c r="L131" s="562"/>
      <c r="M131" s="562"/>
      <c r="N131" s="562"/>
      <c r="O131" s="562"/>
      <c r="P131" s="562"/>
      <c r="Q131" s="562"/>
      <c r="R131" s="562"/>
      <c r="S131" s="562"/>
      <c r="T131" s="562"/>
      <c r="U131" s="562"/>
      <c r="V131" s="562"/>
      <c r="W131" s="562"/>
      <c r="X131" s="562"/>
      <c r="Y131" s="562"/>
      <c r="Z131" s="563"/>
      <c r="AA131" s="518"/>
      <c r="AB131" s="518"/>
      <c r="AC131" s="518"/>
      <c r="AD131" s="518"/>
      <c r="AE131" s="518"/>
      <c r="AF131" s="518"/>
      <c r="AG131" s="572"/>
      <c r="AH131" s="573"/>
      <c r="AI131" s="573"/>
      <c r="AJ131" s="573"/>
      <c r="AK131" s="573"/>
      <c r="AL131" s="574"/>
      <c r="AM131" s="572"/>
      <c r="AN131" s="573"/>
      <c r="AO131" s="573"/>
      <c r="AP131" s="573"/>
      <c r="AQ131" s="573"/>
      <c r="AR131" s="573"/>
      <c r="AS131" s="573"/>
      <c r="AT131" s="574"/>
      <c r="AU131" s="558">
        <f>AA131/AG130</f>
        <v>0</v>
      </c>
      <c r="AV131" s="559"/>
      <c r="AW131" s="559"/>
      <c r="AX131" s="559"/>
      <c r="AY131" s="559"/>
      <c r="AZ131" s="559"/>
      <c r="BA131" s="559"/>
      <c r="BB131" s="560"/>
    </row>
    <row r="132" spans="1:54" ht="21" customHeight="1" x14ac:dyDescent="0.2">
      <c r="A132" s="449"/>
      <c r="B132" s="450"/>
      <c r="C132" s="450"/>
      <c r="D132" s="450"/>
      <c r="E132" s="450"/>
      <c r="F132" s="450"/>
      <c r="G132" s="450"/>
      <c r="H132" s="450"/>
      <c r="I132" s="450"/>
      <c r="J132" s="450"/>
      <c r="K132" s="450"/>
      <c r="L132" s="450"/>
      <c r="M132" s="450"/>
      <c r="N132" s="450"/>
      <c r="O132" s="450"/>
      <c r="P132" s="450"/>
      <c r="Q132" s="450"/>
      <c r="R132" s="450"/>
      <c r="S132" s="450"/>
      <c r="T132" s="450"/>
      <c r="U132" s="450"/>
      <c r="V132" s="450"/>
      <c r="W132" s="450"/>
      <c r="X132" s="450"/>
      <c r="Y132" s="450"/>
      <c r="Z132" s="451"/>
      <c r="AA132" s="557"/>
      <c r="AB132" s="557"/>
      <c r="AC132" s="557"/>
      <c r="AD132" s="557"/>
      <c r="AE132" s="557"/>
      <c r="AF132" s="557"/>
      <c r="AG132" s="572"/>
      <c r="AH132" s="573"/>
      <c r="AI132" s="573"/>
      <c r="AJ132" s="573"/>
      <c r="AK132" s="573"/>
      <c r="AL132" s="574"/>
      <c r="AM132" s="572"/>
      <c r="AN132" s="573"/>
      <c r="AO132" s="573"/>
      <c r="AP132" s="573"/>
      <c r="AQ132" s="573"/>
      <c r="AR132" s="573"/>
      <c r="AS132" s="573"/>
      <c r="AT132" s="574"/>
      <c r="AU132" s="558">
        <f>AA132/AG130</f>
        <v>0</v>
      </c>
      <c r="AV132" s="559"/>
      <c r="AW132" s="559"/>
      <c r="AX132" s="559"/>
      <c r="AY132" s="559"/>
      <c r="AZ132" s="559"/>
      <c r="BA132" s="559"/>
      <c r="BB132" s="560"/>
    </row>
    <row r="133" spans="1:54" ht="21" customHeight="1" x14ac:dyDescent="0.2">
      <c r="A133" s="449"/>
      <c r="B133" s="450"/>
      <c r="C133" s="450"/>
      <c r="D133" s="450"/>
      <c r="E133" s="450"/>
      <c r="F133" s="450"/>
      <c r="G133" s="450"/>
      <c r="H133" s="450"/>
      <c r="I133" s="450"/>
      <c r="J133" s="450"/>
      <c r="K133" s="450"/>
      <c r="L133" s="450"/>
      <c r="M133" s="450"/>
      <c r="N133" s="450"/>
      <c r="O133" s="450"/>
      <c r="P133" s="450"/>
      <c r="Q133" s="450"/>
      <c r="R133" s="450"/>
      <c r="S133" s="450"/>
      <c r="T133" s="450"/>
      <c r="U133" s="450"/>
      <c r="V133" s="450"/>
      <c r="W133" s="450"/>
      <c r="X133" s="450"/>
      <c r="Y133" s="450"/>
      <c r="Z133" s="451"/>
      <c r="AA133" s="557"/>
      <c r="AB133" s="557"/>
      <c r="AC133" s="557"/>
      <c r="AD133" s="557"/>
      <c r="AE133" s="557"/>
      <c r="AF133" s="557"/>
      <c r="AG133" s="572"/>
      <c r="AH133" s="573"/>
      <c r="AI133" s="573"/>
      <c r="AJ133" s="573"/>
      <c r="AK133" s="573"/>
      <c r="AL133" s="574"/>
      <c r="AM133" s="572"/>
      <c r="AN133" s="573"/>
      <c r="AO133" s="573"/>
      <c r="AP133" s="573"/>
      <c r="AQ133" s="573"/>
      <c r="AR133" s="573"/>
      <c r="AS133" s="573"/>
      <c r="AT133" s="574"/>
      <c r="AU133" s="558">
        <f>AA133/AG130</f>
        <v>0</v>
      </c>
      <c r="AV133" s="559"/>
      <c r="AW133" s="559"/>
      <c r="AX133" s="559"/>
      <c r="AY133" s="559"/>
      <c r="AZ133" s="559"/>
      <c r="BA133" s="559"/>
      <c r="BB133" s="560"/>
    </row>
    <row r="134" spans="1:54" ht="6" hidden="1" customHeight="1" x14ac:dyDescent="0.2">
      <c r="A134" s="449"/>
      <c r="B134" s="450"/>
      <c r="C134" s="450"/>
      <c r="D134" s="450"/>
      <c r="E134" s="450"/>
      <c r="F134" s="450"/>
      <c r="G134" s="450"/>
      <c r="H134" s="450"/>
      <c r="I134" s="450"/>
      <c r="J134" s="450"/>
      <c r="K134" s="450"/>
      <c r="L134" s="450"/>
      <c r="M134" s="450"/>
      <c r="N134" s="450"/>
      <c r="O134" s="450"/>
      <c r="P134" s="450"/>
      <c r="Q134" s="450"/>
      <c r="R134" s="450"/>
      <c r="S134" s="450"/>
      <c r="T134" s="450"/>
      <c r="U134" s="450"/>
      <c r="V134" s="450"/>
      <c r="W134" s="450"/>
      <c r="X134" s="450"/>
      <c r="Y134" s="450"/>
      <c r="Z134" s="451"/>
      <c r="AA134" s="557"/>
      <c r="AB134" s="557"/>
      <c r="AC134" s="557"/>
      <c r="AD134" s="557"/>
      <c r="AE134" s="557"/>
      <c r="AF134" s="557"/>
      <c r="AG134" s="572"/>
      <c r="AH134" s="573"/>
      <c r="AI134" s="573"/>
      <c r="AJ134" s="573"/>
      <c r="AK134" s="573"/>
      <c r="AL134" s="574"/>
      <c r="AM134" s="572"/>
      <c r="AN134" s="573"/>
      <c r="AO134" s="573"/>
      <c r="AP134" s="573"/>
      <c r="AQ134" s="573"/>
      <c r="AR134" s="573"/>
      <c r="AS134" s="573"/>
      <c r="AT134" s="574"/>
      <c r="AU134" s="558">
        <f>AA134/AG130</f>
        <v>0</v>
      </c>
      <c r="AV134" s="559"/>
      <c r="AW134" s="559"/>
      <c r="AX134" s="559"/>
      <c r="AY134" s="559"/>
      <c r="AZ134" s="559"/>
      <c r="BA134" s="559"/>
      <c r="BB134" s="560"/>
    </row>
    <row r="135" spans="1:54" ht="0.75" customHeight="1" thickBot="1" x14ac:dyDescent="0.25">
      <c r="A135" s="575"/>
      <c r="B135" s="576"/>
      <c r="C135" s="576"/>
      <c r="D135" s="576"/>
      <c r="E135" s="576"/>
      <c r="F135" s="576"/>
      <c r="G135" s="576"/>
      <c r="H135" s="576"/>
      <c r="I135" s="576"/>
      <c r="J135" s="576"/>
      <c r="K135" s="576"/>
      <c r="L135" s="576"/>
      <c r="M135" s="576"/>
      <c r="N135" s="576"/>
      <c r="O135" s="576"/>
      <c r="P135" s="576"/>
      <c r="Q135" s="576"/>
      <c r="R135" s="576"/>
      <c r="S135" s="576"/>
      <c r="T135" s="576"/>
      <c r="U135" s="576"/>
      <c r="V135" s="576"/>
      <c r="W135" s="576"/>
      <c r="X135" s="576"/>
      <c r="Y135" s="576"/>
      <c r="Z135" s="577"/>
      <c r="AA135" s="578">
        <v>0</v>
      </c>
      <c r="AB135" s="578"/>
      <c r="AC135" s="578"/>
      <c r="AD135" s="578"/>
      <c r="AE135" s="578"/>
      <c r="AF135" s="578"/>
      <c r="AG135" s="572"/>
      <c r="AH135" s="573"/>
      <c r="AI135" s="573"/>
      <c r="AJ135" s="573"/>
      <c r="AK135" s="573"/>
      <c r="AL135" s="574"/>
      <c r="AM135" s="572"/>
      <c r="AN135" s="573"/>
      <c r="AO135" s="573"/>
      <c r="AP135" s="573"/>
      <c r="AQ135" s="573"/>
      <c r="AR135" s="573"/>
      <c r="AS135" s="573"/>
      <c r="AT135" s="574"/>
      <c r="AU135" s="579">
        <f>AA135/AG130</f>
        <v>0</v>
      </c>
      <c r="AV135" s="580"/>
      <c r="AW135" s="580"/>
      <c r="AX135" s="580"/>
      <c r="AY135" s="580"/>
      <c r="AZ135" s="580"/>
      <c r="BA135" s="580"/>
      <c r="BB135" s="581"/>
    </row>
    <row r="136" spans="1:54" ht="15" customHeight="1" thickBot="1" x14ac:dyDescent="0.25">
      <c r="A136" s="545" t="s">
        <v>51</v>
      </c>
      <c r="B136" s="546"/>
      <c r="C136" s="546"/>
      <c r="D136" s="546"/>
      <c r="E136" s="546"/>
      <c r="F136" s="546"/>
      <c r="G136" s="546"/>
      <c r="H136" s="546"/>
      <c r="I136" s="546"/>
      <c r="J136" s="546"/>
      <c r="K136" s="546"/>
      <c r="L136" s="546"/>
      <c r="M136" s="546"/>
      <c r="N136" s="546"/>
      <c r="O136" s="546"/>
      <c r="P136" s="546"/>
      <c r="Q136" s="546"/>
      <c r="R136" s="546"/>
      <c r="S136" s="546"/>
      <c r="T136" s="546"/>
      <c r="U136" s="546"/>
      <c r="V136" s="546"/>
      <c r="W136" s="546"/>
      <c r="X136" s="546"/>
      <c r="Y136" s="546"/>
      <c r="Z136" s="547"/>
      <c r="AA136" s="548">
        <f>SUM(AA130:AF133)</f>
        <v>0</v>
      </c>
      <c r="AB136" s="549"/>
      <c r="AC136" s="549"/>
      <c r="AD136" s="549"/>
      <c r="AE136" s="549"/>
      <c r="AF136" s="550"/>
      <c r="AG136" s="531">
        <f>AG130</f>
        <v>14</v>
      </c>
      <c r="AH136" s="533"/>
      <c r="AI136" s="533"/>
      <c r="AJ136" s="533"/>
      <c r="AK136" s="533"/>
      <c r="AL136" s="534"/>
      <c r="AM136" s="551" t="s">
        <v>17</v>
      </c>
      <c r="AN136" s="552"/>
      <c r="AO136" s="552"/>
      <c r="AP136" s="552"/>
      <c r="AQ136" s="552"/>
      <c r="AR136" s="552"/>
      <c r="AS136" s="552"/>
      <c r="AT136" s="553"/>
      <c r="AU136" s="554">
        <f>SUM(AU130:BB135)</f>
        <v>0</v>
      </c>
      <c r="AV136" s="555"/>
      <c r="AW136" s="555"/>
      <c r="AX136" s="555"/>
      <c r="AY136" s="555"/>
      <c r="AZ136" s="555"/>
      <c r="BA136" s="555"/>
      <c r="BB136" s="556"/>
    </row>
    <row r="137" spans="1:54" s="161" customFormat="1" ht="15" customHeight="1" x14ac:dyDescent="0.2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</row>
    <row r="138" spans="1:54" ht="27" customHeight="1" x14ac:dyDescent="0.2">
      <c r="A138" s="159" t="s">
        <v>62</v>
      </c>
      <c r="B138" s="159"/>
      <c r="C138" s="159" t="s">
        <v>63</v>
      </c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159"/>
      <c r="AX138" s="160"/>
      <c r="AY138" s="160"/>
      <c r="AZ138" s="160"/>
      <c r="BA138" s="160"/>
      <c r="BB138" s="160"/>
    </row>
    <row r="139" spans="1:54" ht="21.75" customHeight="1" thickBot="1" x14ac:dyDescent="0.25"/>
    <row r="140" spans="1:54" ht="63" customHeight="1" x14ac:dyDescent="0.2">
      <c r="A140" s="499" t="s">
        <v>54</v>
      </c>
      <c r="B140" s="500"/>
      <c r="C140" s="500"/>
      <c r="D140" s="500"/>
      <c r="E140" s="500"/>
      <c r="F140" s="500"/>
      <c r="G140" s="500"/>
      <c r="H140" s="535" t="s">
        <v>64</v>
      </c>
      <c r="I140" s="535"/>
      <c r="J140" s="535"/>
      <c r="K140" s="535"/>
      <c r="L140" s="535"/>
      <c r="M140" s="535" t="s">
        <v>94</v>
      </c>
      <c r="N140" s="535"/>
      <c r="O140" s="535"/>
      <c r="P140" s="535"/>
      <c r="Q140" s="535"/>
      <c r="R140" s="535" t="s">
        <v>82</v>
      </c>
      <c r="S140" s="535"/>
      <c r="T140" s="535"/>
      <c r="U140" s="535"/>
      <c r="V140" s="535" t="s">
        <v>65</v>
      </c>
      <c r="W140" s="535"/>
      <c r="X140" s="535"/>
      <c r="Y140" s="535"/>
      <c r="Z140" s="535" t="s">
        <v>66</v>
      </c>
      <c r="AA140" s="535"/>
      <c r="AB140" s="535"/>
      <c r="AC140" s="535"/>
      <c r="AD140" s="535" t="s">
        <v>67</v>
      </c>
      <c r="AE140" s="535"/>
      <c r="AF140" s="535"/>
      <c r="AG140" s="535"/>
      <c r="AH140" s="535"/>
      <c r="AI140" s="535"/>
      <c r="AJ140" s="535"/>
      <c r="AK140" s="535"/>
      <c r="AL140" s="535"/>
      <c r="AM140" s="535"/>
      <c r="AN140" s="535"/>
      <c r="AO140" s="535"/>
      <c r="AP140" s="535"/>
      <c r="AQ140" s="535" t="s">
        <v>425</v>
      </c>
      <c r="AR140" s="535"/>
      <c r="AS140" s="535"/>
      <c r="AT140" s="535"/>
      <c r="AU140" s="536" t="s">
        <v>428</v>
      </c>
      <c r="AV140" s="537"/>
      <c r="AW140" s="537"/>
      <c r="AX140" s="538"/>
      <c r="AY140" s="536" t="s">
        <v>87</v>
      </c>
      <c r="AZ140" s="537"/>
      <c r="BA140" s="537"/>
      <c r="BB140" s="539"/>
    </row>
    <row r="141" spans="1:54" ht="71.25" customHeight="1" thickBot="1" x14ac:dyDescent="0.25">
      <c r="A141" s="501"/>
      <c r="B141" s="502"/>
      <c r="C141" s="502"/>
      <c r="D141" s="502"/>
      <c r="E141" s="502"/>
      <c r="F141" s="502"/>
      <c r="G141" s="502"/>
      <c r="H141" s="540" t="s">
        <v>68</v>
      </c>
      <c r="I141" s="540"/>
      <c r="J141" s="540"/>
      <c r="K141" s="540"/>
      <c r="L141" s="540"/>
      <c r="M141" s="540" t="s">
        <v>68</v>
      </c>
      <c r="N141" s="540"/>
      <c r="O141" s="540"/>
      <c r="P141" s="540"/>
      <c r="Q141" s="540"/>
      <c r="R141" s="540"/>
      <c r="S141" s="540"/>
      <c r="T141" s="540"/>
      <c r="U141" s="540"/>
      <c r="V141" s="540"/>
      <c r="W141" s="540"/>
      <c r="X141" s="540"/>
      <c r="Y141" s="540"/>
      <c r="Z141" s="540"/>
      <c r="AA141" s="540"/>
      <c r="AB141" s="540"/>
      <c r="AC141" s="540"/>
      <c r="AD141" s="540" t="s">
        <v>68</v>
      </c>
      <c r="AE141" s="540"/>
      <c r="AF141" s="540"/>
      <c r="AG141" s="540"/>
      <c r="AH141" s="540"/>
      <c r="AI141" s="540"/>
      <c r="AJ141" s="541" t="s">
        <v>69</v>
      </c>
      <c r="AK141" s="542"/>
      <c r="AL141" s="542"/>
      <c r="AM141" s="542"/>
      <c r="AN141" s="542"/>
      <c r="AO141" s="542"/>
      <c r="AP141" s="543"/>
      <c r="AQ141" s="540" t="s">
        <v>68</v>
      </c>
      <c r="AR141" s="540"/>
      <c r="AS141" s="540"/>
      <c r="AT141" s="540"/>
      <c r="AU141" s="540" t="s">
        <v>68</v>
      </c>
      <c r="AV141" s="540"/>
      <c r="AW141" s="540"/>
      <c r="AX141" s="540"/>
      <c r="AY141" s="540" t="s">
        <v>68</v>
      </c>
      <c r="AZ141" s="540"/>
      <c r="BA141" s="540"/>
      <c r="BB141" s="544"/>
    </row>
    <row r="142" spans="1:54" ht="22.5" customHeight="1" thickBot="1" x14ac:dyDescent="0.25">
      <c r="A142" s="530">
        <v>1</v>
      </c>
      <c r="B142" s="503"/>
      <c r="C142" s="503"/>
      <c r="D142" s="503"/>
      <c r="E142" s="503"/>
      <c r="F142" s="503"/>
      <c r="G142" s="503"/>
      <c r="H142" s="503">
        <v>2</v>
      </c>
      <c r="I142" s="503"/>
      <c r="J142" s="503"/>
      <c r="K142" s="503"/>
      <c r="L142" s="503"/>
      <c r="M142" s="503">
        <v>3</v>
      </c>
      <c r="N142" s="503"/>
      <c r="O142" s="503"/>
      <c r="P142" s="503"/>
      <c r="Q142" s="503"/>
      <c r="R142" s="503">
        <v>4</v>
      </c>
      <c r="S142" s="503"/>
      <c r="T142" s="503"/>
      <c r="U142" s="503"/>
      <c r="V142" s="503">
        <v>5</v>
      </c>
      <c r="W142" s="503"/>
      <c r="X142" s="503"/>
      <c r="Y142" s="503"/>
      <c r="Z142" s="503">
        <v>6</v>
      </c>
      <c r="AA142" s="503"/>
      <c r="AB142" s="503"/>
      <c r="AC142" s="531"/>
      <c r="AD142" s="503">
        <v>7</v>
      </c>
      <c r="AE142" s="503"/>
      <c r="AF142" s="503"/>
      <c r="AG142" s="503"/>
      <c r="AH142" s="503"/>
      <c r="AI142" s="503"/>
      <c r="AJ142" s="533">
        <v>8</v>
      </c>
      <c r="AK142" s="533"/>
      <c r="AL142" s="533"/>
      <c r="AM142" s="533"/>
      <c r="AN142" s="533"/>
      <c r="AO142" s="533"/>
      <c r="AP142" s="534"/>
      <c r="AQ142" s="503">
        <v>9</v>
      </c>
      <c r="AR142" s="503"/>
      <c r="AS142" s="503"/>
      <c r="AT142" s="503"/>
      <c r="AU142" s="503">
        <v>10</v>
      </c>
      <c r="AV142" s="503"/>
      <c r="AW142" s="503"/>
      <c r="AX142" s="503"/>
      <c r="AY142" s="503">
        <v>11</v>
      </c>
      <c r="AZ142" s="503"/>
      <c r="BA142" s="503"/>
      <c r="BB142" s="504"/>
    </row>
    <row r="143" spans="1:54" ht="18" customHeight="1" x14ac:dyDescent="0.2">
      <c r="A143" s="505" t="s">
        <v>70</v>
      </c>
      <c r="B143" s="506"/>
      <c r="C143" s="506"/>
      <c r="D143" s="506"/>
      <c r="E143" s="506"/>
      <c r="F143" s="506"/>
      <c r="G143" s="506"/>
      <c r="H143" s="507">
        <f>AO88/V143</f>
        <v>61.610640000000004</v>
      </c>
      <c r="I143" s="507"/>
      <c r="J143" s="507"/>
      <c r="K143" s="507"/>
      <c r="L143" s="507"/>
      <c r="M143" s="507">
        <f>H143</f>
        <v>61.610640000000004</v>
      </c>
      <c r="N143" s="507"/>
      <c r="O143" s="507"/>
      <c r="P143" s="507"/>
      <c r="Q143" s="507"/>
      <c r="R143" s="508">
        <f>U12</f>
        <v>14</v>
      </c>
      <c r="S143" s="509"/>
      <c r="T143" s="509"/>
      <c r="U143" s="510"/>
      <c r="V143" s="517">
        <f>Y16</f>
        <v>10</v>
      </c>
      <c r="W143" s="517"/>
      <c r="X143" s="517"/>
      <c r="Y143" s="517"/>
      <c r="Z143" s="517">
        <f>U16</f>
        <v>2</v>
      </c>
      <c r="AA143" s="517"/>
      <c r="AB143" s="517"/>
      <c r="AC143" s="517"/>
      <c r="AD143" s="520" t="s">
        <v>71</v>
      </c>
      <c r="AE143" s="521"/>
      <c r="AF143" s="521"/>
      <c r="AG143" s="521"/>
      <c r="AH143" s="521"/>
      <c r="AI143" s="522"/>
      <c r="AJ143" s="523"/>
      <c r="AK143" s="524"/>
      <c r="AL143" s="524"/>
      <c r="AM143" s="524"/>
      <c r="AN143" s="524"/>
      <c r="AO143" s="524"/>
      <c r="AP143" s="525"/>
      <c r="AQ143" s="507">
        <f>H143*4</f>
        <v>246.44256000000001</v>
      </c>
      <c r="AR143" s="507"/>
      <c r="AS143" s="507"/>
      <c r="AT143" s="507"/>
      <c r="AU143" s="507">
        <f>M143*1</f>
        <v>61.610640000000004</v>
      </c>
      <c r="AV143" s="507"/>
      <c r="AW143" s="507"/>
      <c r="AX143" s="507"/>
      <c r="AY143" s="507">
        <f>H143*R143</f>
        <v>862.54896000000008</v>
      </c>
      <c r="AZ143" s="507"/>
      <c r="BA143" s="507"/>
      <c r="BB143" s="526"/>
    </row>
    <row r="144" spans="1:54" ht="18.75" customHeight="1" x14ac:dyDescent="0.2">
      <c r="A144" s="527" t="s">
        <v>72</v>
      </c>
      <c r="B144" s="528"/>
      <c r="C144" s="528"/>
      <c r="D144" s="528"/>
      <c r="E144" s="528"/>
      <c r="F144" s="528"/>
      <c r="G144" s="528"/>
      <c r="H144" s="529">
        <f>AV98</f>
        <v>69.520593545664013</v>
      </c>
      <c r="I144" s="529"/>
      <c r="J144" s="529"/>
      <c r="K144" s="529"/>
      <c r="L144" s="529"/>
      <c r="M144" s="477">
        <f t="shared" ref="M144:M146" si="3">H144</f>
        <v>69.520593545664013</v>
      </c>
      <c r="N144" s="477"/>
      <c r="O144" s="477"/>
      <c r="P144" s="477"/>
      <c r="Q144" s="477"/>
      <c r="R144" s="511"/>
      <c r="S144" s="512"/>
      <c r="T144" s="512"/>
      <c r="U144" s="513"/>
      <c r="V144" s="518"/>
      <c r="W144" s="518"/>
      <c r="X144" s="518"/>
      <c r="Y144" s="518"/>
      <c r="Z144" s="518"/>
      <c r="AA144" s="518"/>
      <c r="AB144" s="518"/>
      <c r="AC144" s="518"/>
      <c r="AD144" s="477" t="s">
        <v>71</v>
      </c>
      <c r="AE144" s="477"/>
      <c r="AF144" s="477"/>
      <c r="AG144" s="477"/>
      <c r="AH144" s="477"/>
      <c r="AI144" s="477"/>
      <c r="AJ144" s="478"/>
      <c r="AK144" s="479"/>
      <c r="AL144" s="479"/>
      <c r="AM144" s="479"/>
      <c r="AN144" s="479"/>
      <c r="AO144" s="479"/>
      <c r="AP144" s="480"/>
      <c r="AQ144" s="529">
        <f t="shared" ref="AQ144:AQ146" si="4">H144*4</f>
        <v>278.08237418265605</v>
      </c>
      <c r="AR144" s="529"/>
      <c r="AS144" s="529"/>
      <c r="AT144" s="529"/>
      <c r="AU144" s="529">
        <f t="shared" ref="AU144:AU146" si="5">M144*1</f>
        <v>69.520593545664013</v>
      </c>
      <c r="AV144" s="529"/>
      <c r="AW144" s="529"/>
      <c r="AX144" s="529"/>
      <c r="AY144" s="477">
        <f>H144*R143</f>
        <v>973.28830963929613</v>
      </c>
      <c r="AZ144" s="477"/>
      <c r="BA144" s="477"/>
      <c r="BB144" s="481"/>
    </row>
    <row r="145" spans="1:183" ht="15" customHeight="1" x14ac:dyDescent="0.2">
      <c r="A145" s="527" t="s">
        <v>73</v>
      </c>
      <c r="B145" s="528"/>
      <c r="C145" s="528"/>
      <c r="D145" s="528"/>
      <c r="E145" s="528"/>
      <c r="F145" s="528"/>
      <c r="G145" s="528"/>
      <c r="H145" s="529">
        <f>AU124</f>
        <v>99.637857142857143</v>
      </c>
      <c r="I145" s="529"/>
      <c r="J145" s="529"/>
      <c r="K145" s="529"/>
      <c r="L145" s="529"/>
      <c r="M145" s="477">
        <f t="shared" si="3"/>
        <v>99.637857142857143</v>
      </c>
      <c r="N145" s="477"/>
      <c r="O145" s="477"/>
      <c r="P145" s="477"/>
      <c r="Q145" s="477"/>
      <c r="R145" s="511"/>
      <c r="S145" s="512"/>
      <c r="T145" s="512"/>
      <c r="U145" s="513"/>
      <c r="V145" s="518"/>
      <c r="W145" s="518"/>
      <c r="X145" s="518"/>
      <c r="Y145" s="518"/>
      <c r="Z145" s="518"/>
      <c r="AA145" s="518"/>
      <c r="AB145" s="518"/>
      <c r="AC145" s="518"/>
      <c r="AD145" s="477" t="s">
        <v>71</v>
      </c>
      <c r="AE145" s="477"/>
      <c r="AF145" s="477"/>
      <c r="AG145" s="477"/>
      <c r="AH145" s="477"/>
      <c r="AI145" s="477"/>
      <c r="AJ145" s="478"/>
      <c r="AK145" s="479"/>
      <c r="AL145" s="479"/>
      <c r="AM145" s="479"/>
      <c r="AN145" s="479"/>
      <c r="AO145" s="479"/>
      <c r="AP145" s="480"/>
      <c r="AQ145" s="477">
        <f t="shared" si="4"/>
        <v>398.55142857142857</v>
      </c>
      <c r="AR145" s="477"/>
      <c r="AS145" s="477"/>
      <c r="AT145" s="477"/>
      <c r="AU145" s="477">
        <f t="shared" si="5"/>
        <v>99.637857142857143</v>
      </c>
      <c r="AV145" s="477"/>
      <c r="AW145" s="477"/>
      <c r="AX145" s="477"/>
      <c r="AY145" s="477">
        <f>H145*R143</f>
        <v>1394.93</v>
      </c>
      <c r="AZ145" s="477"/>
      <c r="BA145" s="477"/>
      <c r="BB145" s="481"/>
    </row>
    <row r="146" spans="1:183" ht="17.25" customHeight="1" thickBot="1" x14ac:dyDescent="0.25">
      <c r="A146" s="494" t="s">
        <v>74</v>
      </c>
      <c r="B146" s="495"/>
      <c r="C146" s="495"/>
      <c r="D146" s="495"/>
      <c r="E146" s="495"/>
      <c r="F146" s="495"/>
      <c r="G146" s="495"/>
      <c r="H146" s="483">
        <f>AU136</f>
        <v>0</v>
      </c>
      <c r="I146" s="483"/>
      <c r="J146" s="483"/>
      <c r="K146" s="483"/>
      <c r="L146" s="483"/>
      <c r="M146" s="482">
        <f t="shared" si="3"/>
        <v>0</v>
      </c>
      <c r="N146" s="482"/>
      <c r="O146" s="482"/>
      <c r="P146" s="482"/>
      <c r="Q146" s="482"/>
      <c r="R146" s="514"/>
      <c r="S146" s="515"/>
      <c r="T146" s="515"/>
      <c r="U146" s="516"/>
      <c r="V146" s="519"/>
      <c r="W146" s="519"/>
      <c r="X146" s="519"/>
      <c r="Y146" s="519"/>
      <c r="Z146" s="519"/>
      <c r="AA146" s="519"/>
      <c r="AB146" s="519"/>
      <c r="AC146" s="519"/>
      <c r="AD146" s="482" t="s">
        <v>71</v>
      </c>
      <c r="AE146" s="482"/>
      <c r="AF146" s="482"/>
      <c r="AG146" s="482"/>
      <c r="AH146" s="482"/>
      <c r="AI146" s="482"/>
      <c r="AJ146" s="496" t="s">
        <v>17</v>
      </c>
      <c r="AK146" s="497"/>
      <c r="AL146" s="497"/>
      <c r="AM146" s="497"/>
      <c r="AN146" s="497"/>
      <c r="AO146" s="497"/>
      <c r="AP146" s="498"/>
      <c r="AQ146" s="483">
        <f t="shared" si="4"/>
        <v>0</v>
      </c>
      <c r="AR146" s="483"/>
      <c r="AS146" s="483"/>
      <c r="AT146" s="483"/>
      <c r="AU146" s="483">
        <f t="shared" si="5"/>
        <v>0</v>
      </c>
      <c r="AV146" s="483"/>
      <c r="AW146" s="483"/>
      <c r="AX146" s="483"/>
      <c r="AY146" s="483">
        <f>H146*R143</f>
        <v>0</v>
      </c>
      <c r="AZ146" s="483"/>
      <c r="BA146" s="483"/>
      <c r="BB146" s="484"/>
    </row>
    <row r="147" spans="1:183" ht="25.5" customHeight="1" x14ac:dyDescent="0.2">
      <c r="A147" s="485" t="s">
        <v>80</v>
      </c>
      <c r="B147" s="486"/>
      <c r="C147" s="486"/>
      <c r="D147" s="486"/>
      <c r="E147" s="486"/>
      <c r="F147" s="486"/>
      <c r="G147" s="487"/>
      <c r="H147" s="488">
        <f>SUM(H143:L146)</f>
        <v>230.76909068852117</v>
      </c>
      <c r="I147" s="488"/>
      <c r="J147" s="488"/>
      <c r="K147" s="488"/>
      <c r="L147" s="488"/>
      <c r="M147" s="488">
        <f>SUM(M143:Q146)</f>
        <v>230.76909068852117</v>
      </c>
      <c r="N147" s="488"/>
      <c r="O147" s="488"/>
      <c r="P147" s="488"/>
      <c r="Q147" s="488"/>
      <c r="R147" s="489">
        <f>R143</f>
        <v>14</v>
      </c>
      <c r="S147" s="489"/>
      <c r="T147" s="489"/>
      <c r="U147" s="489"/>
      <c r="V147" s="490">
        <f>V143</f>
        <v>10</v>
      </c>
      <c r="W147" s="490"/>
      <c r="X147" s="490"/>
      <c r="Y147" s="490"/>
      <c r="Z147" s="490">
        <f>Z143</f>
        <v>2</v>
      </c>
      <c r="AA147" s="490"/>
      <c r="AB147" s="490"/>
      <c r="AC147" s="490"/>
      <c r="AD147" s="488" t="s">
        <v>17</v>
      </c>
      <c r="AE147" s="488"/>
      <c r="AF147" s="488"/>
      <c r="AG147" s="488"/>
      <c r="AH147" s="488"/>
      <c r="AI147" s="488"/>
      <c r="AJ147" s="491" t="s">
        <v>17</v>
      </c>
      <c r="AK147" s="492"/>
      <c r="AL147" s="492"/>
      <c r="AM147" s="492"/>
      <c r="AN147" s="492"/>
      <c r="AO147" s="492"/>
      <c r="AP147" s="493"/>
      <c r="AQ147" s="453">
        <f>SUM(AQ143:AT146)</f>
        <v>923.0763627540847</v>
      </c>
      <c r="AR147" s="453"/>
      <c r="AS147" s="453"/>
      <c r="AT147" s="453"/>
      <c r="AU147" s="453">
        <f>SUM(AU143:AX146)</f>
        <v>230.76909068852117</v>
      </c>
      <c r="AV147" s="453"/>
      <c r="AW147" s="453"/>
      <c r="AX147" s="453"/>
      <c r="AY147" s="453">
        <f>SUM(AY143:BB146)</f>
        <v>3230.7672696392965</v>
      </c>
      <c r="AZ147" s="453"/>
      <c r="BA147" s="453"/>
      <c r="BB147" s="454"/>
    </row>
    <row r="148" spans="1:183" ht="30.75" customHeight="1" x14ac:dyDescent="0.2">
      <c r="A148" s="455" t="s">
        <v>75</v>
      </c>
      <c r="B148" s="456"/>
      <c r="C148" s="456"/>
      <c r="D148" s="456"/>
      <c r="E148" s="456"/>
      <c r="F148" s="456"/>
      <c r="G148" s="215">
        <v>0.3</v>
      </c>
      <c r="H148" s="457">
        <f>H147*G148</f>
        <v>69.230727206556352</v>
      </c>
      <c r="I148" s="457"/>
      <c r="J148" s="457"/>
      <c r="K148" s="457"/>
      <c r="L148" s="457"/>
      <c r="M148" s="457">
        <f>M147*G148</f>
        <v>69.230727206556352</v>
      </c>
      <c r="N148" s="457"/>
      <c r="O148" s="457"/>
      <c r="P148" s="457"/>
      <c r="Q148" s="457"/>
      <c r="R148" s="818">
        <f>R143</f>
        <v>14</v>
      </c>
      <c r="S148" s="819"/>
      <c r="T148" s="819"/>
      <c r="U148" s="820"/>
      <c r="V148" s="821">
        <f>V143</f>
        <v>10</v>
      </c>
      <c r="W148" s="819"/>
      <c r="X148" s="819"/>
      <c r="Y148" s="820"/>
      <c r="Z148" s="821">
        <f>Z143</f>
        <v>2</v>
      </c>
      <c r="AA148" s="819"/>
      <c r="AB148" s="819"/>
      <c r="AC148" s="820"/>
      <c r="AD148" s="462" t="s">
        <v>17</v>
      </c>
      <c r="AE148" s="462"/>
      <c r="AF148" s="462"/>
      <c r="AG148" s="462"/>
      <c r="AH148" s="462"/>
      <c r="AI148" s="462"/>
      <c r="AJ148" s="462" t="s">
        <v>17</v>
      </c>
      <c r="AK148" s="462"/>
      <c r="AL148" s="462"/>
      <c r="AM148" s="462"/>
      <c r="AN148" s="462"/>
      <c r="AO148" s="462"/>
      <c r="AP148" s="462"/>
      <c r="AQ148" s="466">
        <f>AQ147*G148</f>
        <v>276.92290882622541</v>
      </c>
      <c r="AR148" s="466"/>
      <c r="AS148" s="466"/>
      <c r="AT148" s="466"/>
      <c r="AU148" s="466">
        <f>AU147*G148</f>
        <v>69.230727206556352</v>
      </c>
      <c r="AV148" s="466"/>
      <c r="AW148" s="466"/>
      <c r="AX148" s="466"/>
      <c r="AY148" s="466">
        <f>AY147*G148</f>
        <v>969.2301808917889</v>
      </c>
      <c r="AZ148" s="466"/>
      <c r="BA148" s="466"/>
      <c r="BB148" s="467"/>
    </row>
    <row r="149" spans="1:183" ht="30.75" customHeight="1" thickBot="1" x14ac:dyDescent="0.25">
      <c r="A149" s="468" t="s">
        <v>81</v>
      </c>
      <c r="B149" s="469"/>
      <c r="C149" s="469"/>
      <c r="D149" s="469"/>
      <c r="E149" s="469"/>
      <c r="F149" s="469"/>
      <c r="G149" s="470"/>
      <c r="H149" s="464">
        <f>H147+H148</f>
        <v>299.99981789507751</v>
      </c>
      <c r="I149" s="464"/>
      <c r="J149" s="464"/>
      <c r="K149" s="464"/>
      <c r="L149" s="464"/>
      <c r="M149" s="471">
        <f>M147+M148</f>
        <v>299.99981789507751</v>
      </c>
      <c r="N149" s="472"/>
      <c r="O149" s="472"/>
      <c r="P149" s="472"/>
      <c r="Q149" s="473"/>
      <c r="R149" s="1333">
        <f>R143</f>
        <v>14</v>
      </c>
      <c r="S149" s="1334"/>
      <c r="T149" s="1334"/>
      <c r="U149" s="1335"/>
      <c r="V149" s="828">
        <f>V143</f>
        <v>10</v>
      </c>
      <c r="W149" s="829"/>
      <c r="X149" s="829"/>
      <c r="Y149" s="830"/>
      <c r="Z149" s="828">
        <f>Z143</f>
        <v>2</v>
      </c>
      <c r="AA149" s="829"/>
      <c r="AB149" s="829"/>
      <c r="AC149" s="830"/>
      <c r="AD149" s="463" t="s">
        <v>17</v>
      </c>
      <c r="AE149" s="463"/>
      <c r="AF149" s="463"/>
      <c r="AG149" s="463"/>
      <c r="AH149" s="463"/>
      <c r="AI149" s="463"/>
      <c r="AJ149" s="463" t="s">
        <v>17</v>
      </c>
      <c r="AK149" s="463"/>
      <c r="AL149" s="463"/>
      <c r="AM149" s="463"/>
      <c r="AN149" s="463"/>
      <c r="AO149" s="463"/>
      <c r="AP149" s="463"/>
      <c r="AQ149" s="464">
        <f>AQ147+AQ148</f>
        <v>1199.9992715803101</v>
      </c>
      <c r="AR149" s="464"/>
      <c r="AS149" s="464"/>
      <c r="AT149" s="464"/>
      <c r="AU149" s="464">
        <f>AU147+AU148</f>
        <v>299.99981789507751</v>
      </c>
      <c r="AV149" s="464"/>
      <c r="AW149" s="464"/>
      <c r="AX149" s="464"/>
      <c r="AY149" s="464">
        <f>AY147+AY148</f>
        <v>4199.9974505310856</v>
      </c>
      <c r="AZ149" s="464"/>
      <c r="BA149" s="464"/>
      <c r="BB149" s="465"/>
      <c r="BE149" s="216"/>
      <c r="BF149" s="216"/>
    </row>
    <row r="150" spans="1:183" ht="16.5" customHeight="1" x14ac:dyDescent="0.2">
      <c r="BC150" s="432"/>
      <c r="BD150" s="432"/>
      <c r="BE150" s="216"/>
      <c r="BF150" s="216"/>
      <c r="BG150" s="216"/>
      <c r="BH150" s="216"/>
      <c r="BI150" s="216"/>
    </row>
    <row r="151" spans="1:183" ht="12" customHeight="1" x14ac:dyDescent="0.2">
      <c r="BC151" s="432"/>
      <c r="BD151" s="432"/>
      <c r="BE151" s="216"/>
      <c r="BF151" s="216"/>
    </row>
    <row r="152" spans="1:183" ht="14.25" customHeight="1" x14ac:dyDescent="0.2">
      <c r="B152" s="452" t="s">
        <v>221</v>
      </c>
      <c r="C152" s="452"/>
      <c r="D152" s="452"/>
      <c r="E152" s="452"/>
      <c r="F152" s="452"/>
      <c r="G152" s="452"/>
      <c r="H152" s="452"/>
      <c r="I152" s="452"/>
      <c r="J152" s="452"/>
      <c r="K152" s="452"/>
      <c r="L152" s="452"/>
      <c r="M152" s="452"/>
      <c r="N152" s="452"/>
      <c r="O152" s="452"/>
      <c r="P152" s="452"/>
      <c r="Q152" s="452"/>
      <c r="R152" s="452"/>
      <c r="S152" s="452"/>
      <c r="U152" s="164"/>
      <c r="V152" s="164"/>
      <c r="W152" s="164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M152" s="442" t="s">
        <v>222</v>
      </c>
      <c r="AN152" s="763"/>
      <c r="AO152" s="763"/>
      <c r="AP152" s="763"/>
      <c r="AQ152" s="763"/>
      <c r="AR152" s="763"/>
      <c r="AS152" s="763"/>
      <c r="AT152" s="763"/>
      <c r="AU152" s="763"/>
      <c r="AV152" s="763"/>
      <c r="AW152" s="763"/>
      <c r="AX152" s="763"/>
      <c r="AY152" s="763"/>
      <c r="AZ152" s="763"/>
      <c r="BA152" s="763"/>
      <c r="BB152" s="763"/>
      <c r="BC152" s="432"/>
      <c r="BD152" s="432"/>
      <c r="BE152" s="216"/>
      <c r="BF152" s="216"/>
    </row>
    <row r="153" spans="1:183" ht="8.25" customHeight="1" x14ac:dyDescent="0.25">
      <c r="B153" s="452" t="s">
        <v>78</v>
      </c>
      <c r="C153" s="452"/>
      <c r="D153" s="452"/>
      <c r="E153" s="452"/>
      <c r="F153" s="452"/>
      <c r="G153" s="452"/>
      <c r="H153" s="452"/>
      <c r="I153" s="452"/>
      <c r="J153" s="452"/>
      <c r="K153" s="452"/>
      <c r="L153" s="452"/>
      <c r="M153" s="452"/>
      <c r="N153" s="452"/>
      <c r="O153" s="452"/>
      <c r="P153" s="452"/>
      <c r="Q153" s="452"/>
      <c r="R153" s="452"/>
      <c r="S153" s="452"/>
      <c r="AM153" s="387"/>
      <c r="AN153" s="387"/>
      <c r="AO153" s="387"/>
      <c r="AP153" s="387"/>
      <c r="AQ153" s="387"/>
      <c r="AR153" s="387"/>
      <c r="AS153" s="387"/>
      <c r="AT153" s="387"/>
      <c r="AU153" s="387"/>
      <c r="AV153" s="387"/>
      <c r="AW153" s="387"/>
      <c r="AX153" s="387"/>
      <c r="AY153" s="387"/>
      <c r="AZ153" s="387"/>
      <c r="BA153" s="387"/>
      <c r="BB153" s="387"/>
      <c r="BC153" s="263"/>
    </row>
    <row r="154" spans="1:183" ht="19.5" customHeight="1" x14ac:dyDescent="0.25">
      <c r="B154" s="452"/>
      <c r="C154" s="452"/>
      <c r="D154" s="452"/>
      <c r="E154" s="452"/>
      <c r="F154" s="452"/>
      <c r="G154" s="452"/>
      <c r="H154" s="452"/>
      <c r="I154" s="452"/>
      <c r="J154" s="452"/>
      <c r="K154" s="452"/>
      <c r="L154" s="452"/>
      <c r="M154" s="452"/>
      <c r="N154" s="452"/>
      <c r="O154" s="452"/>
      <c r="P154" s="452"/>
      <c r="Q154" s="452"/>
      <c r="R154" s="452"/>
      <c r="S154" s="452"/>
      <c r="U154" s="164"/>
      <c r="V154" s="164"/>
      <c r="W154" s="164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M154" s="442" t="s">
        <v>418</v>
      </c>
      <c r="AN154" s="763"/>
      <c r="AO154" s="763"/>
      <c r="AP154" s="763"/>
      <c r="AQ154" s="763"/>
      <c r="AR154" s="763"/>
      <c r="AS154" s="763"/>
      <c r="AT154" s="763"/>
      <c r="AU154" s="763"/>
      <c r="AV154" s="763"/>
      <c r="AW154" s="763"/>
      <c r="AX154" s="763"/>
      <c r="AY154" s="763"/>
      <c r="AZ154" s="763"/>
      <c r="BA154" s="763"/>
      <c r="BB154" s="763"/>
      <c r="BC154" s="263"/>
      <c r="BG154" s="216"/>
    </row>
    <row r="155" spans="1:183" ht="15.75" customHeight="1" x14ac:dyDescent="0.2"/>
    <row r="156" spans="1:183" ht="13.5" customHeight="1" x14ac:dyDescent="0.2">
      <c r="A156" s="219" t="s">
        <v>125</v>
      </c>
      <c r="B156" s="219"/>
      <c r="C156" s="219"/>
      <c r="D156" s="219"/>
      <c r="BG156" s="216"/>
    </row>
    <row r="157" spans="1:183" ht="16.5" hidden="1" customHeight="1" x14ac:dyDescent="0.2">
      <c r="A157" s="221"/>
      <c r="B157" s="221"/>
      <c r="C157" s="221"/>
      <c r="D157" s="221"/>
      <c r="E157" s="221"/>
      <c r="F157" s="221"/>
      <c r="G157" s="221">
        <v>200</v>
      </c>
      <c r="H157" s="221"/>
      <c r="I157" s="221"/>
      <c r="J157" s="221"/>
      <c r="K157" s="221"/>
      <c r="L157" s="221"/>
      <c r="M157" s="221"/>
      <c r="N157" s="221"/>
      <c r="BB157" s="432" t="s">
        <v>334</v>
      </c>
      <c r="BC157" s="432"/>
      <c r="BD157" s="432"/>
      <c r="BE157" s="432"/>
      <c r="BF157" s="432"/>
      <c r="BG157" s="432"/>
      <c r="BH157" s="432"/>
      <c r="BI157" s="432"/>
      <c r="BJ157" s="432"/>
      <c r="BK157" s="432"/>
      <c r="BL157" s="432"/>
      <c r="BM157" s="432"/>
      <c r="BN157" s="432"/>
      <c r="BO157" s="432"/>
      <c r="BP157" s="432"/>
      <c r="BQ157" s="432"/>
      <c r="BR157" s="432"/>
      <c r="BS157" s="432"/>
      <c r="BT157" s="432"/>
      <c r="BU157" s="432"/>
      <c r="BV157" s="432"/>
      <c r="BW157" s="432"/>
      <c r="BX157" s="432"/>
      <c r="CB157" s="432"/>
      <c r="CC157" s="432"/>
      <c r="CD157" s="432"/>
      <c r="CE157" s="432"/>
      <c r="CF157" s="432"/>
      <c r="CG157" s="432"/>
      <c r="CH157" s="432"/>
      <c r="CI157" s="432"/>
      <c r="CJ157" s="432"/>
      <c r="CK157" s="432"/>
      <c r="CL157" s="432"/>
      <c r="CM157" s="432"/>
      <c r="CN157" s="432"/>
      <c r="CO157" s="432"/>
      <c r="CP157" s="432"/>
      <c r="CQ157" s="432"/>
      <c r="CR157" s="432"/>
      <c r="CS157" s="432"/>
      <c r="CT157" s="432"/>
      <c r="CU157" s="432"/>
      <c r="CV157" s="432"/>
      <c r="CW157" s="432"/>
      <c r="CX157" s="432"/>
      <c r="DD157" s="432" t="s">
        <v>153</v>
      </c>
      <c r="DE157" s="432"/>
      <c r="DF157" s="432"/>
      <c r="DG157" s="432"/>
      <c r="DH157" s="432"/>
      <c r="DI157" s="432"/>
      <c r="DJ157" s="432"/>
      <c r="DK157" s="432"/>
      <c r="DL157" s="432"/>
      <c r="DM157" s="432"/>
      <c r="DN157" s="432"/>
      <c r="DO157" s="432"/>
      <c r="DP157" s="432"/>
      <c r="DQ157" s="432"/>
      <c r="DR157" s="432"/>
      <c r="DS157" s="432"/>
      <c r="DT157" s="432"/>
      <c r="DU157" s="432"/>
      <c r="DV157" s="432"/>
      <c r="DW157" s="432"/>
      <c r="DX157" s="432"/>
      <c r="DY157" s="432"/>
      <c r="DZ157" s="432"/>
      <c r="ED157" s="432" t="s">
        <v>155</v>
      </c>
      <c r="EE157" s="432"/>
      <c r="EF157" s="432"/>
      <c r="EG157" s="432"/>
      <c r="EH157" s="432"/>
      <c r="EI157" s="432"/>
      <c r="EJ157" s="432"/>
      <c r="EK157" s="432"/>
      <c r="EL157" s="432"/>
      <c r="EM157" s="432"/>
      <c r="EN157" s="432"/>
      <c r="EO157" s="432"/>
      <c r="EP157" s="432"/>
      <c r="EQ157" s="432"/>
      <c r="ER157" s="432"/>
      <c r="ES157" s="432"/>
      <c r="ET157" s="432"/>
      <c r="EU157" s="432"/>
      <c r="EV157" s="432"/>
      <c r="EW157" s="432"/>
      <c r="EX157" s="432"/>
      <c r="EY157" s="432"/>
      <c r="EZ157" s="432"/>
      <c r="FE157" s="432" t="s">
        <v>131</v>
      </c>
      <c r="FF157" s="432"/>
      <c r="FG157" s="432"/>
      <c r="FH157" s="432"/>
      <c r="FI157" s="432"/>
      <c r="FJ157" s="432"/>
      <c r="FK157" s="432"/>
      <c r="FL157" s="432"/>
      <c r="FM157" s="432"/>
      <c r="FN157" s="432"/>
      <c r="FO157" s="432"/>
      <c r="FP157" s="432"/>
      <c r="FQ157" s="432"/>
      <c r="FR157" s="432"/>
      <c r="FS157" s="432"/>
      <c r="FT157" s="432"/>
      <c r="FU157" s="432"/>
      <c r="FV157" s="432"/>
      <c r="FW157" s="432"/>
      <c r="FX157" s="432"/>
      <c r="FY157" s="432"/>
      <c r="FZ157" s="432"/>
      <c r="GA157" s="432"/>
    </row>
    <row r="158" spans="1:183" ht="15" hidden="1" x14ac:dyDescent="0.25">
      <c r="A158" s="222"/>
      <c r="B158" s="222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22"/>
      <c r="AD158" s="222"/>
      <c r="AE158" s="222"/>
      <c r="AF158" s="222"/>
      <c r="AG158" s="222"/>
      <c r="AH158" s="222"/>
      <c r="AI158" s="222"/>
      <c r="AJ158" s="222"/>
      <c r="AK158" s="222"/>
      <c r="AL158" s="222"/>
      <c r="AM158" s="222"/>
      <c r="AN158" s="222"/>
      <c r="AO158" s="222"/>
      <c r="AP158" s="222"/>
      <c r="AQ158" s="222"/>
      <c r="AR158" s="222"/>
      <c r="AS158" s="222"/>
      <c r="BB158" s="432" t="s">
        <v>126</v>
      </c>
      <c r="BC158" s="432"/>
      <c r="BD158" s="432"/>
      <c r="BE158" s="433">
        <f>200*22</f>
        <v>4400</v>
      </c>
      <c r="BF158" s="433"/>
      <c r="BG158" s="433"/>
      <c r="BH158" s="433"/>
      <c r="BI158" s="433"/>
      <c r="BJ158" s="220" t="s">
        <v>127</v>
      </c>
      <c r="BK158" s="220"/>
      <c r="BL158" s="220"/>
      <c r="BM158" s="220"/>
      <c r="BN158" s="220"/>
      <c r="BO158" s="220"/>
      <c r="BP158" s="220"/>
      <c r="BQ158" s="220"/>
      <c r="CB158" s="432"/>
      <c r="CC158" s="432"/>
      <c r="CD158" s="432"/>
      <c r="CE158" s="433"/>
      <c r="CF158" s="433"/>
      <c r="CG158" s="433"/>
      <c r="CH158" s="433"/>
      <c r="CI158" s="433"/>
      <c r="CJ158" s="220"/>
      <c r="CK158" s="220"/>
      <c r="CL158" s="220"/>
      <c r="CM158" s="220"/>
      <c r="CN158" s="220"/>
      <c r="CO158" s="220"/>
      <c r="CP158" s="220"/>
      <c r="CQ158" s="220"/>
      <c r="DD158" s="432" t="s">
        <v>126</v>
      </c>
      <c r="DE158" s="432"/>
      <c r="DF158" s="432"/>
      <c r="DG158" s="433">
        <f>150*55</f>
        <v>8250</v>
      </c>
      <c r="DH158" s="433"/>
      <c r="DI158" s="433"/>
      <c r="DJ158" s="433"/>
      <c r="DK158" s="433"/>
      <c r="DL158" s="220" t="s">
        <v>127</v>
      </c>
      <c r="DM158" s="220"/>
      <c r="DN158" s="220"/>
      <c r="DO158" s="220"/>
      <c r="DP158" s="220"/>
      <c r="DQ158" s="220"/>
      <c r="DR158" s="220"/>
      <c r="DS158" s="220"/>
      <c r="ED158" s="432" t="s">
        <v>126</v>
      </c>
      <c r="EE158" s="432"/>
      <c r="EF158" s="432"/>
      <c r="EG158" s="433">
        <f>150*37</f>
        <v>5550</v>
      </c>
      <c r="EH158" s="433"/>
      <c r="EI158" s="433"/>
      <c r="EJ158" s="433"/>
      <c r="EK158" s="433"/>
      <c r="EL158" s="220" t="s">
        <v>127</v>
      </c>
      <c r="EM158" s="220"/>
      <c r="EN158" s="220"/>
      <c r="EO158" s="220"/>
      <c r="EP158" s="220"/>
      <c r="EQ158" s="220"/>
      <c r="ER158" s="220"/>
      <c r="ES158" s="220"/>
      <c r="FE158" s="432" t="s">
        <v>126</v>
      </c>
      <c r="FF158" s="432"/>
      <c r="FG158" s="432"/>
      <c r="FH158" s="433">
        <f>100*37</f>
        <v>3700</v>
      </c>
      <c r="FI158" s="433"/>
      <c r="FJ158" s="433"/>
      <c r="FK158" s="433"/>
      <c r="FL158" s="433"/>
      <c r="FM158" s="220" t="s">
        <v>127</v>
      </c>
      <c r="FN158" s="220"/>
      <c r="FO158" s="220"/>
      <c r="FP158" s="220"/>
      <c r="FQ158" s="220"/>
      <c r="FR158" s="220"/>
      <c r="FS158" s="220"/>
      <c r="FT158" s="220"/>
    </row>
    <row r="159" spans="1:183" ht="12" hidden="1" x14ac:dyDescent="0.2">
      <c r="BB159" s="434">
        <v>0.6</v>
      </c>
      <c r="BC159" s="432"/>
      <c r="BD159" s="432"/>
      <c r="BE159" s="216">
        <f>BE158*BB159</f>
        <v>2640</v>
      </c>
      <c r="BF159" s="432" t="s">
        <v>128</v>
      </c>
      <c r="BG159" s="432"/>
      <c r="BH159" s="432"/>
      <c r="BI159" s="432"/>
      <c r="BJ159" s="432"/>
      <c r="BK159" s="432" t="s">
        <v>129</v>
      </c>
      <c r="BL159" s="432"/>
      <c r="BM159" s="432"/>
      <c r="BN159" s="432"/>
      <c r="BO159" s="432"/>
      <c r="BP159" s="432"/>
      <c r="BQ159" s="432"/>
      <c r="CB159" s="434"/>
      <c r="CC159" s="432"/>
      <c r="CD159" s="432"/>
      <c r="CE159" s="216"/>
      <c r="CF159" s="432"/>
      <c r="CG159" s="432"/>
      <c r="CH159" s="432"/>
      <c r="CI159" s="432"/>
      <c r="CJ159" s="432"/>
      <c r="CK159" s="432"/>
      <c r="CL159" s="432"/>
      <c r="CM159" s="432"/>
      <c r="CN159" s="432"/>
      <c r="CO159" s="432"/>
      <c r="CP159" s="432"/>
      <c r="CQ159" s="432"/>
      <c r="DD159" s="434">
        <v>0.6</v>
      </c>
      <c r="DE159" s="432"/>
      <c r="DF159" s="432"/>
      <c r="DG159" s="216">
        <f>DG158*DD159</f>
        <v>4950</v>
      </c>
      <c r="DH159" s="432" t="s">
        <v>128</v>
      </c>
      <c r="DI159" s="432"/>
      <c r="DJ159" s="432"/>
      <c r="DK159" s="432"/>
      <c r="DL159" s="432"/>
      <c r="DM159" s="432" t="s">
        <v>129</v>
      </c>
      <c r="DN159" s="432"/>
      <c r="DO159" s="432"/>
      <c r="DP159" s="432"/>
      <c r="DQ159" s="432"/>
      <c r="DR159" s="432"/>
      <c r="DS159" s="432"/>
      <c r="ED159" s="434">
        <v>0.6</v>
      </c>
      <c r="EE159" s="432"/>
      <c r="EF159" s="432"/>
      <c r="EG159" s="216">
        <f>EG158*ED159</f>
        <v>3330</v>
      </c>
      <c r="EH159" s="432" t="s">
        <v>128</v>
      </c>
      <c r="EI159" s="432"/>
      <c r="EJ159" s="432"/>
      <c r="EK159" s="432"/>
      <c r="EL159" s="432"/>
      <c r="EM159" s="432" t="s">
        <v>129</v>
      </c>
      <c r="EN159" s="432"/>
      <c r="EO159" s="432"/>
      <c r="EP159" s="432"/>
      <c r="EQ159" s="432"/>
      <c r="ER159" s="432"/>
      <c r="ES159" s="432"/>
      <c r="FE159" s="434">
        <v>0.6</v>
      </c>
      <c r="FF159" s="432"/>
      <c r="FG159" s="432"/>
      <c r="FH159" s="216">
        <f>FH158*FE159</f>
        <v>2220</v>
      </c>
      <c r="FI159" s="432" t="s">
        <v>128</v>
      </c>
      <c r="FJ159" s="432"/>
      <c r="FK159" s="432"/>
      <c r="FL159" s="432"/>
      <c r="FM159" s="432"/>
      <c r="FN159" s="432" t="s">
        <v>129</v>
      </c>
      <c r="FO159" s="432"/>
      <c r="FP159" s="432"/>
      <c r="FQ159" s="432"/>
      <c r="FR159" s="432"/>
      <c r="FS159" s="432"/>
      <c r="FT159" s="432"/>
    </row>
    <row r="160" spans="1:183" ht="12" hidden="1" x14ac:dyDescent="0.2">
      <c r="BB160" s="432">
        <v>211</v>
      </c>
      <c r="BC160" s="432"/>
      <c r="BD160" s="432"/>
      <c r="BE160" s="216">
        <f>BE159-BE161</f>
        <v>2027.6497695852534</v>
      </c>
      <c r="BF160" s="435">
        <f>BE160*0.1</f>
        <v>202.76497695852535</v>
      </c>
      <c r="BG160" s="435"/>
      <c r="BH160" s="435"/>
      <c r="BI160" s="435"/>
      <c r="BJ160" s="435"/>
      <c r="BK160" s="436">
        <f>BE160-BF160</f>
        <v>1824.8847926267281</v>
      </c>
      <c r="BL160" s="445"/>
      <c r="BM160" s="445"/>
      <c r="BN160" s="445"/>
      <c r="BO160" s="445"/>
      <c r="BP160" s="445"/>
      <c r="BQ160" s="445"/>
      <c r="CB160" s="432"/>
      <c r="CC160" s="432"/>
      <c r="CD160" s="432"/>
      <c r="CE160" s="216"/>
      <c r="CF160" s="435"/>
      <c r="CG160" s="435"/>
      <c r="CH160" s="435"/>
      <c r="CI160" s="435"/>
      <c r="CJ160" s="435"/>
      <c r="CK160" s="435"/>
      <c r="CL160" s="432"/>
      <c r="CM160" s="432"/>
      <c r="CN160" s="432"/>
      <c r="CO160" s="432"/>
      <c r="CP160" s="432"/>
      <c r="CQ160" s="432"/>
      <c r="DD160" s="432">
        <v>211</v>
      </c>
      <c r="DE160" s="432"/>
      <c r="DF160" s="432"/>
      <c r="DG160" s="216">
        <f>DG159-DG161</f>
        <v>3801.8433179723502</v>
      </c>
      <c r="DH160" s="435">
        <f>DG160*0.1</f>
        <v>380.18433179723502</v>
      </c>
      <c r="DI160" s="435"/>
      <c r="DJ160" s="435"/>
      <c r="DK160" s="435"/>
      <c r="DL160" s="435"/>
      <c r="DM160" s="435">
        <f>DG160-DH160</f>
        <v>3421.6589861751154</v>
      </c>
      <c r="DN160" s="432"/>
      <c r="DO160" s="432"/>
      <c r="DP160" s="432"/>
      <c r="DQ160" s="432"/>
      <c r="DR160" s="432"/>
      <c r="DS160" s="432"/>
      <c r="ED160" s="432">
        <v>211</v>
      </c>
      <c r="EE160" s="432"/>
      <c r="EF160" s="432"/>
      <c r="EG160" s="216">
        <f>EG159-EG161</f>
        <v>2557.6036866359445</v>
      </c>
      <c r="EH160" s="435">
        <f>EG160*0.1</f>
        <v>255.76036866359448</v>
      </c>
      <c r="EI160" s="435"/>
      <c r="EJ160" s="435"/>
      <c r="EK160" s="435"/>
      <c r="EL160" s="435"/>
      <c r="EM160" s="435">
        <f>EG160-EH160</f>
        <v>2301.8433179723502</v>
      </c>
      <c r="EN160" s="432"/>
      <c r="EO160" s="432"/>
      <c r="EP160" s="432"/>
      <c r="EQ160" s="432"/>
      <c r="ER160" s="432"/>
      <c r="ES160" s="432"/>
      <c r="FE160" s="432">
        <v>211</v>
      </c>
      <c r="FF160" s="432"/>
      <c r="FG160" s="432"/>
      <c r="FH160" s="216">
        <f>FH159-FH161</f>
        <v>1705.0691244239631</v>
      </c>
      <c r="FI160" s="435">
        <f>FH160*0.1</f>
        <v>170.50691244239633</v>
      </c>
      <c r="FJ160" s="435"/>
      <c r="FK160" s="435"/>
      <c r="FL160" s="435"/>
      <c r="FM160" s="435"/>
      <c r="FN160" s="435">
        <f>FH160-FI160</f>
        <v>1534.5622119815669</v>
      </c>
      <c r="FO160" s="432"/>
      <c r="FP160" s="432"/>
      <c r="FQ160" s="432"/>
      <c r="FR160" s="432"/>
      <c r="FS160" s="432"/>
      <c r="FT160" s="432"/>
    </row>
    <row r="161" spans="26:183" ht="12" hidden="1" x14ac:dyDescent="0.2">
      <c r="BB161" s="432">
        <v>213</v>
      </c>
      <c r="BC161" s="432"/>
      <c r="BD161" s="432"/>
      <c r="BE161" s="216">
        <f>BE159*30.2/130.2</f>
        <v>612.35023041474665</v>
      </c>
      <c r="BF161" s="435">
        <f>BF160*30.2%</f>
        <v>61.235023041474655</v>
      </c>
      <c r="BG161" s="435"/>
      <c r="BH161" s="435"/>
      <c r="BI161" s="435"/>
      <c r="BJ161" s="435"/>
      <c r="BK161" s="435">
        <f>BK160*30.2%</f>
        <v>551.11520737327191</v>
      </c>
      <c r="BL161" s="435"/>
      <c r="BM161" s="435"/>
      <c r="BN161" s="435"/>
      <c r="BO161" s="435"/>
      <c r="BP161" s="435"/>
      <c r="BQ161" s="435"/>
      <c r="CB161" s="432"/>
      <c r="CC161" s="432"/>
      <c r="CD161" s="432"/>
      <c r="CE161" s="216"/>
      <c r="CF161" s="435"/>
      <c r="CG161" s="435"/>
      <c r="CH161" s="435"/>
      <c r="CI161" s="435"/>
      <c r="CJ161" s="435"/>
      <c r="CK161" s="435"/>
      <c r="CL161" s="435"/>
      <c r="CM161" s="435"/>
      <c r="CN161" s="435"/>
      <c r="CO161" s="435"/>
      <c r="CP161" s="435"/>
      <c r="CQ161" s="435"/>
      <c r="DD161" s="432">
        <v>213</v>
      </c>
      <c r="DE161" s="432"/>
      <c r="DF161" s="432"/>
      <c r="DG161" s="216">
        <f>DG159*30.2/130.2</f>
        <v>1148.1566820276498</v>
      </c>
      <c r="DH161" s="435">
        <f>DH160*30.2%</f>
        <v>114.81566820276497</v>
      </c>
      <c r="DI161" s="435"/>
      <c r="DJ161" s="435"/>
      <c r="DK161" s="435"/>
      <c r="DL161" s="435"/>
      <c r="DM161" s="435">
        <f>DM160*30.2%</f>
        <v>1033.3410138248848</v>
      </c>
      <c r="DN161" s="435"/>
      <c r="DO161" s="435"/>
      <c r="DP161" s="435"/>
      <c r="DQ161" s="435"/>
      <c r="DR161" s="435"/>
      <c r="DS161" s="435"/>
      <c r="ED161" s="432">
        <v>213</v>
      </c>
      <c r="EE161" s="432"/>
      <c r="EF161" s="432"/>
      <c r="EG161" s="216">
        <f>EG159*30.2/130.2</f>
        <v>772.39631336405535</v>
      </c>
      <c r="EH161" s="435">
        <f>EH160*30.2%</f>
        <v>77.239631336405523</v>
      </c>
      <c r="EI161" s="435"/>
      <c r="EJ161" s="435"/>
      <c r="EK161" s="435"/>
      <c r="EL161" s="435"/>
      <c r="EM161" s="435">
        <f>EM160*30.2%</f>
        <v>695.15668202764971</v>
      </c>
      <c r="EN161" s="435"/>
      <c r="EO161" s="435"/>
      <c r="EP161" s="435"/>
      <c r="EQ161" s="435"/>
      <c r="ER161" s="435"/>
      <c r="ES161" s="435"/>
      <c r="FE161" s="432">
        <v>213</v>
      </c>
      <c r="FF161" s="432"/>
      <c r="FG161" s="432"/>
      <c r="FH161" s="216">
        <f>FH159*30.2/130.2</f>
        <v>514.9308755760369</v>
      </c>
      <c r="FI161" s="435">
        <f>FI160*30.2%</f>
        <v>51.493087557603687</v>
      </c>
      <c r="FJ161" s="435"/>
      <c r="FK161" s="435"/>
      <c r="FL161" s="435"/>
      <c r="FM161" s="435"/>
      <c r="FN161" s="435">
        <f>FN160*30.2%</f>
        <v>463.4377880184332</v>
      </c>
      <c r="FO161" s="435"/>
      <c r="FP161" s="435"/>
      <c r="FQ161" s="435"/>
      <c r="FR161" s="435"/>
      <c r="FS161" s="435"/>
      <c r="FT161" s="435"/>
    </row>
    <row r="162" spans="26:183" ht="8.25" hidden="1" customHeight="1" x14ac:dyDescent="0.2">
      <c r="Z162" s="223"/>
      <c r="AA162" s="223"/>
      <c r="AB162" s="223"/>
      <c r="AC162" s="223"/>
      <c r="AD162" s="223"/>
      <c r="AE162" s="223"/>
      <c r="AF162" s="223"/>
      <c r="AG162" s="223"/>
    </row>
    <row r="163" spans="26:183" ht="8.25" hidden="1" customHeight="1" x14ac:dyDescent="0.2"/>
    <row r="164" spans="26:183" ht="8.25" hidden="1" customHeight="1" x14ac:dyDescent="0.2"/>
    <row r="165" spans="26:183" ht="18" hidden="1" customHeight="1" x14ac:dyDescent="0.2">
      <c r="BB165" s="432" t="s">
        <v>350</v>
      </c>
      <c r="BC165" s="432"/>
      <c r="BD165" s="432"/>
      <c r="BE165" s="432"/>
      <c r="BF165" s="432"/>
      <c r="BG165" s="432"/>
      <c r="BH165" s="432"/>
      <c r="BI165" s="432"/>
      <c r="BJ165" s="432"/>
      <c r="BK165" s="432"/>
      <c r="BL165" s="432"/>
      <c r="BM165" s="432"/>
      <c r="BN165" s="432"/>
      <c r="BO165" s="432"/>
      <c r="BP165" s="432"/>
      <c r="BQ165" s="432"/>
      <c r="BR165" s="432"/>
      <c r="BS165" s="432"/>
      <c r="BT165" s="432"/>
      <c r="BU165" s="432"/>
      <c r="BV165" s="432"/>
      <c r="BW165" s="432"/>
      <c r="BX165" s="432"/>
      <c r="CB165" s="432"/>
      <c r="CC165" s="432"/>
      <c r="CD165" s="432"/>
      <c r="CE165" s="432"/>
      <c r="CF165" s="432"/>
      <c r="CG165" s="432"/>
      <c r="CH165" s="432"/>
      <c r="CI165" s="432"/>
      <c r="CJ165" s="432"/>
      <c r="CK165" s="432"/>
      <c r="CL165" s="432"/>
      <c r="CM165" s="432"/>
      <c r="CN165" s="432"/>
      <c r="CO165" s="432"/>
      <c r="CP165" s="432"/>
      <c r="CQ165" s="432"/>
      <c r="CR165" s="432"/>
      <c r="CS165" s="432"/>
      <c r="CT165" s="432"/>
      <c r="CU165" s="432"/>
      <c r="CV165" s="432"/>
      <c r="CW165" s="432"/>
      <c r="CX165" s="432"/>
      <c r="DD165" s="432" t="s">
        <v>154</v>
      </c>
      <c r="DE165" s="432"/>
      <c r="DF165" s="432"/>
      <c r="DG165" s="432"/>
      <c r="DH165" s="432"/>
      <c r="DI165" s="432"/>
      <c r="DJ165" s="432"/>
      <c r="DK165" s="432"/>
      <c r="DL165" s="432"/>
      <c r="DM165" s="432"/>
      <c r="DN165" s="432"/>
      <c r="DO165" s="432"/>
      <c r="DP165" s="432"/>
      <c r="DQ165" s="432"/>
      <c r="DR165" s="432"/>
      <c r="DS165" s="432"/>
      <c r="DT165" s="432"/>
      <c r="DU165" s="432"/>
      <c r="DV165" s="432"/>
      <c r="DW165" s="432"/>
      <c r="DX165" s="432"/>
      <c r="DY165" s="432"/>
      <c r="DZ165" s="432"/>
      <c r="ED165" s="432" t="s">
        <v>157</v>
      </c>
      <c r="EE165" s="432"/>
      <c r="EF165" s="432"/>
      <c r="EG165" s="432"/>
      <c r="EH165" s="432"/>
      <c r="EI165" s="432"/>
      <c r="EJ165" s="432"/>
      <c r="EK165" s="432"/>
      <c r="EL165" s="432"/>
      <c r="EM165" s="432"/>
      <c r="EN165" s="432"/>
      <c r="EO165" s="432"/>
      <c r="EP165" s="432"/>
      <c r="EQ165" s="432"/>
      <c r="ER165" s="432"/>
      <c r="ES165" s="432"/>
      <c r="ET165" s="432"/>
      <c r="EU165" s="432"/>
      <c r="EV165" s="432"/>
      <c r="EW165" s="432"/>
      <c r="EX165" s="432"/>
      <c r="EY165" s="432"/>
      <c r="EZ165" s="432"/>
      <c r="FE165" s="432" t="s">
        <v>132</v>
      </c>
      <c r="FF165" s="432"/>
      <c r="FG165" s="432"/>
      <c r="FH165" s="432"/>
      <c r="FI165" s="432"/>
      <c r="FJ165" s="432"/>
      <c r="FK165" s="432"/>
      <c r="FL165" s="432"/>
      <c r="FM165" s="432"/>
      <c r="FN165" s="432"/>
      <c r="FO165" s="432"/>
      <c r="FP165" s="432"/>
      <c r="FQ165" s="432"/>
      <c r="FR165" s="432"/>
      <c r="FS165" s="432"/>
      <c r="FT165" s="432"/>
      <c r="FU165" s="432"/>
      <c r="FV165" s="432"/>
      <c r="FW165" s="432"/>
      <c r="FX165" s="432"/>
      <c r="FY165" s="432"/>
      <c r="FZ165" s="432"/>
      <c r="GA165" s="432"/>
    </row>
    <row r="166" spans="26:183" ht="12" hidden="1" x14ac:dyDescent="0.2">
      <c r="BB166" s="432" t="s">
        <v>126</v>
      </c>
      <c r="BC166" s="432"/>
      <c r="BD166" s="432"/>
      <c r="BE166" s="433">
        <f>200*29</f>
        <v>5800</v>
      </c>
      <c r="BF166" s="433"/>
      <c r="BG166" s="433"/>
      <c r="BH166" s="433"/>
      <c r="BI166" s="433"/>
      <c r="BJ166" s="228" t="s">
        <v>127</v>
      </c>
      <c r="BK166" s="228"/>
      <c r="BL166" s="228"/>
      <c r="BM166" s="228"/>
      <c r="BN166" s="228"/>
      <c r="BO166" s="228"/>
      <c r="BP166" s="228"/>
      <c r="BQ166" s="228"/>
      <c r="CB166" s="432"/>
      <c r="CC166" s="432"/>
      <c r="CD166" s="432"/>
      <c r="CE166" s="433"/>
      <c r="CF166" s="433"/>
      <c r="CG166" s="433"/>
      <c r="CH166" s="433"/>
      <c r="CI166" s="433"/>
      <c r="CJ166" s="220"/>
      <c r="CK166" s="220"/>
      <c r="CL166" s="220"/>
      <c r="CM166" s="220"/>
      <c r="CN166" s="220"/>
      <c r="CO166" s="220"/>
      <c r="CP166" s="220"/>
      <c r="CQ166" s="220"/>
      <c r="DD166" s="432" t="s">
        <v>126</v>
      </c>
      <c r="DE166" s="432"/>
      <c r="DF166" s="432"/>
      <c r="DG166" s="433">
        <f>150*48</f>
        <v>7200</v>
      </c>
      <c r="DH166" s="433"/>
      <c r="DI166" s="433"/>
      <c r="DJ166" s="433"/>
      <c r="DK166" s="433"/>
      <c r="DL166" s="220" t="s">
        <v>127</v>
      </c>
      <c r="DM166" s="220"/>
      <c r="DN166" s="220"/>
      <c r="DO166" s="220"/>
      <c r="DP166" s="220"/>
      <c r="DQ166" s="220"/>
      <c r="DR166" s="220"/>
      <c r="DS166" s="220"/>
      <c r="ED166" s="432" t="s">
        <v>126</v>
      </c>
      <c r="EE166" s="432"/>
      <c r="EF166" s="432"/>
      <c r="EG166" s="433">
        <f>150*46</f>
        <v>6900</v>
      </c>
      <c r="EH166" s="433"/>
      <c r="EI166" s="433"/>
      <c r="EJ166" s="433"/>
      <c r="EK166" s="433"/>
      <c r="EL166" s="220" t="s">
        <v>127</v>
      </c>
      <c r="EM166" s="220"/>
      <c r="EN166" s="220"/>
      <c r="EO166" s="220"/>
      <c r="EP166" s="220"/>
      <c r="EQ166" s="220"/>
      <c r="ER166" s="220"/>
      <c r="ES166" s="220"/>
      <c r="FE166" s="432" t="s">
        <v>126</v>
      </c>
      <c r="FF166" s="432"/>
      <c r="FG166" s="432"/>
      <c r="FH166" s="433">
        <f>100*111</f>
        <v>11100</v>
      </c>
      <c r="FI166" s="433"/>
      <c r="FJ166" s="433"/>
      <c r="FK166" s="433"/>
      <c r="FL166" s="433"/>
      <c r="FM166" s="220" t="s">
        <v>127</v>
      </c>
      <c r="FN166" s="220"/>
      <c r="FO166" s="220"/>
      <c r="FP166" s="220"/>
      <c r="FQ166" s="220"/>
      <c r="FR166" s="220"/>
      <c r="FS166" s="220"/>
      <c r="FT166" s="220"/>
    </row>
    <row r="167" spans="26:183" ht="12" hidden="1" x14ac:dyDescent="0.2">
      <c r="BB167" s="434">
        <v>0.6</v>
      </c>
      <c r="BC167" s="432"/>
      <c r="BD167" s="432"/>
      <c r="BE167" s="216">
        <f>BE166*BB167</f>
        <v>3480</v>
      </c>
      <c r="BF167" s="432" t="s">
        <v>128</v>
      </c>
      <c r="BG167" s="432"/>
      <c r="BH167" s="432"/>
      <c r="BI167" s="432"/>
      <c r="BJ167" s="432"/>
      <c r="BK167" s="432" t="s">
        <v>129</v>
      </c>
      <c r="BL167" s="432"/>
      <c r="BM167" s="432"/>
      <c r="BN167" s="432"/>
      <c r="BO167" s="432"/>
      <c r="BP167" s="432"/>
      <c r="BQ167" s="432"/>
      <c r="CB167" s="434"/>
      <c r="CC167" s="432"/>
      <c r="CD167" s="432"/>
      <c r="CE167" s="216"/>
      <c r="CF167" s="432"/>
      <c r="CG167" s="432"/>
      <c r="CH167" s="432"/>
      <c r="CI167" s="432"/>
      <c r="CJ167" s="432"/>
      <c r="CK167" s="432"/>
      <c r="CL167" s="432"/>
      <c r="CM167" s="432"/>
      <c r="CN167" s="432"/>
      <c r="CO167" s="432"/>
      <c r="CP167" s="432"/>
      <c r="CQ167" s="432"/>
      <c r="DD167" s="434">
        <v>0.6</v>
      </c>
      <c r="DE167" s="432"/>
      <c r="DF167" s="432"/>
      <c r="DG167" s="216">
        <f>DG166*DD167</f>
        <v>4320</v>
      </c>
      <c r="DH167" s="432" t="s">
        <v>128</v>
      </c>
      <c r="DI167" s="432"/>
      <c r="DJ167" s="432"/>
      <c r="DK167" s="432"/>
      <c r="DL167" s="432"/>
      <c r="DM167" s="432" t="s">
        <v>129</v>
      </c>
      <c r="DN167" s="432"/>
      <c r="DO167" s="432"/>
      <c r="DP167" s="432"/>
      <c r="DQ167" s="432"/>
      <c r="DR167" s="432"/>
      <c r="DS167" s="432"/>
      <c r="ED167" s="434">
        <v>0.6</v>
      </c>
      <c r="EE167" s="432"/>
      <c r="EF167" s="432"/>
      <c r="EG167" s="216">
        <f>EG166*ED167</f>
        <v>4140</v>
      </c>
      <c r="EH167" s="432" t="s">
        <v>128</v>
      </c>
      <c r="EI167" s="432"/>
      <c r="EJ167" s="432"/>
      <c r="EK167" s="432"/>
      <c r="EL167" s="432"/>
      <c r="EM167" s="432" t="s">
        <v>129</v>
      </c>
      <c r="EN167" s="432"/>
      <c r="EO167" s="432"/>
      <c r="EP167" s="432"/>
      <c r="EQ167" s="432"/>
      <c r="ER167" s="432"/>
      <c r="ES167" s="432"/>
      <c r="FE167" s="434">
        <v>0.6</v>
      </c>
      <c r="FF167" s="432"/>
      <c r="FG167" s="432"/>
      <c r="FH167" s="216">
        <f>FH166*FE167</f>
        <v>6660</v>
      </c>
      <c r="FI167" s="432" t="s">
        <v>128</v>
      </c>
      <c r="FJ167" s="432"/>
      <c r="FK167" s="432"/>
      <c r="FL167" s="432"/>
      <c r="FM167" s="432"/>
      <c r="FN167" s="432" t="s">
        <v>129</v>
      </c>
      <c r="FO167" s="432"/>
      <c r="FP167" s="432"/>
      <c r="FQ167" s="432"/>
      <c r="FR167" s="432"/>
      <c r="FS167" s="432"/>
      <c r="FT167" s="432"/>
    </row>
    <row r="168" spans="26:183" ht="12" hidden="1" x14ac:dyDescent="0.2">
      <c r="BB168" s="432">
        <v>211</v>
      </c>
      <c r="BC168" s="432"/>
      <c r="BD168" s="432"/>
      <c r="BE168" s="216">
        <f>BE167-BE169</f>
        <v>2672.8110599078341</v>
      </c>
      <c r="BF168" s="435">
        <f>BE168*0.1</f>
        <v>267.28110599078343</v>
      </c>
      <c r="BG168" s="435"/>
      <c r="BH168" s="435"/>
      <c r="BI168" s="435"/>
      <c r="BJ168" s="435"/>
      <c r="BK168" s="436">
        <f>BE168-BF168</f>
        <v>2405.5299539170505</v>
      </c>
      <c r="BL168" s="445"/>
      <c r="BM168" s="445"/>
      <c r="BN168" s="445"/>
      <c r="BO168" s="445"/>
      <c r="BP168" s="445"/>
      <c r="BQ168" s="445"/>
      <c r="CB168" s="432"/>
      <c r="CC168" s="432"/>
      <c r="CD168" s="432"/>
      <c r="CE168" s="216"/>
      <c r="CF168" s="435"/>
      <c r="CG168" s="435"/>
      <c r="CH168" s="435"/>
      <c r="CI168" s="435"/>
      <c r="CJ168" s="435"/>
      <c r="CK168" s="435"/>
      <c r="CL168" s="432"/>
      <c r="CM168" s="432"/>
      <c r="CN168" s="432"/>
      <c r="CO168" s="432"/>
      <c r="CP168" s="432"/>
      <c r="CQ168" s="432"/>
      <c r="DD168" s="432">
        <v>211</v>
      </c>
      <c r="DE168" s="432"/>
      <c r="DF168" s="432"/>
      <c r="DG168" s="216">
        <f>DG167-DG169</f>
        <v>3317.9723502304146</v>
      </c>
      <c r="DH168" s="435">
        <f>DG168*0.1</f>
        <v>331.79723502304148</v>
      </c>
      <c r="DI168" s="435"/>
      <c r="DJ168" s="435"/>
      <c r="DK168" s="435"/>
      <c r="DL168" s="435"/>
      <c r="DM168" s="435">
        <f>DG168-DH168</f>
        <v>2986.175115207373</v>
      </c>
      <c r="DN168" s="432"/>
      <c r="DO168" s="432"/>
      <c r="DP168" s="432"/>
      <c r="DQ168" s="432"/>
      <c r="DR168" s="432"/>
      <c r="DS168" s="432"/>
      <c r="ED168" s="432">
        <v>211</v>
      </c>
      <c r="EE168" s="432"/>
      <c r="EF168" s="432"/>
      <c r="EG168" s="216">
        <f>EG167-EG169</f>
        <v>3179.7235023041476</v>
      </c>
      <c r="EH168" s="435">
        <f>EG168*0.1</f>
        <v>317.9723502304148</v>
      </c>
      <c r="EI168" s="435"/>
      <c r="EJ168" s="435"/>
      <c r="EK168" s="435"/>
      <c r="EL168" s="435"/>
      <c r="EM168" s="435">
        <f>EG168-EH168</f>
        <v>2861.7511520737326</v>
      </c>
      <c r="EN168" s="432"/>
      <c r="EO168" s="432"/>
      <c r="EP168" s="432"/>
      <c r="EQ168" s="432"/>
      <c r="ER168" s="432"/>
      <c r="ES168" s="432"/>
      <c r="FE168" s="432">
        <v>211</v>
      </c>
      <c r="FF168" s="432"/>
      <c r="FG168" s="432"/>
      <c r="FH168" s="216">
        <f>FH167-FH169</f>
        <v>5115.2073732718891</v>
      </c>
      <c r="FI168" s="435">
        <f>FH168*0.1</f>
        <v>511.52073732718895</v>
      </c>
      <c r="FJ168" s="435"/>
      <c r="FK168" s="435"/>
      <c r="FL168" s="435"/>
      <c r="FM168" s="435"/>
      <c r="FN168" s="435">
        <f>FH168-FI168</f>
        <v>4603.6866359447004</v>
      </c>
      <c r="FO168" s="432"/>
      <c r="FP168" s="432"/>
      <c r="FQ168" s="432"/>
      <c r="FR168" s="432"/>
      <c r="FS168" s="432"/>
      <c r="FT168" s="432"/>
    </row>
    <row r="169" spans="26:183" ht="12" hidden="1" x14ac:dyDescent="0.2">
      <c r="BB169" s="432">
        <v>213</v>
      </c>
      <c r="BC169" s="432"/>
      <c r="BD169" s="432"/>
      <c r="BE169" s="216">
        <f>BE167*30.2/130.2</f>
        <v>807.18894009216592</v>
      </c>
      <c r="BF169" s="435">
        <f>BF168*30.2%</f>
        <v>80.718894009216598</v>
      </c>
      <c r="BG169" s="435"/>
      <c r="BH169" s="435"/>
      <c r="BI169" s="435"/>
      <c r="BJ169" s="435"/>
      <c r="BK169" s="435">
        <f>BK168*30.2%</f>
        <v>726.47004608294924</v>
      </c>
      <c r="BL169" s="435"/>
      <c r="BM169" s="435"/>
      <c r="BN169" s="435"/>
      <c r="BO169" s="435"/>
      <c r="BP169" s="435"/>
      <c r="BQ169" s="435"/>
      <c r="CB169" s="432"/>
      <c r="CC169" s="432"/>
      <c r="CD169" s="432"/>
      <c r="CE169" s="216"/>
      <c r="CF169" s="435"/>
      <c r="CG169" s="435"/>
      <c r="CH169" s="435"/>
      <c r="CI169" s="435"/>
      <c r="CJ169" s="435"/>
      <c r="CK169" s="435"/>
      <c r="CL169" s="435"/>
      <c r="CM169" s="435"/>
      <c r="CN169" s="435"/>
      <c r="CO169" s="435"/>
      <c r="CP169" s="435"/>
      <c r="CQ169" s="435"/>
      <c r="DD169" s="432">
        <v>213</v>
      </c>
      <c r="DE169" s="432"/>
      <c r="DF169" s="432"/>
      <c r="DG169" s="216">
        <f>DG167*30.2/130.2</f>
        <v>1002.0276497695853</v>
      </c>
      <c r="DH169" s="435">
        <f>DH168*30.2%</f>
        <v>100.20276497695852</v>
      </c>
      <c r="DI169" s="435"/>
      <c r="DJ169" s="435"/>
      <c r="DK169" s="435"/>
      <c r="DL169" s="435"/>
      <c r="DM169" s="435">
        <f>DM168*30.2%</f>
        <v>901.82488479262656</v>
      </c>
      <c r="DN169" s="435"/>
      <c r="DO169" s="435"/>
      <c r="DP169" s="435"/>
      <c r="DQ169" s="435"/>
      <c r="DR169" s="435"/>
      <c r="DS169" s="435"/>
      <c r="ED169" s="432">
        <v>213</v>
      </c>
      <c r="EE169" s="432"/>
      <c r="EF169" s="432"/>
      <c r="EG169" s="216">
        <f>EG167*30.2/130.2</f>
        <v>960.27649769585264</v>
      </c>
      <c r="EH169" s="435">
        <f>EH168*30.2%</f>
        <v>96.027649769585267</v>
      </c>
      <c r="EI169" s="435"/>
      <c r="EJ169" s="435"/>
      <c r="EK169" s="435"/>
      <c r="EL169" s="435"/>
      <c r="EM169" s="435">
        <f>EM168*30.2%</f>
        <v>864.24884792626722</v>
      </c>
      <c r="EN169" s="435"/>
      <c r="EO169" s="435"/>
      <c r="EP169" s="435"/>
      <c r="EQ169" s="435"/>
      <c r="ER169" s="435"/>
      <c r="ES169" s="435"/>
      <c r="FE169" s="432">
        <v>213</v>
      </c>
      <c r="FF169" s="432"/>
      <c r="FG169" s="432"/>
      <c r="FH169" s="216">
        <f>FH167*30.2/130.2</f>
        <v>1544.7926267281107</v>
      </c>
      <c r="FI169" s="435">
        <f>FI168*30.2%</f>
        <v>154.47926267281105</v>
      </c>
      <c r="FJ169" s="435"/>
      <c r="FK169" s="435"/>
      <c r="FL169" s="435"/>
      <c r="FM169" s="435"/>
      <c r="FN169" s="435">
        <f>FN168*30.2%</f>
        <v>1390.3133640552994</v>
      </c>
      <c r="FO169" s="435"/>
      <c r="FP169" s="435"/>
      <c r="FQ169" s="435"/>
      <c r="FR169" s="435"/>
      <c r="FS169" s="435"/>
      <c r="FT169" s="435"/>
    </row>
    <row r="170" spans="26:183" ht="16.5" hidden="1" customHeight="1" x14ac:dyDescent="0.2">
      <c r="BB170" s="432"/>
      <c r="BC170" s="432"/>
      <c r="BD170" s="432"/>
      <c r="BE170" s="432"/>
      <c r="BF170" s="432"/>
      <c r="BG170" s="432"/>
      <c r="BH170" s="432"/>
      <c r="BI170" s="432"/>
      <c r="BJ170" s="432"/>
      <c r="BK170" s="432"/>
      <c r="BL170" s="432"/>
      <c r="BM170" s="432"/>
      <c r="BN170" s="432"/>
      <c r="BO170" s="432"/>
      <c r="BP170" s="432"/>
      <c r="BQ170" s="432"/>
      <c r="BR170" s="432"/>
      <c r="BS170" s="432"/>
      <c r="BT170" s="432"/>
      <c r="BU170" s="432"/>
      <c r="BV170" s="432"/>
      <c r="BW170" s="432"/>
      <c r="BX170" s="432"/>
      <c r="DD170" s="432" t="s">
        <v>166</v>
      </c>
      <c r="DE170" s="432"/>
      <c r="DF170" s="432"/>
      <c r="DG170" s="432"/>
      <c r="DH170" s="432"/>
      <c r="DI170" s="432"/>
      <c r="DJ170" s="432"/>
      <c r="DK170" s="432"/>
      <c r="DL170" s="432"/>
      <c r="DM170" s="432"/>
      <c r="DN170" s="432"/>
      <c r="DO170" s="432"/>
      <c r="DP170" s="432"/>
      <c r="DQ170" s="432"/>
      <c r="DR170" s="432"/>
      <c r="DS170" s="432"/>
      <c r="DT170" s="432"/>
      <c r="DU170" s="432"/>
      <c r="DV170" s="432"/>
      <c r="DW170" s="432"/>
      <c r="DX170" s="432"/>
      <c r="DY170" s="432"/>
      <c r="DZ170" s="432"/>
      <c r="ED170" s="432" t="s">
        <v>165</v>
      </c>
      <c r="EE170" s="432"/>
      <c r="EF170" s="432"/>
      <c r="EG170" s="432"/>
      <c r="EH170" s="432"/>
      <c r="EI170" s="432"/>
      <c r="EJ170" s="432"/>
      <c r="EK170" s="432"/>
      <c r="EL170" s="432"/>
      <c r="EM170" s="432"/>
      <c r="EN170" s="432"/>
      <c r="EO170" s="432"/>
      <c r="EP170" s="432"/>
      <c r="EQ170" s="432"/>
      <c r="ER170" s="432"/>
      <c r="ES170" s="432"/>
      <c r="ET170" s="432"/>
      <c r="EU170" s="432"/>
      <c r="EV170" s="432"/>
      <c r="EW170" s="432"/>
      <c r="EX170" s="432"/>
      <c r="EY170" s="432"/>
      <c r="EZ170" s="432"/>
    </row>
    <row r="171" spans="26:183" ht="16.5" hidden="1" customHeight="1" x14ac:dyDescent="0.2">
      <c r="BB171" s="432" t="s">
        <v>359</v>
      </c>
      <c r="BC171" s="432"/>
      <c r="BD171" s="432"/>
      <c r="BE171" s="432"/>
      <c r="BF171" s="432"/>
      <c r="BG171" s="432"/>
      <c r="BH171" s="432"/>
      <c r="BI171" s="432"/>
      <c r="BJ171" s="432"/>
      <c r="BK171" s="432"/>
      <c r="BL171" s="432"/>
      <c r="BM171" s="432"/>
      <c r="BN171" s="432"/>
      <c r="BO171" s="432"/>
      <c r="BP171" s="432"/>
      <c r="BQ171" s="432"/>
      <c r="BR171" s="432"/>
      <c r="BS171" s="432"/>
      <c r="BT171" s="432"/>
      <c r="BU171" s="432"/>
      <c r="BV171" s="432"/>
      <c r="BW171" s="432"/>
      <c r="BX171" s="432"/>
      <c r="DD171" s="432" t="s">
        <v>126</v>
      </c>
      <c r="DE171" s="432"/>
      <c r="DF171" s="432"/>
      <c r="DG171" s="433">
        <f>150*9</f>
        <v>1350</v>
      </c>
      <c r="DH171" s="433"/>
      <c r="DI171" s="433"/>
      <c r="DJ171" s="433"/>
      <c r="DK171" s="433"/>
      <c r="DL171" s="220" t="s">
        <v>127</v>
      </c>
      <c r="DM171" s="220"/>
      <c r="DN171" s="220"/>
      <c r="DO171" s="220"/>
      <c r="DP171" s="220"/>
      <c r="DQ171" s="220"/>
      <c r="DR171" s="220"/>
      <c r="DS171" s="220"/>
      <c r="ED171" s="432" t="s">
        <v>126</v>
      </c>
      <c r="EE171" s="432"/>
      <c r="EF171" s="432"/>
      <c r="EG171" s="433">
        <f>150*49</f>
        <v>7350</v>
      </c>
      <c r="EH171" s="433"/>
      <c r="EI171" s="433"/>
      <c r="EJ171" s="433"/>
      <c r="EK171" s="433"/>
      <c r="EL171" s="220" t="s">
        <v>127</v>
      </c>
      <c r="EM171" s="220"/>
      <c r="EN171" s="220"/>
      <c r="EO171" s="220"/>
      <c r="EP171" s="220"/>
      <c r="EQ171" s="220"/>
      <c r="ER171" s="220"/>
      <c r="ES171" s="220"/>
    </row>
    <row r="172" spans="26:183" ht="16.5" hidden="1" customHeight="1" x14ac:dyDescent="0.2">
      <c r="BB172" s="432" t="s">
        <v>126</v>
      </c>
      <c r="BC172" s="432"/>
      <c r="BD172" s="432"/>
      <c r="BE172" s="433">
        <f>200*6</f>
        <v>1200</v>
      </c>
      <c r="BF172" s="433"/>
      <c r="BG172" s="433"/>
      <c r="BH172" s="433"/>
      <c r="BI172" s="433"/>
      <c r="BJ172" s="229" t="s">
        <v>127</v>
      </c>
      <c r="BK172" s="229"/>
      <c r="BL172" s="229"/>
      <c r="BM172" s="229"/>
      <c r="BN172" s="229"/>
      <c r="BO172" s="229"/>
      <c r="BP172" s="229"/>
      <c r="BQ172" s="229"/>
      <c r="DD172" s="434">
        <v>0.6</v>
      </c>
      <c r="DE172" s="432"/>
      <c r="DF172" s="432"/>
      <c r="DG172" s="216">
        <f>DG171*DD172</f>
        <v>810</v>
      </c>
      <c r="DH172" s="432" t="s">
        <v>128</v>
      </c>
      <c r="DI172" s="432"/>
      <c r="DJ172" s="432"/>
      <c r="DK172" s="432"/>
      <c r="DL172" s="432"/>
      <c r="DM172" s="432" t="s">
        <v>129</v>
      </c>
      <c r="DN172" s="432"/>
      <c r="DO172" s="432"/>
      <c r="DP172" s="432"/>
      <c r="DQ172" s="432"/>
      <c r="DR172" s="432"/>
      <c r="DS172" s="432"/>
      <c r="ED172" s="434">
        <v>0.6</v>
      </c>
      <c r="EE172" s="432"/>
      <c r="EF172" s="432"/>
      <c r="EG172" s="216">
        <f>EG171*ED172</f>
        <v>4410</v>
      </c>
      <c r="EH172" s="432" t="s">
        <v>128</v>
      </c>
      <c r="EI172" s="432"/>
      <c r="EJ172" s="432"/>
      <c r="EK172" s="432"/>
      <c r="EL172" s="432"/>
      <c r="EM172" s="432" t="s">
        <v>129</v>
      </c>
      <c r="EN172" s="432"/>
      <c r="EO172" s="432"/>
      <c r="EP172" s="432"/>
      <c r="EQ172" s="432"/>
      <c r="ER172" s="432"/>
      <c r="ES172" s="432"/>
    </row>
    <row r="173" spans="26:183" ht="16.5" hidden="1" customHeight="1" x14ac:dyDescent="0.2">
      <c r="BB173" s="434">
        <v>0.6</v>
      </c>
      <c r="BC173" s="432"/>
      <c r="BD173" s="432"/>
      <c r="BE173" s="216">
        <f>BE172*BB173</f>
        <v>720</v>
      </c>
      <c r="BF173" s="432" t="s">
        <v>128</v>
      </c>
      <c r="BG173" s="432"/>
      <c r="BH173" s="432"/>
      <c r="BI173" s="432"/>
      <c r="BJ173" s="432"/>
      <c r="BK173" s="432" t="s">
        <v>129</v>
      </c>
      <c r="BL173" s="432"/>
      <c r="BM173" s="432"/>
      <c r="BN173" s="432"/>
      <c r="BO173" s="432"/>
      <c r="BP173" s="432"/>
      <c r="BQ173" s="432"/>
      <c r="DD173" s="432">
        <v>211</v>
      </c>
      <c r="DE173" s="432"/>
      <c r="DF173" s="432"/>
      <c r="DG173" s="216">
        <f>DG172-DG174</f>
        <v>622.11981566820282</v>
      </c>
      <c r="DH173" s="435">
        <f>DG173*0.1</f>
        <v>62.211981566820285</v>
      </c>
      <c r="DI173" s="435"/>
      <c r="DJ173" s="435"/>
      <c r="DK173" s="435"/>
      <c r="DL173" s="435"/>
      <c r="DM173" s="435">
        <f>DG173-DH173</f>
        <v>559.90783410138249</v>
      </c>
      <c r="DN173" s="432"/>
      <c r="DO173" s="432"/>
      <c r="DP173" s="432"/>
      <c r="DQ173" s="432"/>
      <c r="DR173" s="432"/>
      <c r="DS173" s="432"/>
      <c r="ED173" s="432">
        <v>211</v>
      </c>
      <c r="EE173" s="432"/>
      <c r="EF173" s="432"/>
      <c r="EG173" s="216">
        <f>EG172-EG174</f>
        <v>3387.0967741935483</v>
      </c>
      <c r="EH173" s="435">
        <f>EG173*0.1</f>
        <v>338.70967741935488</v>
      </c>
      <c r="EI173" s="435"/>
      <c r="EJ173" s="435"/>
      <c r="EK173" s="435"/>
      <c r="EL173" s="435"/>
      <c r="EM173" s="435">
        <f>EG173-EH173</f>
        <v>3048.3870967741932</v>
      </c>
      <c r="EN173" s="432"/>
      <c r="EO173" s="432"/>
      <c r="EP173" s="432"/>
      <c r="EQ173" s="432"/>
      <c r="ER173" s="432"/>
      <c r="ES173" s="432"/>
    </row>
    <row r="174" spans="26:183" ht="16.5" hidden="1" customHeight="1" x14ac:dyDescent="0.2">
      <c r="BB174" s="432">
        <v>211</v>
      </c>
      <c r="BC174" s="432"/>
      <c r="BD174" s="432"/>
      <c r="BE174" s="216">
        <f>BE173-BE175</f>
        <v>552.9953917050691</v>
      </c>
      <c r="BF174" s="435">
        <f>BE174*0.1</f>
        <v>55.299539170506911</v>
      </c>
      <c r="BG174" s="435"/>
      <c r="BH174" s="435"/>
      <c r="BI174" s="435"/>
      <c r="BJ174" s="435"/>
      <c r="BK174" s="436">
        <f>BE174-BF174</f>
        <v>497.69585253456216</v>
      </c>
      <c r="BL174" s="445"/>
      <c r="BM174" s="445"/>
      <c r="BN174" s="445"/>
      <c r="BO174" s="445"/>
      <c r="BP174" s="445"/>
      <c r="BQ174" s="445"/>
      <c r="DD174" s="432">
        <v>213</v>
      </c>
      <c r="DE174" s="432"/>
      <c r="DF174" s="432"/>
      <c r="DG174" s="216">
        <f>DG172*30.2/130.2</f>
        <v>187.88018433179724</v>
      </c>
      <c r="DH174" s="435">
        <f>DH173*30.2%</f>
        <v>18.788018433179726</v>
      </c>
      <c r="DI174" s="435"/>
      <c r="DJ174" s="435"/>
      <c r="DK174" s="435"/>
      <c r="DL174" s="435"/>
      <c r="DM174" s="435">
        <f>DM173*30.2%</f>
        <v>169.09216589861751</v>
      </c>
      <c r="DN174" s="435"/>
      <c r="DO174" s="435"/>
      <c r="DP174" s="435"/>
      <c r="DQ174" s="435"/>
      <c r="DR174" s="435"/>
      <c r="DS174" s="435"/>
      <c r="ED174" s="432">
        <v>213</v>
      </c>
      <c r="EE174" s="432"/>
      <c r="EF174" s="432"/>
      <c r="EG174" s="216">
        <f>EG172*30.2/130.2</f>
        <v>1022.9032258064517</v>
      </c>
      <c r="EH174" s="435">
        <f>EH173*30.2%</f>
        <v>102.29032258064517</v>
      </c>
      <c r="EI174" s="435"/>
      <c r="EJ174" s="435"/>
      <c r="EK174" s="435"/>
      <c r="EL174" s="435"/>
      <c r="EM174" s="435">
        <f>EM173*30.2%</f>
        <v>920.61290322580635</v>
      </c>
      <c r="EN174" s="435"/>
      <c r="EO174" s="435"/>
      <c r="EP174" s="435"/>
      <c r="EQ174" s="435"/>
      <c r="ER174" s="435"/>
      <c r="ES174" s="435"/>
    </row>
    <row r="175" spans="26:183" ht="12" hidden="1" x14ac:dyDescent="0.2">
      <c r="BB175" s="432">
        <v>213</v>
      </c>
      <c r="BC175" s="432"/>
      <c r="BD175" s="432"/>
      <c r="BE175" s="216">
        <f>BE173*30.2/130.2</f>
        <v>167.0046082949309</v>
      </c>
      <c r="BF175" s="435">
        <f>BF174*30.2%</f>
        <v>16.700460829493085</v>
      </c>
      <c r="BG175" s="435"/>
      <c r="BH175" s="435"/>
      <c r="BI175" s="435"/>
      <c r="BJ175" s="435"/>
      <c r="BK175" s="435">
        <f>BK174*30.2%</f>
        <v>150.30414746543778</v>
      </c>
      <c r="BL175" s="435"/>
      <c r="BM175" s="435"/>
      <c r="BN175" s="435"/>
      <c r="BO175" s="435"/>
      <c r="BP175" s="435"/>
      <c r="BQ175" s="435"/>
    </row>
    <row r="176" spans="26:183" ht="12" hidden="1" x14ac:dyDescent="0.2">
      <c r="BB176" s="432"/>
      <c r="BC176" s="432"/>
      <c r="BD176" s="432"/>
      <c r="BE176" s="433"/>
      <c r="BF176" s="433"/>
      <c r="BG176" s="433"/>
      <c r="BH176" s="433"/>
      <c r="BI176" s="433"/>
      <c r="BJ176" s="220"/>
      <c r="BK176" s="220"/>
      <c r="BL176" s="220"/>
      <c r="BM176" s="220"/>
      <c r="BN176" s="220"/>
      <c r="BO176" s="220"/>
      <c r="BP176" s="220"/>
      <c r="BQ176" s="220"/>
    </row>
    <row r="177" spans="54:156" ht="8.25" hidden="1" customHeight="1" x14ac:dyDescent="0.2">
      <c r="BB177" s="434"/>
      <c r="BC177" s="432"/>
      <c r="BD177" s="432"/>
      <c r="BE177" s="216"/>
      <c r="BF177" s="432"/>
      <c r="BG177" s="432"/>
      <c r="BH177" s="432"/>
      <c r="BI177" s="432"/>
      <c r="BJ177" s="432"/>
      <c r="BK177" s="432"/>
      <c r="BL177" s="432"/>
      <c r="BM177" s="432"/>
      <c r="BN177" s="432"/>
      <c r="BO177" s="432"/>
      <c r="BP177" s="432"/>
      <c r="BQ177" s="432"/>
    </row>
    <row r="178" spans="54:156" ht="15.75" hidden="1" customHeight="1" x14ac:dyDescent="0.2">
      <c r="BB178" s="432" t="s">
        <v>374</v>
      </c>
      <c r="BC178" s="432"/>
      <c r="BD178" s="432"/>
      <c r="BE178" s="432"/>
      <c r="BF178" s="432"/>
      <c r="BG178" s="432"/>
      <c r="BH178" s="432"/>
      <c r="BI178" s="432"/>
      <c r="BJ178" s="432"/>
      <c r="BK178" s="432"/>
      <c r="BL178" s="432"/>
      <c r="BM178" s="432"/>
      <c r="BN178" s="432"/>
      <c r="BO178" s="432"/>
      <c r="BP178" s="432"/>
      <c r="BQ178" s="432"/>
      <c r="BR178" s="432"/>
      <c r="BS178" s="432"/>
      <c r="BT178" s="432"/>
      <c r="BU178" s="432"/>
      <c r="BV178" s="432"/>
      <c r="BW178" s="432"/>
      <c r="BX178" s="432"/>
      <c r="DD178" s="432" t="s">
        <v>167</v>
      </c>
      <c r="DE178" s="432"/>
      <c r="DF178" s="432"/>
      <c r="DG178" s="432"/>
      <c r="DH178" s="432"/>
      <c r="DI178" s="432"/>
      <c r="DJ178" s="432"/>
      <c r="DK178" s="432"/>
      <c r="DL178" s="432"/>
      <c r="DM178" s="432"/>
      <c r="DN178" s="432"/>
      <c r="DO178" s="432"/>
      <c r="DP178" s="432"/>
      <c r="DQ178" s="432"/>
      <c r="DR178" s="432"/>
      <c r="DS178" s="432"/>
      <c r="DT178" s="432"/>
      <c r="DU178" s="432"/>
      <c r="DV178" s="432"/>
      <c r="DW178" s="432"/>
      <c r="DX178" s="432"/>
      <c r="DY178" s="432"/>
      <c r="DZ178" s="432"/>
      <c r="ED178" s="432" t="s">
        <v>168</v>
      </c>
      <c r="EE178" s="432"/>
      <c r="EF178" s="432"/>
      <c r="EG178" s="432"/>
      <c r="EH178" s="432"/>
      <c r="EI178" s="432"/>
      <c r="EJ178" s="432"/>
      <c r="EK178" s="432"/>
      <c r="EL178" s="432"/>
      <c r="EM178" s="432"/>
      <c r="EN178" s="432"/>
      <c r="EO178" s="432"/>
      <c r="EP178" s="432"/>
      <c r="EQ178" s="432"/>
      <c r="ER178" s="432"/>
      <c r="ES178" s="432"/>
      <c r="ET178" s="432"/>
      <c r="EU178" s="432"/>
      <c r="EV178" s="432"/>
      <c r="EW178" s="432"/>
      <c r="EX178" s="432"/>
      <c r="EY178" s="432"/>
      <c r="EZ178" s="432"/>
    </row>
    <row r="179" spans="54:156" ht="17.25" hidden="1" customHeight="1" x14ac:dyDescent="0.2">
      <c r="BB179" s="432" t="s">
        <v>126</v>
      </c>
      <c r="BC179" s="432"/>
      <c r="BD179" s="432"/>
      <c r="BE179" s="433">
        <f>200*9</f>
        <v>1800</v>
      </c>
      <c r="BF179" s="433"/>
      <c r="BG179" s="433"/>
      <c r="BH179" s="433"/>
      <c r="BI179" s="433"/>
      <c r="BJ179" s="232" t="s">
        <v>127</v>
      </c>
      <c r="BK179" s="232"/>
      <c r="BL179" s="232"/>
      <c r="BM179" s="232"/>
      <c r="BN179" s="232"/>
      <c r="BO179" s="232"/>
      <c r="BP179" s="232"/>
      <c r="BQ179" s="232"/>
      <c r="DD179" s="432" t="s">
        <v>126</v>
      </c>
      <c r="DE179" s="432"/>
      <c r="DF179" s="432"/>
      <c r="DG179" s="433">
        <f>150*53</f>
        <v>7950</v>
      </c>
      <c r="DH179" s="433"/>
      <c r="DI179" s="433"/>
      <c r="DJ179" s="433"/>
      <c r="DK179" s="433"/>
      <c r="DL179" s="220" t="s">
        <v>127</v>
      </c>
      <c r="DM179" s="220"/>
      <c r="DN179" s="220"/>
      <c r="DO179" s="220"/>
      <c r="DP179" s="220"/>
      <c r="DQ179" s="220"/>
      <c r="DR179" s="220"/>
      <c r="DS179" s="220"/>
      <c r="ED179" s="432" t="s">
        <v>126</v>
      </c>
      <c r="EE179" s="432"/>
      <c r="EF179" s="432"/>
      <c r="EG179" s="433">
        <f>150*34</f>
        <v>5100</v>
      </c>
      <c r="EH179" s="433"/>
      <c r="EI179" s="433"/>
      <c r="EJ179" s="433"/>
      <c r="EK179" s="433"/>
      <c r="EL179" s="220" t="s">
        <v>127</v>
      </c>
      <c r="EM179" s="220"/>
      <c r="EN179" s="220"/>
      <c r="EO179" s="220"/>
      <c r="EP179" s="220"/>
      <c r="EQ179" s="220"/>
      <c r="ER179" s="220"/>
      <c r="ES179" s="220"/>
    </row>
    <row r="180" spans="54:156" ht="16.5" hidden="1" customHeight="1" x14ac:dyDescent="0.25">
      <c r="BB180" s="434">
        <v>0.6</v>
      </c>
      <c r="BC180" s="432"/>
      <c r="BD180" s="432"/>
      <c r="BE180" s="216">
        <f>BE179*BB180</f>
        <v>1080</v>
      </c>
      <c r="BF180" s="432" t="s">
        <v>128</v>
      </c>
      <c r="BG180" s="432"/>
      <c r="BH180" s="432"/>
      <c r="BI180" s="432"/>
      <c r="BJ180" s="432"/>
      <c r="BK180" s="432" t="s">
        <v>129</v>
      </c>
      <c r="BL180" s="432"/>
      <c r="BM180" s="432"/>
      <c r="BN180" s="432"/>
      <c r="BO180" s="432"/>
      <c r="BP180" s="432"/>
      <c r="BQ180" s="432"/>
      <c r="CB180" s="432" t="s">
        <v>368</v>
      </c>
      <c r="CC180" s="443"/>
      <c r="CD180" s="443"/>
      <c r="CE180" s="443"/>
      <c r="CH180" s="444" t="s">
        <v>366</v>
      </c>
      <c r="CI180" s="441"/>
      <c r="CJ180" s="441"/>
      <c r="CK180" s="441"/>
      <c r="CL180" s="441"/>
      <c r="CM180" s="441"/>
      <c r="DD180" s="434">
        <v>0.6</v>
      </c>
      <c r="DE180" s="432"/>
      <c r="DF180" s="432"/>
      <c r="DG180" s="216">
        <f>DG179*DD180</f>
        <v>4770</v>
      </c>
      <c r="DH180" s="432" t="s">
        <v>128</v>
      </c>
      <c r="DI180" s="432"/>
      <c r="DJ180" s="432"/>
      <c r="DK180" s="432"/>
      <c r="DL180" s="432"/>
      <c r="DM180" s="432" t="s">
        <v>129</v>
      </c>
      <c r="DN180" s="432"/>
      <c r="DO180" s="432"/>
      <c r="DP180" s="432"/>
      <c r="DQ180" s="432"/>
      <c r="DR180" s="432"/>
      <c r="DS180" s="432"/>
      <c r="ED180" s="434">
        <v>0.6</v>
      </c>
      <c r="EE180" s="432"/>
      <c r="EF180" s="432"/>
      <c r="EG180" s="216">
        <f>EG179*ED180</f>
        <v>3060</v>
      </c>
      <c r="EH180" s="432" t="s">
        <v>128</v>
      </c>
      <c r="EI180" s="432"/>
      <c r="EJ180" s="432"/>
      <c r="EK180" s="432"/>
      <c r="EL180" s="432"/>
      <c r="EM180" s="432" t="s">
        <v>129</v>
      </c>
      <c r="EN180" s="432"/>
      <c r="EO180" s="432"/>
      <c r="EP180" s="432"/>
      <c r="EQ180" s="432"/>
      <c r="ER180" s="432"/>
      <c r="ES180" s="432"/>
    </row>
    <row r="181" spans="54:156" ht="15" hidden="1" customHeight="1" x14ac:dyDescent="0.25">
      <c r="BB181" s="432">
        <v>211</v>
      </c>
      <c r="BC181" s="432"/>
      <c r="BD181" s="432"/>
      <c r="BE181" s="216">
        <f>BE180-BE182</f>
        <v>829.49308755760364</v>
      </c>
      <c r="BF181" s="435">
        <f>BE181*0.2</f>
        <v>165.89861751152074</v>
      </c>
      <c r="BG181" s="435"/>
      <c r="BH181" s="435"/>
      <c r="BI181" s="435"/>
      <c r="BJ181" s="435"/>
      <c r="BK181" s="436">
        <f>BE181-BF181</f>
        <v>663.59447004608296</v>
      </c>
      <c r="BL181" s="445"/>
      <c r="BM181" s="445"/>
      <c r="BN181" s="445"/>
      <c r="BO181" s="445"/>
      <c r="BP181" s="445"/>
      <c r="BQ181" s="445"/>
      <c r="CB181" s="437">
        <f>BF181*15/20</f>
        <v>124.42396313364057</v>
      </c>
      <c r="CC181" s="446"/>
      <c r="CD181" s="446"/>
      <c r="CE181" s="446"/>
      <c r="CH181" s="437">
        <f>BF181*5/20+0.01</f>
        <v>41.484654377880183</v>
      </c>
      <c r="CI181" s="446"/>
      <c r="CJ181" s="446"/>
      <c r="CK181" s="446"/>
      <c r="CL181" s="446"/>
      <c r="CM181" s="446"/>
      <c r="DD181" s="432">
        <v>211</v>
      </c>
      <c r="DE181" s="432"/>
      <c r="DF181" s="432"/>
      <c r="DG181" s="216">
        <f>DG180-DG182</f>
        <v>3663.5944700460832</v>
      </c>
      <c r="DH181" s="435">
        <f>DG181*0.1</f>
        <v>366.35944700460834</v>
      </c>
      <c r="DI181" s="435"/>
      <c r="DJ181" s="435"/>
      <c r="DK181" s="435"/>
      <c r="DL181" s="435"/>
      <c r="DM181" s="435">
        <f>DG181-DH181</f>
        <v>3297.235023041475</v>
      </c>
      <c r="DN181" s="432"/>
      <c r="DO181" s="432"/>
      <c r="DP181" s="432"/>
      <c r="DQ181" s="432"/>
      <c r="DR181" s="432"/>
      <c r="DS181" s="432"/>
      <c r="ED181" s="432">
        <v>211</v>
      </c>
      <c r="EE181" s="432"/>
      <c r="EF181" s="432"/>
      <c r="EG181" s="216">
        <f>EG180-EG182</f>
        <v>2350.2304147465438</v>
      </c>
      <c r="EH181" s="435">
        <f>EG181*0.1</f>
        <v>235.02304147465441</v>
      </c>
      <c r="EI181" s="435"/>
      <c r="EJ181" s="435"/>
      <c r="EK181" s="435"/>
      <c r="EL181" s="435"/>
      <c r="EM181" s="435">
        <f>EG181-EH181</f>
        <v>2115.2073732718895</v>
      </c>
      <c r="EN181" s="432"/>
      <c r="EO181" s="432"/>
      <c r="EP181" s="432"/>
      <c r="EQ181" s="432"/>
      <c r="ER181" s="432"/>
      <c r="ES181" s="432"/>
    </row>
    <row r="182" spans="54:156" ht="18.75" hidden="1" customHeight="1" x14ac:dyDescent="0.2">
      <c r="BB182" s="432">
        <v>213</v>
      </c>
      <c r="BC182" s="432"/>
      <c r="BD182" s="432"/>
      <c r="BE182" s="216">
        <f>BE180*30.2/130.2</f>
        <v>250.50691244239633</v>
      </c>
      <c r="BF182" s="435">
        <f>BF181*30.2%</f>
        <v>50.10138248847926</v>
      </c>
      <c r="BG182" s="435"/>
      <c r="BH182" s="435"/>
      <c r="BI182" s="435"/>
      <c r="BJ182" s="435"/>
      <c r="BK182" s="435">
        <f>BK181*30.2%</f>
        <v>200.40552995391704</v>
      </c>
      <c r="BL182" s="435"/>
      <c r="BM182" s="435"/>
      <c r="BN182" s="435"/>
      <c r="BO182" s="435"/>
      <c r="BP182" s="435"/>
      <c r="BQ182" s="435"/>
      <c r="DD182" s="432">
        <v>213</v>
      </c>
      <c r="DE182" s="432"/>
      <c r="DF182" s="432"/>
      <c r="DG182" s="216">
        <f>DG180*30.2/130.2</f>
        <v>1106.405529953917</v>
      </c>
      <c r="DH182" s="435">
        <f>DH181*30.2%</f>
        <v>110.64055299539172</v>
      </c>
      <c r="DI182" s="435"/>
      <c r="DJ182" s="435"/>
      <c r="DK182" s="435"/>
      <c r="DL182" s="435"/>
      <c r="DM182" s="435">
        <f>DM181*30.2%</f>
        <v>995.76497695852538</v>
      </c>
      <c r="DN182" s="435"/>
      <c r="DO182" s="435"/>
      <c r="DP182" s="435"/>
      <c r="DQ182" s="435"/>
      <c r="DR182" s="435"/>
      <c r="DS182" s="435"/>
      <c r="ED182" s="432">
        <v>213</v>
      </c>
      <c r="EE182" s="432"/>
      <c r="EF182" s="432"/>
      <c r="EG182" s="216">
        <f>EG180*30.2/130.2</f>
        <v>709.76958525345628</v>
      </c>
      <c r="EH182" s="435">
        <f>EH181*30.2%</f>
        <v>70.976958525345623</v>
      </c>
      <c r="EI182" s="435"/>
      <c r="EJ182" s="435"/>
      <c r="EK182" s="435"/>
      <c r="EL182" s="435"/>
      <c r="EM182" s="435">
        <f>EM181*30.2%</f>
        <v>638.79262672811058</v>
      </c>
      <c r="EN182" s="435"/>
      <c r="EO182" s="435"/>
      <c r="EP182" s="435"/>
      <c r="EQ182" s="435"/>
      <c r="ER182" s="435"/>
      <c r="ES182" s="435"/>
    </row>
    <row r="183" spans="54:156" ht="8.25" hidden="1" customHeight="1" x14ac:dyDescent="0.2"/>
    <row r="184" spans="54:156" ht="8.25" hidden="1" customHeight="1" x14ac:dyDescent="0.2"/>
    <row r="185" spans="54:156" ht="8.25" hidden="1" customHeight="1" x14ac:dyDescent="0.2"/>
    <row r="186" spans="54:156" ht="19.5" hidden="1" customHeight="1" x14ac:dyDescent="0.2">
      <c r="BB186" s="432" t="s">
        <v>379</v>
      </c>
      <c r="BC186" s="432"/>
      <c r="BD186" s="432"/>
      <c r="BE186" s="432"/>
      <c r="BF186" s="432"/>
      <c r="BG186" s="432"/>
      <c r="BH186" s="432"/>
      <c r="BI186" s="432"/>
      <c r="BJ186" s="432"/>
      <c r="BK186" s="432"/>
      <c r="BL186" s="432"/>
      <c r="BM186" s="432"/>
      <c r="BN186" s="432"/>
      <c r="BO186" s="432"/>
      <c r="BP186" s="432"/>
      <c r="BQ186" s="432"/>
      <c r="BR186" s="432"/>
      <c r="BS186" s="432"/>
      <c r="BT186" s="432"/>
      <c r="BU186" s="432"/>
      <c r="BV186" s="432"/>
      <c r="BW186" s="432"/>
      <c r="BX186" s="432"/>
      <c r="DD186" s="432" t="s">
        <v>179</v>
      </c>
      <c r="DE186" s="432"/>
      <c r="DF186" s="432"/>
      <c r="DG186" s="432"/>
      <c r="DH186" s="432"/>
      <c r="DI186" s="432"/>
      <c r="DJ186" s="432"/>
      <c r="DK186" s="432"/>
      <c r="DL186" s="432"/>
      <c r="DM186" s="432"/>
      <c r="DN186" s="432"/>
      <c r="DO186" s="432"/>
      <c r="DP186" s="432"/>
      <c r="DQ186" s="432"/>
      <c r="DR186" s="432"/>
      <c r="DS186" s="432"/>
      <c r="DT186" s="432"/>
      <c r="DU186" s="432"/>
      <c r="DV186" s="432"/>
      <c r="DW186" s="432"/>
      <c r="DX186" s="432"/>
      <c r="DY186" s="432"/>
      <c r="DZ186" s="432"/>
      <c r="ED186" s="432" t="s">
        <v>180</v>
      </c>
      <c r="EE186" s="432"/>
      <c r="EF186" s="432"/>
      <c r="EG186" s="432"/>
      <c r="EH186" s="432"/>
      <c r="EI186" s="432"/>
      <c r="EJ186" s="432"/>
      <c r="EK186" s="432"/>
      <c r="EL186" s="432"/>
      <c r="EM186" s="432"/>
      <c r="EN186" s="432"/>
      <c r="EO186" s="432"/>
      <c r="EP186" s="432"/>
      <c r="EQ186" s="432"/>
      <c r="ER186" s="432"/>
      <c r="ES186" s="432"/>
      <c r="ET186" s="432"/>
      <c r="EU186" s="432"/>
      <c r="EV186" s="432"/>
      <c r="EW186" s="432"/>
      <c r="EX186" s="432"/>
      <c r="EY186" s="432"/>
      <c r="EZ186" s="432"/>
    </row>
    <row r="187" spans="54:156" ht="16.5" hidden="1" customHeight="1" x14ac:dyDescent="0.2">
      <c r="BB187" s="432" t="s">
        <v>126</v>
      </c>
      <c r="BC187" s="432"/>
      <c r="BD187" s="432"/>
      <c r="BE187" s="433">
        <f>200*8</f>
        <v>1600</v>
      </c>
      <c r="BF187" s="433"/>
      <c r="BG187" s="433"/>
      <c r="BH187" s="433"/>
      <c r="BI187" s="433"/>
      <c r="BJ187" s="240" t="s">
        <v>127</v>
      </c>
      <c r="BK187" s="240"/>
      <c r="BL187" s="240"/>
      <c r="BM187" s="240"/>
      <c r="BN187" s="240"/>
      <c r="BO187" s="240"/>
      <c r="BP187" s="240"/>
      <c r="BQ187" s="240"/>
      <c r="DD187" s="432" t="s">
        <v>126</v>
      </c>
      <c r="DE187" s="432"/>
      <c r="DF187" s="432"/>
      <c r="DG187" s="433">
        <f>150*39</f>
        <v>5850</v>
      </c>
      <c r="DH187" s="433"/>
      <c r="DI187" s="433"/>
      <c r="DJ187" s="433"/>
      <c r="DK187" s="433"/>
      <c r="DL187" s="220" t="s">
        <v>127</v>
      </c>
      <c r="DM187" s="220"/>
      <c r="DN187" s="220"/>
      <c r="DO187" s="220"/>
      <c r="DP187" s="220"/>
      <c r="DQ187" s="220"/>
      <c r="DR187" s="220"/>
      <c r="DS187" s="220"/>
      <c r="ED187" s="432" t="s">
        <v>126</v>
      </c>
      <c r="EE187" s="432"/>
      <c r="EF187" s="432"/>
      <c r="EG187" s="433">
        <f>150*38</f>
        <v>5700</v>
      </c>
      <c r="EH187" s="433"/>
      <c r="EI187" s="433"/>
      <c r="EJ187" s="433"/>
      <c r="EK187" s="433"/>
      <c r="EL187" s="220" t="s">
        <v>127</v>
      </c>
      <c r="EM187" s="220"/>
      <c r="EN187" s="220"/>
      <c r="EO187" s="220"/>
      <c r="EP187" s="220"/>
      <c r="EQ187" s="220"/>
      <c r="ER187" s="220"/>
      <c r="ES187" s="220"/>
    </row>
    <row r="188" spans="54:156" ht="17.25" hidden="1" customHeight="1" x14ac:dyDescent="0.25">
      <c r="BB188" s="434">
        <v>0.6</v>
      </c>
      <c r="BC188" s="432"/>
      <c r="BD188" s="432"/>
      <c r="BE188" s="216">
        <f>BE187*BB188</f>
        <v>960</v>
      </c>
      <c r="BF188" s="432" t="s">
        <v>128</v>
      </c>
      <c r="BG188" s="432"/>
      <c r="BH188" s="432"/>
      <c r="BI188" s="432"/>
      <c r="BJ188" s="432"/>
      <c r="BK188" s="432" t="s">
        <v>129</v>
      </c>
      <c r="BL188" s="432"/>
      <c r="BM188" s="432"/>
      <c r="BN188" s="432"/>
      <c r="BO188" s="432"/>
      <c r="BP188" s="432"/>
      <c r="BQ188" s="432"/>
      <c r="CB188" s="432" t="s">
        <v>368</v>
      </c>
      <c r="CC188" s="443"/>
      <c r="CD188" s="443"/>
      <c r="CE188" s="443"/>
      <c r="CH188" s="444" t="s">
        <v>366</v>
      </c>
      <c r="CI188" s="441"/>
      <c r="CJ188" s="441"/>
      <c r="CK188" s="441"/>
      <c r="CL188" s="441"/>
      <c r="CM188" s="441"/>
      <c r="DD188" s="434">
        <v>0.6</v>
      </c>
      <c r="DE188" s="432"/>
      <c r="DF188" s="432"/>
      <c r="DG188" s="216">
        <f>DG187*DD188</f>
        <v>3510</v>
      </c>
      <c r="DH188" s="432" t="s">
        <v>128</v>
      </c>
      <c r="DI188" s="432"/>
      <c r="DJ188" s="432"/>
      <c r="DK188" s="432"/>
      <c r="DL188" s="432"/>
      <c r="DM188" s="432" t="s">
        <v>129</v>
      </c>
      <c r="DN188" s="432"/>
      <c r="DO188" s="432"/>
      <c r="DP188" s="432"/>
      <c r="DQ188" s="432"/>
      <c r="DR188" s="432"/>
      <c r="DS188" s="432"/>
      <c r="ED188" s="434">
        <v>0.6</v>
      </c>
      <c r="EE188" s="432"/>
      <c r="EF188" s="432"/>
      <c r="EG188" s="216">
        <f>EG187*ED188</f>
        <v>3420</v>
      </c>
      <c r="EH188" s="432" t="s">
        <v>128</v>
      </c>
      <c r="EI188" s="432"/>
      <c r="EJ188" s="432"/>
      <c r="EK188" s="432"/>
      <c r="EL188" s="432"/>
      <c r="EM188" s="432" t="s">
        <v>129</v>
      </c>
      <c r="EN188" s="432"/>
      <c r="EO188" s="432"/>
      <c r="EP188" s="432"/>
      <c r="EQ188" s="432"/>
      <c r="ER188" s="432"/>
      <c r="ES188" s="432"/>
    </row>
    <row r="189" spans="54:156" ht="16.5" hidden="1" customHeight="1" x14ac:dyDescent="0.25">
      <c r="BB189" s="432">
        <v>211</v>
      </c>
      <c r="BC189" s="432"/>
      <c r="BD189" s="432"/>
      <c r="BE189" s="216">
        <f>BE188-BE190</f>
        <v>737.32718894009213</v>
      </c>
      <c r="BF189" s="435">
        <f>BE189*0.2</f>
        <v>147.46543778801842</v>
      </c>
      <c r="BG189" s="435"/>
      <c r="BH189" s="435"/>
      <c r="BI189" s="435"/>
      <c r="BJ189" s="435"/>
      <c r="BK189" s="436">
        <f>BE189-BF189</f>
        <v>589.86175115207368</v>
      </c>
      <c r="BL189" s="445"/>
      <c r="BM189" s="445"/>
      <c r="BN189" s="445"/>
      <c r="BO189" s="445"/>
      <c r="BP189" s="445"/>
      <c r="BQ189" s="445"/>
      <c r="CB189" s="437">
        <f>BF189*15/20</f>
        <v>110.59907834101382</v>
      </c>
      <c r="CC189" s="446"/>
      <c r="CD189" s="446"/>
      <c r="CE189" s="446"/>
      <c r="CH189" s="437">
        <f>BF189*5/20</f>
        <v>36.866359447004605</v>
      </c>
      <c r="CI189" s="446"/>
      <c r="CJ189" s="446"/>
      <c r="CK189" s="446"/>
      <c r="CL189" s="446"/>
      <c r="CM189" s="446"/>
      <c r="DD189" s="432">
        <v>211</v>
      </c>
      <c r="DE189" s="432"/>
      <c r="DF189" s="432"/>
      <c r="DG189" s="216">
        <f>DG188-DG190</f>
        <v>2695.852534562212</v>
      </c>
      <c r="DH189" s="435">
        <f>DG189*0.1</f>
        <v>269.58525345622121</v>
      </c>
      <c r="DI189" s="435"/>
      <c r="DJ189" s="435"/>
      <c r="DK189" s="435"/>
      <c r="DL189" s="435"/>
      <c r="DM189" s="435">
        <f>DG189-DH189</f>
        <v>2426.2672811059906</v>
      </c>
      <c r="DN189" s="432"/>
      <c r="DO189" s="432"/>
      <c r="DP189" s="432"/>
      <c r="DQ189" s="432"/>
      <c r="DR189" s="432"/>
      <c r="DS189" s="432"/>
      <c r="ED189" s="432">
        <v>211</v>
      </c>
      <c r="EE189" s="432"/>
      <c r="EF189" s="432"/>
      <c r="EG189" s="216">
        <f>EG188-EG190</f>
        <v>2626.7281105990783</v>
      </c>
      <c r="EH189" s="435">
        <f>EG189*0.1</f>
        <v>262.67281105990781</v>
      </c>
      <c r="EI189" s="435"/>
      <c r="EJ189" s="435"/>
      <c r="EK189" s="435"/>
      <c r="EL189" s="435"/>
      <c r="EM189" s="435">
        <f>EG189-EH189</f>
        <v>2364.0552995391704</v>
      </c>
      <c r="EN189" s="432"/>
      <c r="EO189" s="432"/>
      <c r="EP189" s="432"/>
      <c r="EQ189" s="432"/>
      <c r="ER189" s="432"/>
      <c r="ES189" s="432"/>
    </row>
    <row r="190" spans="54:156" ht="16.5" hidden="1" customHeight="1" x14ac:dyDescent="0.2">
      <c r="BB190" s="432">
        <v>213</v>
      </c>
      <c r="BC190" s="432"/>
      <c r="BD190" s="432"/>
      <c r="BE190" s="216">
        <f>BE188*30.2/130.2</f>
        <v>222.67281105990784</v>
      </c>
      <c r="BF190" s="435">
        <f>BF189*30.2%</f>
        <v>44.534562211981559</v>
      </c>
      <c r="BG190" s="435"/>
      <c r="BH190" s="435"/>
      <c r="BI190" s="435"/>
      <c r="BJ190" s="435"/>
      <c r="BK190" s="435">
        <f>BK189*30.2%</f>
        <v>178.13824884792623</v>
      </c>
      <c r="BL190" s="435"/>
      <c r="BM190" s="435"/>
      <c r="BN190" s="435"/>
      <c r="BO190" s="435"/>
      <c r="BP190" s="435"/>
      <c r="BQ190" s="435"/>
      <c r="DD190" s="432">
        <v>213</v>
      </c>
      <c r="DE190" s="432"/>
      <c r="DF190" s="432"/>
      <c r="DG190" s="216">
        <f>DG188*30.2/130.2</f>
        <v>814.14746543778813</v>
      </c>
      <c r="DH190" s="435">
        <f>DH189*30.2%</f>
        <v>81.414746543778804</v>
      </c>
      <c r="DI190" s="435"/>
      <c r="DJ190" s="435"/>
      <c r="DK190" s="435"/>
      <c r="DL190" s="435"/>
      <c r="DM190" s="435">
        <f>DM189*30.2%</f>
        <v>732.73271889400917</v>
      </c>
      <c r="DN190" s="435"/>
      <c r="DO190" s="435"/>
      <c r="DP190" s="435"/>
      <c r="DQ190" s="435"/>
      <c r="DR190" s="435"/>
      <c r="DS190" s="435"/>
      <c r="ED190" s="432">
        <v>213</v>
      </c>
      <c r="EE190" s="432"/>
      <c r="EF190" s="432"/>
      <c r="EG190" s="216">
        <f>EG188*30.2/130.2</f>
        <v>793.27188940092174</v>
      </c>
      <c r="EH190" s="435">
        <f>EH189*30.2%</f>
        <v>79.327188940092157</v>
      </c>
      <c r="EI190" s="435"/>
      <c r="EJ190" s="435"/>
      <c r="EK190" s="435"/>
      <c r="EL190" s="435"/>
      <c r="EM190" s="435">
        <f>EM189*30.2%</f>
        <v>713.94470046082938</v>
      </c>
      <c r="EN190" s="435"/>
      <c r="EO190" s="435"/>
      <c r="EP190" s="435"/>
      <c r="EQ190" s="435"/>
      <c r="ER190" s="435"/>
      <c r="ES190" s="435"/>
    </row>
    <row r="191" spans="54:156" ht="8.25" hidden="1" customHeight="1" x14ac:dyDescent="0.2"/>
    <row r="192" spans="54:156" ht="8.25" hidden="1" customHeight="1" x14ac:dyDescent="0.2"/>
    <row r="193" spans="54:156" ht="8.25" hidden="1" customHeight="1" x14ac:dyDescent="0.2"/>
    <row r="194" spans="54:156" ht="27" hidden="1" customHeight="1" x14ac:dyDescent="0.2">
      <c r="BB194" s="432" t="s">
        <v>390</v>
      </c>
      <c r="BC194" s="432"/>
      <c r="BD194" s="432"/>
      <c r="BE194" s="432"/>
      <c r="BF194" s="432"/>
      <c r="BG194" s="432"/>
      <c r="BH194" s="432"/>
      <c r="BI194" s="432"/>
      <c r="BJ194" s="432"/>
      <c r="BK194" s="432"/>
      <c r="BL194" s="432"/>
      <c r="BM194" s="432"/>
      <c r="BN194" s="432"/>
      <c r="BO194" s="432"/>
      <c r="BP194" s="432"/>
      <c r="BQ194" s="432"/>
      <c r="BR194" s="432"/>
      <c r="BS194" s="432"/>
      <c r="BT194" s="432"/>
      <c r="BU194" s="432"/>
      <c r="BV194" s="432"/>
      <c r="BW194" s="432"/>
      <c r="BX194" s="432"/>
      <c r="DD194" s="432" t="s">
        <v>186</v>
      </c>
      <c r="DE194" s="432"/>
      <c r="DF194" s="432"/>
      <c r="DG194" s="432"/>
      <c r="DH194" s="432"/>
      <c r="DI194" s="432"/>
      <c r="DJ194" s="432"/>
      <c r="DK194" s="432"/>
      <c r="DL194" s="432"/>
      <c r="DM194" s="432"/>
      <c r="DN194" s="432"/>
      <c r="DO194" s="432"/>
      <c r="DP194" s="432"/>
      <c r="DQ194" s="432"/>
      <c r="DR194" s="432"/>
      <c r="DS194" s="432"/>
      <c r="DT194" s="432"/>
      <c r="DU194" s="432"/>
      <c r="DV194" s="432"/>
      <c r="DW194" s="432"/>
      <c r="DX194" s="432"/>
      <c r="DY194" s="432"/>
      <c r="DZ194" s="432"/>
      <c r="ED194" s="432" t="s">
        <v>187</v>
      </c>
      <c r="EE194" s="432"/>
      <c r="EF194" s="432"/>
      <c r="EG194" s="432"/>
      <c r="EH194" s="432"/>
      <c r="EI194" s="432"/>
      <c r="EJ194" s="432"/>
      <c r="EK194" s="432"/>
      <c r="EL194" s="432"/>
      <c r="EM194" s="432"/>
      <c r="EN194" s="432"/>
      <c r="EO194" s="432"/>
      <c r="EP194" s="432"/>
      <c r="EQ194" s="432"/>
      <c r="ER194" s="432"/>
      <c r="ES194" s="432"/>
      <c r="ET194" s="432"/>
      <c r="EU194" s="432"/>
      <c r="EV194" s="432"/>
      <c r="EW194" s="432"/>
      <c r="EX194" s="432"/>
      <c r="EY194" s="432"/>
      <c r="EZ194" s="432"/>
    </row>
    <row r="195" spans="54:156" ht="18.75" hidden="1" customHeight="1" x14ac:dyDescent="0.2">
      <c r="BB195" s="432" t="s">
        <v>126</v>
      </c>
      <c r="BC195" s="432"/>
      <c r="BD195" s="432"/>
      <c r="BE195" s="433">
        <f>200*59</f>
        <v>11800</v>
      </c>
      <c r="BF195" s="433"/>
      <c r="BG195" s="433"/>
      <c r="BH195" s="433"/>
      <c r="BI195" s="433"/>
      <c r="BJ195" s="244" t="s">
        <v>127</v>
      </c>
      <c r="BK195" s="244"/>
      <c r="BL195" s="244"/>
      <c r="BM195" s="244"/>
      <c r="BN195" s="244"/>
      <c r="BO195" s="244"/>
      <c r="BP195" s="244"/>
      <c r="BQ195" s="244"/>
      <c r="DD195" s="432" t="s">
        <v>126</v>
      </c>
      <c r="DE195" s="432"/>
      <c r="DF195" s="432"/>
      <c r="DG195" s="433">
        <f>150*31</f>
        <v>4650</v>
      </c>
      <c r="DH195" s="433"/>
      <c r="DI195" s="433"/>
      <c r="DJ195" s="433"/>
      <c r="DK195" s="433"/>
      <c r="DL195" s="220" t="s">
        <v>127</v>
      </c>
      <c r="DM195" s="220"/>
      <c r="DN195" s="220"/>
      <c r="DO195" s="220"/>
      <c r="DP195" s="220"/>
      <c r="DQ195" s="220"/>
      <c r="DR195" s="220"/>
      <c r="DS195" s="220"/>
      <c r="ED195" s="432" t="s">
        <v>126</v>
      </c>
      <c r="EE195" s="432"/>
      <c r="EF195" s="432"/>
      <c r="EG195" s="433">
        <f>150*16</f>
        <v>2400</v>
      </c>
      <c r="EH195" s="433"/>
      <c r="EI195" s="433"/>
      <c r="EJ195" s="433"/>
      <c r="EK195" s="433"/>
      <c r="EL195" s="220" t="s">
        <v>127</v>
      </c>
      <c r="EM195" s="220"/>
      <c r="EN195" s="220"/>
      <c r="EO195" s="220"/>
      <c r="EP195" s="220"/>
      <c r="EQ195" s="220"/>
      <c r="ER195" s="220"/>
      <c r="ES195" s="220"/>
    </row>
    <row r="196" spans="54:156" ht="20.25" hidden="1" customHeight="1" x14ac:dyDescent="0.25">
      <c r="BB196" s="434">
        <v>0.6</v>
      </c>
      <c r="BC196" s="432"/>
      <c r="BD196" s="432"/>
      <c r="BE196" s="216">
        <f>BE195*BB196</f>
        <v>7080</v>
      </c>
      <c r="BF196" s="432" t="s">
        <v>128</v>
      </c>
      <c r="BG196" s="432"/>
      <c r="BH196" s="432"/>
      <c r="BI196" s="432"/>
      <c r="BJ196" s="432"/>
      <c r="BK196" s="432" t="s">
        <v>129</v>
      </c>
      <c r="BL196" s="432"/>
      <c r="BM196" s="432"/>
      <c r="BN196" s="432"/>
      <c r="BO196" s="432"/>
      <c r="BP196" s="432"/>
      <c r="BQ196" s="432"/>
      <c r="CB196" s="432" t="s">
        <v>368</v>
      </c>
      <c r="CC196" s="443"/>
      <c r="CD196" s="443"/>
      <c r="CE196" s="443"/>
      <c r="CH196" s="444" t="s">
        <v>366</v>
      </c>
      <c r="CI196" s="441"/>
      <c r="CJ196" s="441"/>
      <c r="CK196" s="441"/>
      <c r="CL196" s="441"/>
      <c r="CM196" s="441"/>
      <c r="DD196" s="434">
        <v>0.6</v>
      </c>
      <c r="DE196" s="432"/>
      <c r="DF196" s="432"/>
      <c r="DG196" s="216">
        <f>DG195*DD196</f>
        <v>2790</v>
      </c>
      <c r="DH196" s="432" t="s">
        <v>128</v>
      </c>
      <c r="DI196" s="432"/>
      <c r="DJ196" s="432"/>
      <c r="DK196" s="432"/>
      <c r="DL196" s="432"/>
      <c r="DM196" s="432" t="s">
        <v>129</v>
      </c>
      <c r="DN196" s="432"/>
      <c r="DO196" s="432"/>
      <c r="DP196" s="432"/>
      <c r="DQ196" s="432"/>
      <c r="DR196" s="432"/>
      <c r="DS196" s="432"/>
      <c r="ED196" s="434">
        <v>0.6</v>
      </c>
      <c r="EE196" s="432"/>
      <c r="EF196" s="432"/>
      <c r="EG196" s="216">
        <f>EG195*ED196</f>
        <v>1440</v>
      </c>
      <c r="EH196" s="432" t="s">
        <v>128</v>
      </c>
      <c r="EI196" s="432"/>
      <c r="EJ196" s="432"/>
      <c r="EK196" s="432"/>
      <c r="EL196" s="432"/>
      <c r="EM196" s="432" t="s">
        <v>129</v>
      </c>
      <c r="EN196" s="432"/>
      <c r="EO196" s="432"/>
      <c r="EP196" s="432"/>
      <c r="EQ196" s="432"/>
      <c r="ER196" s="432"/>
      <c r="ES196" s="432"/>
    </row>
    <row r="197" spans="54:156" ht="18.75" hidden="1" customHeight="1" x14ac:dyDescent="0.25">
      <c r="BB197" s="432">
        <v>211</v>
      </c>
      <c r="BC197" s="432"/>
      <c r="BD197" s="432"/>
      <c r="BE197" s="216">
        <f>BE196-BE198</f>
        <v>5437.7880184331798</v>
      </c>
      <c r="BF197" s="435">
        <f>BE197*0.2</f>
        <v>1087.557603686636</v>
      </c>
      <c r="BG197" s="435"/>
      <c r="BH197" s="435"/>
      <c r="BI197" s="435"/>
      <c r="BJ197" s="435"/>
      <c r="BK197" s="436">
        <f>BE197-BF197</f>
        <v>4350.2304147465438</v>
      </c>
      <c r="BL197" s="445"/>
      <c r="BM197" s="445"/>
      <c r="BN197" s="445"/>
      <c r="BO197" s="445"/>
      <c r="BP197" s="445"/>
      <c r="BQ197" s="445"/>
      <c r="CB197" s="437">
        <f>BF197*15/20</f>
        <v>815.66820276497697</v>
      </c>
      <c r="CC197" s="446"/>
      <c r="CD197" s="446"/>
      <c r="CE197" s="446"/>
      <c r="CH197" s="437">
        <f>BF197*5/20</f>
        <v>271.88940092165899</v>
      </c>
      <c r="CI197" s="446"/>
      <c r="CJ197" s="446"/>
      <c r="CK197" s="446"/>
      <c r="CL197" s="446"/>
      <c r="CM197" s="446"/>
      <c r="DD197" s="432">
        <v>211</v>
      </c>
      <c r="DE197" s="432"/>
      <c r="DF197" s="432"/>
      <c r="DG197" s="216">
        <f>DG196-DG198</f>
        <v>2142.8571428571427</v>
      </c>
      <c r="DH197" s="435">
        <f>DG197*0.1</f>
        <v>214.28571428571428</v>
      </c>
      <c r="DI197" s="435"/>
      <c r="DJ197" s="435"/>
      <c r="DK197" s="435"/>
      <c r="DL197" s="435"/>
      <c r="DM197" s="435">
        <f>DG197-DH197</f>
        <v>1928.5714285714284</v>
      </c>
      <c r="DN197" s="432"/>
      <c r="DO197" s="432"/>
      <c r="DP197" s="432"/>
      <c r="DQ197" s="432"/>
      <c r="DR197" s="432"/>
      <c r="DS197" s="432"/>
      <c r="ED197" s="432">
        <v>211</v>
      </c>
      <c r="EE197" s="432"/>
      <c r="EF197" s="432"/>
      <c r="EG197" s="216">
        <f>EG196-EG198</f>
        <v>1105.9907834101382</v>
      </c>
      <c r="EH197" s="435">
        <f>EG197*0.1</f>
        <v>110.59907834101382</v>
      </c>
      <c r="EI197" s="435"/>
      <c r="EJ197" s="435"/>
      <c r="EK197" s="435"/>
      <c r="EL197" s="435"/>
      <c r="EM197" s="435">
        <f>EG197-EH197</f>
        <v>995.39170506912433</v>
      </c>
      <c r="EN197" s="432"/>
      <c r="EO197" s="432"/>
      <c r="EP197" s="432"/>
      <c r="EQ197" s="432"/>
      <c r="ER197" s="432"/>
      <c r="ES197" s="432"/>
    </row>
    <row r="198" spans="54:156" ht="19.5" hidden="1" customHeight="1" x14ac:dyDescent="0.2">
      <c r="BB198" s="432">
        <v>213</v>
      </c>
      <c r="BC198" s="432"/>
      <c r="BD198" s="432"/>
      <c r="BE198" s="216">
        <f>BE196*30.2/130.2</f>
        <v>1642.2119815668204</v>
      </c>
      <c r="BF198" s="435">
        <f>BF197*30.2%</f>
        <v>328.44239631336404</v>
      </c>
      <c r="BG198" s="435"/>
      <c r="BH198" s="435"/>
      <c r="BI198" s="435"/>
      <c r="BJ198" s="435"/>
      <c r="BK198" s="435">
        <f>BK197*30.2%</f>
        <v>1313.7695852534562</v>
      </c>
      <c r="BL198" s="435"/>
      <c r="BM198" s="435"/>
      <c r="BN198" s="435"/>
      <c r="BO198" s="435"/>
      <c r="BP198" s="435"/>
      <c r="BQ198" s="435"/>
      <c r="CE198" s="236"/>
      <c r="DD198" s="432">
        <v>213</v>
      </c>
      <c r="DE198" s="432"/>
      <c r="DF198" s="432"/>
      <c r="DG198" s="216">
        <f>DG196*30.2/130.2</f>
        <v>647.14285714285722</v>
      </c>
      <c r="DH198" s="435">
        <f>DH197*30.2%</f>
        <v>64.714285714285708</v>
      </c>
      <c r="DI198" s="435"/>
      <c r="DJ198" s="435"/>
      <c r="DK198" s="435"/>
      <c r="DL198" s="435"/>
      <c r="DM198" s="435">
        <f>DM197*30.2%</f>
        <v>582.42857142857133</v>
      </c>
      <c r="DN198" s="435"/>
      <c r="DO198" s="435"/>
      <c r="DP198" s="435"/>
      <c r="DQ198" s="435"/>
      <c r="DR198" s="435"/>
      <c r="DS198" s="435"/>
      <c r="ED198" s="432">
        <v>213</v>
      </c>
      <c r="EE198" s="432"/>
      <c r="EF198" s="432"/>
      <c r="EG198" s="216">
        <f>EG196*30.2/130.2</f>
        <v>334.00921658986181</v>
      </c>
      <c r="EH198" s="435">
        <f>EH197*30.2%</f>
        <v>33.400921658986171</v>
      </c>
      <c r="EI198" s="435"/>
      <c r="EJ198" s="435"/>
      <c r="EK198" s="435"/>
      <c r="EL198" s="435"/>
      <c r="EM198" s="435">
        <f>EM197*30.2%</f>
        <v>300.60829493087556</v>
      </c>
      <c r="EN198" s="435"/>
      <c r="EO198" s="435"/>
      <c r="EP198" s="435"/>
      <c r="EQ198" s="435"/>
      <c r="ER198" s="435"/>
      <c r="ES198" s="435"/>
    </row>
    <row r="199" spans="54:156" ht="8.25" hidden="1" customHeight="1" x14ac:dyDescent="0.2"/>
    <row r="200" spans="54:156" ht="8.25" hidden="1" customHeight="1" x14ac:dyDescent="0.2"/>
    <row r="201" spans="54:156" ht="8.25" hidden="1" customHeight="1" x14ac:dyDescent="0.2"/>
    <row r="202" spans="54:156" ht="8.25" hidden="1" customHeight="1" x14ac:dyDescent="0.2"/>
    <row r="203" spans="54:156" ht="12" hidden="1" x14ac:dyDescent="0.2">
      <c r="BB203" s="432" t="s">
        <v>401</v>
      </c>
      <c r="BC203" s="432"/>
      <c r="BD203" s="432"/>
      <c r="BE203" s="432"/>
      <c r="BF203" s="432"/>
      <c r="BG203" s="432"/>
      <c r="BH203" s="432"/>
      <c r="BI203" s="432"/>
      <c r="BJ203" s="432"/>
      <c r="BK203" s="432"/>
      <c r="BL203" s="432"/>
      <c r="BM203" s="432"/>
      <c r="BN203" s="432"/>
      <c r="BO203" s="432"/>
      <c r="BP203" s="432"/>
      <c r="BQ203" s="432"/>
      <c r="BR203" s="432"/>
      <c r="BS203" s="432"/>
      <c r="BT203" s="432"/>
      <c r="BU203" s="432"/>
      <c r="BV203" s="432"/>
      <c r="BW203" s="432"/>
      <c r="BX203" s="432"/>
    </row>
    <row r="204" spans="54:156" ht="12" hidden="1" x14ac:dyDescent="0.2">
      <c r="BB204" s="432" t="s">
        <v>126</v>
      </c>
      <c r="BC204" s="432"/>
      <c r="BD204" s="432"/>
      <c r="BE204" s="433">
        <f>200*67</f>
        <v>13400</v>
      </c>
      <c r="BF204" s="433"/>
      <c r="BG204" s="433"/>
      <c r="BH204" s="433"/>
      <c r="BI204" s="433"/>
      <c r="BJ204" s="247" t="s">
        <v>127</v>
      </c>
      <c r="BK204" s="247"/>
      <c r="BL204" s="247"/>
      <c r="BM204" s="247"/>
      <c r="BN204" s="247"/>
      <c r="BO204" s="247"/>
      <c r="BP204" s="247"/>
      <c r="BQ204" s="247"/>
    </row>
    <row r="205" spans="54:156" ht="15" hidden="1" x14ac:dyDescent="0.25">
      <c r="BB205" s="434">
        <v>0.6</v>
      </c>
      <c r="BC205" s="432"/>
      <c r="BD205" s="432"/>
      <c r="BE205" s="216">
        <f>BE204*BB205</f>
        <v>8040</v>
      </c>
      <c r="BF205" s="432" t="s">
        <v>128</v>
      </c>
      <c r="BG205" s="432"/>
      <c r="BH205" s="432"/>
      <c r="BI205" s="432"/>
      <c r="BJ205" s="432"/>
      <c r="BK205" s="432" t="s">
        <v>129</v>
      </c>
      <c r="BL205" s="432"/>
      <c r="BM205" s="432"/>
      <c r="BN205" s="432"/>
      <c r="BO205" s="432"/>
      <c r="BP205" s="432"/>
      <c r="BQ205" s="432"/>
      <c r="CB205" s="432" t="s">
        <v>368</v>
      </c>
      <c r="CC205" s="443"/>
      <c r="CD205" s="443"/>
      <c r="CE205" s="443"/>
      <c r="CH205" s="444" t="s">
        <v>366</v>
      </c>
      <c r="CI205" s="441"/>
      <c r="CJ205" s="441"/>
      <c r="CK205" s="441"/>
      <c r="CL205" s="441"/>
      <c r="CM205" s="441"/>
    </row>
    <row r="206" spans="54:156" ht="15" hidden="1" x14ac:dyDescent="0.25">
      <c r="BB206" s="432">
        <v>211</v>
      </c>
      <c r="BC206" s="432"/>
      <c r="BD206" s="432"/>
      <c r="BE206" s="216">
        <f>BE205-BE207</f>
        <v>6175.1152073732719</v>
      </c>
      <c r="BF206" s="435">
        <f>BE206*0.2</f>
        <v>1235.0230414746545</v>
      </c>
      <c r="BG206" s="435"/>
      <c r="BH206" s="435"/>
      <c r="BI206" s="435"/>
      <c r="BJ206" s="435"/>
      <c r="BK206" s="436">
        <f>BE206-BF206</f>
        <v>4940.0921658986172</v>
      </c>
      <c r="BL206" s="445"/>
      <c r="BM206" s="445"/>
      <c r="BN206" s="445"/>
      <c r="BO206" s="445"/>
      <c r="BP206" s="445"/>
      <c r="BQ206" s="445"/>
      <c r="CB206" s="437">
        <f>BF206*15/20-0.01</f>
        <v>926.25728110599084</v>
      </c>
      <c r="CC206" s="446"/>
      <c r="CD206" s="446"/>
      <c r="CE206" s="446"/>
      <c r="CH206" s="437">
        <f>BF206*5/20</f>
        <v>308.75576036866363</v>
      </c>
      <c r="CI206" s="446"/>
      <c r="CJ206" s="446"/>
      <c r="CK206" s="446"/>
      <c r="CL206" s="446"/>
      <c r="CM206" s="446"/>
    </row>
    <row r="207" spans="54:156" ht="12" hidden="1" x14ac:dyDescent="0.2">
      <c r="BB207" s="432">
        <v>213</v>
      </c>
      <c r="BC207" s="432"/>
      <c r="BD207" s="432"/>
      <c r="BE207" s="216">
        <f>BE205*30.2/130.2</f>
        <v>1864.8847926267283</v>
      </c>
      <c r="BF207" s="435">
        <f>BF206*30.2%</f>
        <v>372.97695852534565</v>
      </c>
      <c r="BG207" s="435"/>
      <c r="BH207" s="435"/>
      <c r="BI207" s="435"/>
      <c r="BJ207" s="435"/>
      <c r="BK207" s="435">
        <f>BK206*30.2%</f>
        <v>1491.9078341013824</v>
      </c>
      <c r="BL207" s="435"/>
      <c r="BM207" s="435"/>
      <c r="BN207" s="435"/>
      <c r="BO207" s="435"/>
      <c r="BP207" s="435"/>
      <c r="BQ207" s="435"/>
      <c r="CE207" s="236"/>
    </row>
    <row r="208" spans="54:156" ht="8.25" hidden="1" customHeight="1" x14ac:dyDescent="0.2"/>
    <row r="209" spans="54:91" ht="8.25" hidden="1" customHeight="1" x14ac:dyDescent="0.2"/>
    <row r="210" spans="54:91" ht="8.25" hidden="1" customHeight="1" x14ac:dyDescent="0.2"/>
    <row r="211" spans="54:91" ht="8.25" hidden="1" customHeight="1" x14ac:dyDescent="0.2"/>
    <row r="212" spans="54:91" ht="8.25" hidden="1" customHeight="1" x14ac:dyDescent="0.2"/>
    <row r="213" spans="54:91" ht="8.25" hidden="1" customHeight="1" x14ac:dyDescent="0.2"/>
    <row r="214" spans="54:91" ht="15" hidden="1" x14ac:dyDescent="0.25">
      <c r="BF214" s="253">
        <f>BF160+BF168+BF174+CH181+CH189+CH197+CH206</f>
        <v>1184.341797235023</v>
      </c>
    </row>
    <row r="215" spans="54:91" ht="8.25" hidden="1" customHeight="1" x14ac:dyDescent="0.2"/>
    <row r="216" spans="54:91" ht="8.25" hidden="1" customHeight="1" x14ac:dyDescent="0.2"/>
    <row r="217" spans="54:91" ht="12" hidden="1" x14ac:dyDescent="0.2">
      <c r="BB217" s="432" t="s">
        <v>438</v>
      </c>
      <c r="BC217" s="432"/>
      <c r="BD217" s="432"/>
      <c r="BE217" s="432"/>
      <c r="BF217" s="432"/>
      <c r="BG217" s="432"/>
      <c r="BH217" s="432"/>
      <c r="BI217" s="432"/>
      <c r="BJ217" s="432"/>
      <c r="BK217" s="432"/>
      <c r="BL217" s="432"/>
      <c r="BM217" s="432"/>
      <c r="BN217" s="432"/>
      <c r="BO217" s="432"/>
      <c r="BP217" s="432"/>
      <c r="BQ217" s="432"/>
      <c r="BR217" s="432"/>
      <c r="BS217" s="432"/>
      <c r="BT217" s="432"/>
      <c r="BU217" s="432"/>
      <c r="BV217" s="432"/>
      <c r="BW217" s="432"/>
      <c r="BX217" s="432"/>
    </row>
    <row r="218" spans="54:91" ht="12" hidden="1" x14ac:dyDescent="0.2">
      <c r="BB218" s="432" t="s">
        <v>126</v>
      </c>
      <c r="BC218" s="432"/>
      <c r="BD218" s="432"/>
      <c r="BE218" s="433">
        <f>250*8</f>
        <v>2000</v>
      </c>
      <c r="BF218" s="433"/>
      <c r="BG218" s="433"/>
      <c r="BH218" s="433"/>
      <c r="BI218" s="433"/>
      <c r="BJ218" s="250" t="s">
        <v>127</v>
      </c>
      <c r="BK218" s="250"/>
      <c r="BL218" s="250"/>
      <c r="BM218" s="250"/>
      <c r="BN218" s="250"/>
      <c r="BO218" s="250"/>
      <c r="BP218" s="250"/>
      <c r="BQ218" s="250"/>
    </row>
    <row r="219" spans="54:91" ht="15" hidden="1" x14ac:dyDescent="0.25">
      <c r="BB219" s="434">
        <v>0.6</v>
      </c>
      <c r="BC219" s="432"/>
      <c r="BD219" s="432"/>
      <c r="BE219" s="216">
        <f>BE218*BB219</f>
        <v>1200</v>
      </c>
      <c r="BF219" s="432" t="s">
        <v>128</v>
      </c>
      <c r="BG219" s="432"/>
      <c r="BH219" s="432"/>
      <c r="BI219" s="432"/>
      <c r="BJ219" s="432"/>
      <c r="BK219" s="432" t="s">
        <v>129</v>
      </c>
      <c r="BL219" s="432"/>
      <c r="BM219" s="432"/>
      <c r="BN219" s="432"/>
      <c r="BO219" s="432"/>
      <c r="BP219" s="432"/>
      <c r="BQ219" s="432"/>
      <c r="CB219" s="432" t="s">
        <v>368</v>
      </c>
      <c r="CC219" s="443"/>
      <c r="CD219" s="443"/>
      <c r="CE219" s="443"/>
      <c r="CH219" s="444" t="s">
        <v>366</v>
      </c>
      <c r="CI219" s="441"/>
      <c r="CJ219" s="441"/>
      <c r="CK219" s="441"/>
      <c r="CL219" s="441"/>
      <c r="CM219" s="441"/>
    </row>
    <row r="220" spans="54:91" ht="15" hidden="1" x14ac:dyDescent="0.25">
      <c r="BB220" s="432">
        <v>211</v>
      </c>
      <c r="BC220" s="432"/>
      <c r="BD220" s="432"/>
      <c r="BE220" s="216">
        <f>BE219-BE221</f>
        <v>921.65898617511516</v>
      </c>
      <c r="BF220" s="435">
        <f>BE220*0.2</f>
        <v>184.33179723502303</v>
      </c>
      <c r="BG220" s="435"/>
      <c r="BH220" s="435"/>
      <c r="BI220" s="435"/>
      <c r="BJ220" s="435"/>
      <c r="BK220" s="436">
        <f>BE220-BF220</f>
        <v>737.32718894009213</v>
      </c>
      <c r="BL220" s="445"/>
      <c r="BM220" s="445"/>
      <c r="BN220" s="445"/>
      <c r="BO220" s="445"/>
      <c r="BP220" s="445"/>
      <c r="BQ220" s="445"/>
      <c r="CB220" s="437">
        <f>BF220*15/20</f>
        <v>138.24884792626727</v>
      </c>
      <c r="CC220" s="446"/>
      <c r="CD220" s="446"/>
      <c r="CE220" s="446"/>
      <c r="CH220" s="437">
        <f>BF220*5/20</f>
        <v>46.082949308755758</v>
      </c>
      <c r="CI220" s="446"/>
      <c r="CJ220" s="446"/>
      <c r="CK220" s="446"/>
      <c r="CL220" s="446"/>
      <c r="CM220" s="446"/>
    </row>
    <row r="221" spans="54:91" ht="12" hidden="1" x14ac:dyDescent="0.2">
      <c r="BB221" s="432">
        <v>213</v>
      </c>
      <c r="BC221" s="432"/>
      <c r="BD221" s="432"/>
      <c r="BE221" s="216">
        <f>BE219*30.2/130.2</f>
        <v>278.34101382488484</v>
      </c>
      <c r="BF221" s="435">
        <f>BF220*30.2%</f>
        <v>55.668202764976954</v>
      </c>
      <c r="BG221" s="435"/>
      <c r="BH221" s="435"/>
      <c r="BI221" s="435"/>
      <c r="BJ221" s="435"/>
      <c r="BK221" s="435">
        <f>BK220*30.2%</f>
        <v>222.67281105990781</v>
      </c>
      <c r="BL221" s="435"/>
      <c r="BM221" s="435"/>
      <c r="BN221" s="435"/>
      <c r="BO221" s="435"/>
      <c r="BP221" s="435"/>
      <c r="BQ221" s="435"/>
      <c r="CE221" s="236"/>
    </row>
    <row r="222" spans="54:91" ht="8.25" hidden="1" customHeight="1" x14ac:dyDescent="0.2"/>
    <row r="223" spans="54:91" ht="8.25" hidden="1" customHeight="1" x14ac:dyDescent="0.2"/>
    <row r="224" spans="54:91" ht="12" hidden="1" x14ac:dyDescent="0.2">
      <c r="BB224" s="432" t="s">
        <v>445</v>
      </c>
      <c r="BC224" s="432"/>
      <c r="BD224" s="432"/>
      <c r="BE224" s="432"/>
      <c r="BF224" s="432"/>
      <c r="BG224" s="432"/>
      <c r="BH224" s="432"/>
      <c r="BI224" s="432"/>
      <c r="BJ224" s="432"/>
      <c r="BK224" s="432"/>
      <c r="BL224" s="432"/>
      <c r="BM224" s="432"/>
      <c r="BN224" s="432"/>
      <c r="BO224" s="432"/>
      <c r="BP224" s="432"/>
      <c r="BQ224" s="432"/>
      <c r="BR224" s="432"/>
      <c r="BS224" s="432"/>
      <c r="BT224" s="432"/>
      <c r="BU224" s="432"/>
      <c r="BV224" s="432"/>
      <c r="BW224" s="432"/>
      <c r="BX224" s="432"/>
    </row>
    <row r="225" spans="54:91" ht="12" hidden="1" x14ac:dyDescent="0.2">
      <c r="BB225" s="432" t="s">
        <v>126</v>
      </c>
      <c r="BC225" s="432"/>
      <c r="BD225" s="432"/>
      <c r="BE225" s="433">
        <f>250*13</f>
        <v>3250</v>
      </c>
      <c r="BF225" s="433"/>
      <c r="BG225" s="433"/>
      <c r="BH225" s="433"/>
      <c r="BI225" s="433"/>
      <c r="BJ225" s="286" t="s">
        <v>127</v>
      </c>
      <c r="BK225" s="286"/>
      <c r="BL225" s="286"/>
      <c r="BM225" s="286"/>
      <c r="BN225" s="286"/>
      <c r="BO225" s="286"/>
      <c r="BP225" s="286"/>
      <c r="BQ225" s="286"/>
    </row>
    <row r="226" spans="54:91" ht="15" hidden="1" x14ac:dyDescent="0.25">
      <c r="BB226" s="434">
        <v>0.6</v>
      </c>
      <c r="BC226" s="432"/>
      <c r="BD226" s="432"/>
      <c r="BE226" s="216">
        <f>BE225*BB226</f>
        <v>1950</v>
      </c>
      <c r="BF226" s="432" t="s">
        <v>128</v>
      </c>
      <c r="BG226" s="432"/>
      <c r="BH226" s="432"/>
      <c r="BI226" s="432"/>
      <c r="BJ226" s="432"/>
      <c r="BK226" s="432" t="s">
        <v>129</v>
      </c>
      <c r="BL226" s="432"/>
      <c r="BM226" s="432"/>
      <c r="BN226" s="432"/>
      <c r="BO226" s="432"/>
      <c r="BP226" s="432"/>
      <c r="BQ226" s="432"/>
      <c r="CB226" s="432" t="s">
        <v>368</v>
      </c>
      <c r="CC226" s="443"/>
      <c r="CD226" s="443"/>
      <c r="CE226" s="443"/>
      <c r="CH226" s="444" t="s">
        <v>366</v>
      </c>
      <c r="CI226" s="441"/>
      <c r="CJ226" s="441"/>
      <c r="CK226" s="441"/>
      <c r="CL226" s="441"/>
      <c r="CM226" s="441"/>
    </row>
    <row r="227" spans="54:91" ht="15" hidden="1" x14ac:dyDescent="0.25">
      <c r="BB227" s="432">
        <v>211</v>
      </c>
      <c r="BC227" s="432"/>
      <c r="BD227" s="432"/>
      <c r="BE227" s="216">
        <f>BE226-BE228</f>
        <v>1497.6958525345622</v>
      </c>
      <c r="BF227" s="435">
        <f>BE227*0.2</f>
        <v>299.53917050691246</v>
      </c>
      <c r="BG227" s="435"/>
      <c r="BH227" s="435"/>
      <c r="BI227" s="435"/>
      <c r="BJ227" s="435"/>
      <c r="BK227" s="436">
        <f>BE227-BF227</f>
        <v>1198.1566820276498</v>
      </c>
      <c r="BL227" s="445"/>
      <c r="BM227" s="445"/>
      <c r="BN227" s="445"/>
      <c r="BO227" s="445"/>
      <c r="BP227" s="445"/>
      <c r="BQ227" s="445"/>
      <c r="CB227" s="437">
        <f>BF227*15/20</f>
        <v>224.65437788018434</v>
      </c>
      <c r="CC227" s="446"/>
      <c r="CD227" s="446"/>
      <c r="CE227" s="446"/>
      <c r="CH227" s="437">
        <f>BF227*5/20</f>
        <v>74.884792626728114</v>
      </c>
      <c r="CI227" s="446"/>
      <c r="CJ227" s="446"/>
      <c r="CK227" s="446"/>
      <c r="CL227" s="446"/>
      <c r="CM227" s="446"/>
    </row>
    <row r="228" spans="54:91" ht="12" hidden="1" x14ac:dyDescent="0.2">
      <c r="BB228" s="432">
        <v>213</v>
      </c>
      <c r="BC228" s="432"/>
      <c r="BD228" s="432"/>
      <c r="BE228" s="216">
        <f>BE226*30.2/130.2</f>
        <v>452.30414746543784</v>
      </c>
      <c r="BF228" s="435">
        <f>BF227*30.2%</f>
        <v>90.460829493087559</v>
      </c>
      <c r="BG228" s="435"/>
      <c r="BH228" s="435"/>
      <c r="BI228" s="435"/>
      <c r="BJ228" s="435"/>
      <c r="BK228" s="435">
        <f>BK227*30.2%</f>
        <v>361.84331797235023</v>
      </c>
      <c r="BL228" s="435"/>
      <c r="BM228" s="435"/>
      <c r="BN228" s="435"/>
      <c r="BO228" s="435"/>
      <c r="BP228" s="435"/>
      <c r="BQ228" s="435"/>
      <c r="CE228" s="236"/>
    </row>
    <row r="229" spans="54:91" ht="8.25" hidden="1" customHeight="1" x14ac:dyDescent="0.2"/>
    <row r="230" spans="54:91" ht="8.25" hidden="1" customHeight="1" x14ac:dyDescent="0.2"/>
    <row r="231" spans="54:91" ht="8.25" hidden="1" customHeight="1" x14ac:dyDescent="0.2"/>
    <row r="232" spans="54:91" ht="12" hidden="1" x14ac:dyDescent="0.2">
      <c r="BB232" s="432" t="s">
        <v>451</v>
      </c>
      <c r="BC232" s="432"/>
      <c r="BD232" s="432"/>
      <c r="BE232" s="432"/>
      <c r="BF232" s="432"/>
      <c r="BG232" s="432"/>
      <c r="BH232" s="432"/>
      <c r="BI232" s="432"/>
      <c r="BJ232" s="432"/>
      <c r="BK232" s="432"/>
      <c r="BL232" s="432"/>
      <c r="BM232" s="432"/>
      <c r="BN232" s="432"/>
      <c r="BO232" s="432"/>
      <c r="BP232" s="432"/>
      <c r="BQ232" s="432"/>
      <c r="BR232" s="432"/>
      <c r="BS232" s="432"/>
      <c r="BT232" s="432"/>
      <c r="BU232" s="432"/>
      <c r="BV232" s="432"/>
      <c r="BW232" s="432"/>
      <c r="BX232" s="432"/>
    </row>
    <row r="233" spans="54:91" ht="12" hidden="1" x14ac:dyDescent="0.2">
      <c r="BB233" s="432" t="s">
        <v>126</v>
      </c>
      <c r="BC233" s="432"/>
      <c r="BD233" s="432"/>
      <c r="BE233" s="433">
        <f>250*68</f>
        <v>17000</v>
      </c>
      <c r="BF233" s="433"/>
      <c r="BG233" s="433"/>
      <c r="BH233" s="433"/>
      <c r="BI233" s="433"/>
      <c r="BJ233" s="289" t="s">
        <v>127</v>
      </c>
      <c r="BK233" s="289"/>
      <c r="BL233" s="289"/>
      <c r="BM233" s="289"/>
      <c r="BN233" s="289"/>
      <c r="BO233" s="289"/>
      <c r="BP233" s="289"/>
      <c r="BQ233" s="289"/>
    </row>
    <row r="234" spans="54:91" ht="15" hidden="1" x14ac:dyDescent="0.25">
      <c r="BB234" s="434">
        <v>0.6</v>
      </c>
      <c r="BC234" s="432"/>
      <c r="BD234" s="432"/>
      <c r="BE234" s="216">
        <f>BE233*BB234</f>
        <v>10200</v>
      </c>
      <c r="BF234" s="432" t="s">
        <v>128</v>
      </c>
      <c r="BG234" s="432"/>
      <c r="BH234" s="432"/>
      <c r="BI234" s="432"/>
      <c r="BJ234" s="432"/>
      <c r="BK234" s="432" t="s">
        <v>129</v>
      </c>
      <c r="BL234" s="432"/>
      <c r="BM234" s="432"/>
      <c r="BN234" s="432"/>
      <c r="BO234" s="432"/>
      <c r="BP234" s="432"/>
      <c r="BQ234" s="432"/>
      <c r="CB234" s="432" t="s">
        <v>368</v>
      </c>
      <c r="CC234" s="443"/>
      <c r="CD234" s="443"/>
      <c r="CE234" s="443"/>
      <c r="CH234" s="444" t="s">
        <v>366</v>
      </c>
      <c r="CI234" s="441"/>
      <c r="CJ234" s="441"/>
      <c r="CK234" s="441"/>
      <c r="CL234" s="441"/>
      <c r="CM234" s="441"/>
    </row>
    <row r="235" spans="54:91" ht="15" hidden="1" x14ac:dyDescent="0.25">
      <c r="BB235" s="432">
        <v>211</v>
      </c>
      <c r="BC235" s="432"/>
      <c r="BD235" s="432"/>
      <c r="BE235" s="216">
        <f>BE234-BE236</f>
        <v>7834.1013824884794</v>
      </c>
      <c r="BF235" s="435">
        <f>BE235*0.2</f>
        <v>1566.8202764976959</v>
      </c>
      <c r="BG235" s="435"/>
      <c r="BH235" s="435"/>
      <c r="BI235" s="435"/>
      <c r="BJ235" s="435"/>
      <c r="BK235" s="436">
        <f>BE235-BF235</f>
        <v>6267.2811059907835</v>
      </c>
      <c r="BL235" s="445"/>
      <c r="BM235" s="445"/>
      <c r="BN235" s="445"/>
      <c r="BO235" s="445"/>
      <c r="BP235" s="445"/>
      <c r="BQ235" s="445"/>
      <c r="CB235" s="437">
        <f>BF235*15/20</f>
        <v>1175.1152073732719</v>
      </c>
      <c r="CC235" s="446"/>
      <c r="CD235" s="446"/>
      <c r="CE235" s="446"/>
      <c r="CH235" s="437">
        <f>BF235*5/20</f>
        <v>391.70506912442397</v>
      </c>
      <c r="CI235" s="446"/>
      <c r="CJ235" s="446"/>
      <c r="CK235" s="446"/>
      <c r="CL235" s="446"/>
      <c r="CM235" s="446"/>
    </row>
    <row r="236" spans="54:91" ht="12" hidden="1" x14ac:dyDescent="0.2">
      <c r="BB236" s="432">
        <v>213</v>
      </c>
      <c r="BC236" s="432"/>
      <c r="BD236" s="432"/>
      <c r="BE236" s="216">
        <f>BE234*30.2/130.2</f>
        <v>2365.898617511521</v>
      </c>
      <c r="BF236" s="435">
        <f>BF235*30.2%</f>
        <v>473.17972350230417</v>
      </c>
      <c r="BG236" s="435"/>
      <c r="BH236" s="435"/>
      <c r="BI236" s="435"/>
      <c r="BJ236" s="435"/>
      <c r="BK236" s="435">
        <f>BK235*30.2%</f>
        <v>1892.7188940092167</v>
      </c>
      <c r="BL236" s="435"/>
      <c r="BM236" s="435"/>
      <c r="BN236" s="435"/>
      <c r="BO236" s="435"/>
      <c r="BP236" s="435"/>
      <c r="BQ236" s="435"/>
      <c r="CE236" s="236"/>
    </row>
    <row r="237" spans="54:91" ht="8.25" hidden="1" customHeight="1" x14ac:dyDescent="0.2"/>
    <row r="238" spans="54:91" ht="8.25" hidden="1" customHeight="1" x14ac:dyDescent="0.2"/>
    <row r="239" spans="54:91" ht="12" hidden="1" x14ac:dyDescent="0.2">
      <c r="BB239" s="432" t="s">
        <v>469</v>
      </c>
      <c r="BC239" s="432"/>
      <c r="BD239" s="432"/>
      <c r="BE239" s="432"/>
      <c r="BF239" s="432"/>
      <c r="BG239" s="432"/>
      <c r="BH239" s="432"/>
      <c r="BI239" s="432"/>
      <c r="BJ239" s="432"/>
      <c r="BK239" s="432"/>
      <c r="BL239" s="432"/>
      <c r="BM239" s="432"/>
      <c r="BN239" s="432"/>
      <c r="BO239" s="432"/>
      <c r="BP239" s="432"/>
      <c r="BQ239" s="432"/>
      <c r="BR239" s="432"/>
      <c r="BS239" s="432"/>
      <c r="BT239" s="432"/>
      <c r="BU239" s="432"/>
      <c r="BV239" s="432"/>
      <c r="BW239" s="432"/>
      <c r="BX239" s="432"/>
    </row>
    <row r="240" spans="54:91" ht="12" hidden="1" x14ac:dyDescent="0.2">
      <c r="BB240" s="432" t="s">
        <v>126</v>
      </c>
      <c r="BC240" s="432"/>
      <c r="BD240" s="432"/>
      <c r="BE240" s="433">
        <f>250*59</f>
        <v>14750</v>
      </c>
      <c r="BF240" s="433"/>
      <c r="BG240" s="433"/>
      <c r="BH240" s="433"/>
      <c r="BI240" s="433"/>
      <c r="BJ240" s="291" t="s">
        <v>127</v>
      </c>
      <c r="BK240" s="291"/>
      <c r="BL240" s="291"/>
      <c r="BM240" s="291"/>
      <c r="BN240" s="291"/>
      <c r="BO240" s="291"/>
      <c r="BP240" s="291"/>
      <c r="BQ240" s="291"/>
    </row>
    <row r="241" spans="54:91" ht="15" hidden="1" x14ac:dyDescent="0.25">
      <c r="BB241" s="434">
        <v>0.6</v>
      </c>
      <c r="BC241" s="432"/>
      <c r="BD241" s="432"/>
      <c r="BE241" s="216">
        <f>BE240*BB241</f>
        <v>8850</v>
      </c>
      <c r="BF241" s="432" t="s">
        <v>128</v>
      </c>
      <c r="BG241" s="432"/>
      <c r="BH241" s="432"/>
      <c r="BI241" s="432"/>
      <c r="BJ241" s="432"/>
      <c r="BK241" s="432" t="s">
        <v>129</v>
      </c>
      <c r="BL241" s="432"/>
      <c r="BM241" s="432"/>
      <c r="BN241" s="432"/>
      <c r="BO241" s="432"/>
      <c r="BP241" s="432"/>
      <c r="BQ241" s="432"/>
      <c r="CB241" s="432" t="s">
        <v>368</v>
      </c>
      <c r="CC241" s="443"/>
      <c r="CD241" s="443"/>
      <c r="CE241" s="443"/>
      <c r="CH241" s="444" t="s">
        <v>366</v>
      </c>
      <c r="CI241" s="441"/>
      <c r="CJ241" s="441"/>
      <c r="CK241" s="441"/>
      <c r="CL241" s="441"/>
      <c r="CM241" s="441"/>
    </row>
    <row r="242" spans="54:91" ht="15" hidden="1" x14ac:dyDescent="0.25">
      <c r="BB242" s="432">
        <v>211</v>
      </c>
      <c r="BC242" s="432"/>
      <c r="BD242" s="432"/>
      <c r="BE242" s="216">
        <f>BE241-BE243</f>
        <v>6797.2350230414741</v>
      </c>
      <c r="BF242" s="435">
        <f>BE242*0.2</f>
        <v>1359.4470046082949</v>
      </c>
      <c r="BG242" s="435"/>
      <c r="BH242" s="435"/>
      <c r="BI242" s="435"/>
      <c r="BJ242" s="435"/>
      <c r="BK242" s="436">
        <f>BE242-BF242</f>
        <v>5437.7880184331789</v>
      </c>
      <c r="BL242" s="445"/>
      <c r="BM242" s="445"/>
      <c r="BN242" s="445"/>
      <c r="BO242" s="445"/>
      <c r="BP242" s="445"/>
      <c r="BQ242" s="445"/>
      <c r="CB242" s="437">
        <f>BF242*15/20</f>
        <v>1019.5852534562213</v>
      </c>
      <c r="CC242" s="446"/>
      <c r="CD242" s="446"/>
      <c r="CE242" s="446"/>
      <c r="CH242" s="437">
        <f>BF242*5/20</f>
        <v>339.86175115207374</v>
      </c>
      <c r="CI242" s="446"/>
      <c r="CJ242" s="446"/>
      <c r="CK242" s="446"/>
      <c r="CL242" s="446"/>
      <c r="CM242" s="446"/>
    </row>
    <row r="243" spans="54:91" ht="12" hidden="1" x14ac:dyDescent="0.2">
      <c r="BB243" s="432">
        <v>213</v>
      </c>
      <c r="BC243" s="432"/>
      <c r="BD243" s="432"/>
      <c r="BE243" s="216">
        <f>BE241*30.2/130.2</f>
        <v>2052.7649769585255</v>
      </c>
      <c r="BF243" s="435">
        <f>BF242*30.2%</f>
        <v>410.55299539170505</v>
      </c>
      <c r="BG243" s="435"/>
      <c r="BH243" s="435"/>
      <c r="BI243" s="435"/>
      <c r="BJ243" s="435"/>
      <c r="BK243" s="435">
        <f>BK242*30.2%</f>
        <v>1642.21198156682</v>
      </c>
      <c r="BL243" s="435"/>
      <c r="BM243" s="435"/>
      <c r="BN243" s="435"/>
      <c r="BO243" s="435"/>
      <c r="BP243" s="435"/>
      <c r="BQ243" s="435"/>
      <c r="CE243" s="236"/>
    </row>
    <row r="244" spans="54:91" ht="8.25" hidden="1" customHeight="1" x14ac:dyDescent="0.2"/>
    <row r="245" spans="54:91" ht="8.25" hidden="1" customHeight="1" x14ac:dyDescent="0.2"/>
    <row r="246" spans="54:91" ht="8.25" hidden="1" customHeight="1" x14ac:dyDescent="0.2"/>
    <row r="247" spans="54:91" ht="12" hidden="1" x14ac:dyDescent="0.2">
      <c r="BB247" s="432" t="s">
        <v>474</v>
      </c>
      <c r="BC247" s="432"/>
      <c r="BD247" s="432"/>
      <c r="BE247" s="432"/>
      <c r="BF247" s="432"/>
      <c r="BG247" s="432"/>
      <c r="BH247" s="432"/>
      <c r="BI247" s="432"/>
      <c r="BJ247" s="432"/>
      <c r="BK247" s="432"/>
      <c r="BL247" s="432"/>
      <c r="BM247" s="432"/>
      <c r="BN247" s="432"/>
      <c r="BO247" s="432"/>
      <c r="BP247" s="432"/>
      <c r="BQ247" s="432"/>
      <c r="BR247" s="432"/>
      <c r="BS247" s="432"/>
      <c r="BT247" s="432"/>
      <c r="BU247" s="432"/>
      <c r="BV247" s="432"/>
      <c r="BW247" s="432"/>
      <c r="BX247" s="432"/>
    </row>
    <row r="248" spans="54:91" ht="12" hidden="1" x14ac:dyDescent="0.2">
      <c r="BB248" s="432" t="s">
        <v>126</v>
      </c>
      <c r="BC248" s="432"/>
      <c r="BD248" s="432"/>
      <c r="BE248" s="433">
        <f>250*34</f>
        <v>8500</v>
      </c>
      <c r="BF248" s="433"/>
      <c r="BG248" s="433"/>
      <c r="BH248" s="433"/>
      <c r="BI248" s="433"/>
      <c r="BJ248" s="293" t="s">
        <v>127</v>
      </c>
      <c r="BK248" s="293"/>
      <c r="BL248" s="293"/>
      <c r="BM248" s="293"/>
      <c r="BN248" s="293"/>
      <c r="BO248" s="293"/>
      <c r="BP248" s="293"/>
      <c r="BQ248" s="293"/>
    </row>
    <row r="249" spans="54:91" ht="15" hidden="1" x14ac:dyDescent="0.25">
      <c r="BB249" s="434">
        <v>0.6</v>
      </c>
      <c r="BC249" s="432"/>
      <c r="BD249" s="432"/>
      <c r="BE249" s="216">
        <f>BE248*BB249</f>
        <v>5100</v>
      </c>
      <c r="BF249" s="432" t="s">
        <v>128</v>
      </c>
      <c r="BG249" s="432"/>
      <c r="BH249" s="432"/>
      <c r="BI249" s="432"/>
      <c r="BJ249" s="432"/>
      <c r="BK249" s="432" t="s">
        <v>129</v>
      </c>
      <c r="BL249" s="432"/>
      <c r="BM249" s="432"/>
      <c r="BN249" s="432"/>
      <c r="BO249" s="432"/>
      <c r="BP249" s="432"/>
      <c r="BQ249" s="432"/>
      <c r="CB249" s="432" t="s">
        <v>368</v>
      </c>
      <c r="CC249" s="443"/>
      <c r="CD249" s="443"/>
      <c r="CE249" s="443"/>
      <c r="CH249" s="444" t="s">
        <v>366</v>
      </c>
      <c r="CI249" s="441"/>
      <c r="CJ249" s="441"/>
      <c r="CK249" s="441"/>
      <c r="CL249" s="441"/>
      <c r="CM249" s="441"/>
    </row>
    <row r="250" spans="54:91" ht="15" hidden="1" x14ac:dyDescent="0.25">
      <c r="BB250" s="432">
        <v>211</v>
      </c>
      <c r="BC250" s="432"/>
      <c r="BD250" s="432"/>
      <c r="BE250" s="216">
        <f>BE249-BE251</f>
        <v>3917.0506912442397</v>
      </c>
      <c r="BF250" s="435">
        <f>BE250*0.2</f>
        <v>783.41013824884794</v>
      </c>
      <c r="BG250" s="435"/>
      <c r="BH250" s="435"/>
      <c r="BI250" s="435"/>
      <c r="BJ250" s="435"/>
      <c r="BK250" s="436">
        <f>BE250-BF250</f>
        <v>3133.6405529953918</v>
      </c>
      <c r="BL250" s="445"/>
      <c r="BM250" s="445"/>
      <c r="BN250" s="445"/>
      <c r="BO250" s="445"/>
      <c r="BP250" s="445"/>
      <c r="BQ250" s="445"/>
      <c r="CB250" s="437">
        <f>BF250*15/20</f>
        <v>587.55760368663596</v>
      </c>
      <c r="CC250" s="446"/>
      <c r="CD250" s="446"/>
      <c r="CE250" s="446"/>
      <c r="CH250" s="437">
        <f>BF250*5/20</f>
        <v>195.85253456221199</v>
      </c>
      <c r="CI250" s="446"/>
      <c r="CJ250" s="446"/>
      <c r="CK250" s="446"/>
      <c r="CL250" s="446"/>
      <c r="CM250" s="446"/>
    </row>
    <row r="251" spans="54:91" ht="12" hidden="1" x14ac:dyDescent="0.2">
      <c r="BB251" s="432">
        <v>213</v>
      </c>
      <c r="BC251" s="432"/>
      <c r="BD251" s="432"/>
      <c r="BE251" s="216">
        <f>BE249*30.2/130.2</f>
        <v>1182.9493087557605</v>
      </c>
      <c r="BF251" s="435">
        <f>BF250*30.2%</f>
        <v>236.58986175115209</v>
      </c>
      <c r="BG251" s="435"/>
      <c r="BH251" s="435"/>
      <c r="BI251" s="435"/>
      <c r="BJ251" s="435"/>
      <c r="BK251" s="435">
        <f>BK250*30.2%</f>
        <v>946.35944700460834</v>
      </c>
      <c r="BL251" s="435"/>
      <c r="BM251" s="435"/>
      <c r="BN251" s="435"/>
      <c r="BO251" s="435"/>
      <c r="BP251" s="435"/>
      <c r="BQ251" s="435"/>
      <c r="CE251" s="236"/>
    </row>
    <row r="252" spans="54:91" ht="12" hidden="1" x14ac:dyDescent="0.2"/>
    <row r="253" spans="54:91" ht="8.25" hidden="1" customHeight="1" x14ac:dyDescent="0.2"/>
    <row r="254" spans="54:91" ht="8.25" hidden="1" customHeight="1" x14ac:dyDescent="0.2"/>
    <row r="255" spans="54:91" ht="12" hidden="1" x14ac:dyDescent="0.2">
      <c r="BB255" s="432" t="s">
        <v>487</v>
      </c>
      <c r="BC255" s="432"/>
      <c r="BD255" s="432"/>
      <c r="BE255" s="432"/>
      <c r="BF255" s="432"/>
      <c r="BG255" s="432"/>
      <c r="BH255" s="432"/>
      <c r="BI255" s="432"/>
      <c r="BJ255" s="432"/>
      <c r="BK255" s="432"/>
      <c r="BL255" s="432"/>
      <c r="BM255" s="432"/>
      <c r="BN255" s="432"/>
      <c r="BO255" s="432"/>
      <c r="BP255" s="432"/>
      <c r="BQ255" s="432"/>
      <c r="BR255" s="432"/>
      <c r="BS255" s="432"/>
      <c r="BT255" s="432"/>
      <c r="BU255" s="432"/>
      <c r="BV255" s="432"/>
      <c r="BW255" s="432"/>
      <c r="BX255" s="432"/>
    </row>
    <row r="256" spans="54:91" ht="12" hidden="1" x14ac:dyDescent="0.2">
      <c r="BB256" s="432" t="s">
        <v>126</v>
      </c>
      <c r="BC256" s="432"/>
      <c r="BD256" s="432"/>
      <c r="BE256" s="433">
        <f>250*19</f>
        <v>4750</v>
      </c>
      <c r="BF256" s="433"/>
      <c r="BG256" s="433"/>
      <c r="BH256" s="433"/>
      <c r="BI256" s="433"/>
      <c r="BJ256" s="295" t="s">
        <v>127</v>
      </c>
      <c r="BK256" s="295"/>
      <c r="BL256" s="295"/>
      <c r="BM256" s="295"/>
      <c r="BN256" s="295"/>
      <c r="BO256" s="295"/>
      <c r="BP256" s="295"/>
      <c r="BQ256" s="295"/>
    </row>
    <row r="257" spans="54:91" ht="15" hidden="1" x14ac:dyDescent="0.25">
      <c r="BB257" s="434">
        <v>0.6</v>
      </c>
      <c r="BC257" s="432"/>
      <c r="BD257" s="432"/>
      <c r="BE257" s="216">
        <f>BE256*BB257</f>
        <v>2850</v>
      </c>
      <c r="BF257" s="432" t="s">
        <v>128</v>
      </c>
      <c r="BG257" s="432"/>
      <c r="BH257" s="432"/>
      <c r="BI257" s="432"/>
      <c r="BJ257" s="432"/>
      <c r="BK257" s="432" t="s">
        <v>129</v>
      </c>
      <c r="BL257" s="432"/>
      <c r="BM257" s="432"/>
      <c r="BN257" s="432"/>
      <c r="BO257" s="432"/>
      <c r="BP257" s="432"/>
      <c r="BQ257" s="432"/>
      <c r="CB257" s="432" t="s">
        <v>368</v>
      </c>
      <c r="CC257" s="443"/>
      <c r="CD257" s="443"/>
      <c r="CE257" s="443"/>
      <c r="CH257" s="444" t="s">
        <v>366</v>
      </c>
      <c r="CI257" s="441"/>
      <c r="CJ257" s="441"/>
      <c r="CK257" s="441"/>
      <c r="CL257" s="441"/>
      <c r="CM257" s="441"/>
    </row>
    <row r="258" spans="54:91" ht="15" hidden="1" x14ac:dyDescent="0.25">
      <c r="BB258" s="432">
        <v>211</v>
      </c>
      <c r="BC258" s="432"/>
      <c r="BD258" s="432"/>
      <c r="BE258" s="216">
        <f>BE257-BE259</f>
        <v>2188.9400921658985</v>
      </c>
      <c r="BF258" s="435">
        <f>BE258*0.2</f>
        <v>437.78801843317973</v>
      </c>
      <c r="BG258" s="435"/>
      <c r="BH258" s="435"/>
      <c r="BI258" s="435"/>
      <c r="BJ258" s="435"/>
      <c r="BK258" s="436">
        <f>BE258-BF258</f>
        <v>1751.1520737327187</v>
      </c>
      <c r="BL258" s="445"/>
      <c r="BM258" s="445"/>
      <c r="BN258" s="445"/>
      <c r="BO258" s="445"/>
      <c r="BP258" s="445"/>
      <c r="BQ258" s="445"/>
      <c r="CB258" s="437">
        <f>BF258*15/20</f>
        <v>328.34101382488478</v>
      </c>
      <c r="CC258" s="446"/>
      <c r="CD258" s="446"/>
      <c r="CE258" s="446"/>
      <c r="CH258" s="437">
        <f>BF258*5/20</f>
        <v>109.44700460829492</v>
      </c>
      <c r="CI258" s="446"/>
      <c r="CJ258" s="446"/>
      <c r="CK258" s="446"/>
      <c r="CL258" s="446"/>
      <c r="CM258" s="446"/>
    </row>
    <row r="259" spans="54:91" ht="12" hidden="1" x14ac:dyDescent="0.2">
      <c r="BB259" s="432">
        <v>213</v>
      </c>
      <c r="BC259" s="432"/>
      <c r="BD259" s="432"/>
      <c r="BE259" s="216">
        <f>BE257*30.2/130.2</f>
        <v>661.05990783410141</v>
      </c>
      <c r="BF259" s="435">
        <f>BF258*30.2%</f>
        <v>132.21198156682027</v>
      </c>
      <c r="BG259" s="435"/>
      <c r="BH259" s="435"/>
      <c r="BI259" s="435"/>
      <c r="BJ259" s="435"/>
      <c r="BK259" s="435">
        <f>BK258*30.2%</f>
        <v>528.84792626728108</v>
      </c>
      <c r="BL259" s="435"/>
      <c r="BM259" s="435"/>
      <c r="BN259" s="435"/>
      <c r="BO259" s="435"/>
      <c r="BP259" s="435"/>
      <c r="BQ259" s="435"/>
      <c r="CE259" s="236"/>
    </row>
    <row r="260" spans="54:91" ht="8.25" hidden="1" customHeight="1" x14ac:dyDescent="0.2"/>
    <row r="261" spans="54:91" ht="8.25" hidden="1" customHeight="1" x14ac:dyDescent="0.2"/>
    <row r="262" spans="54:91" ht="8.25" hidden="1" customHeight="1" x14ac:dyDescent="0.2"/>
    <row r="263" spans="54:91" ht="12" hidden="1" x14ac:dyDescent="0.2">
      <c r="BB263" s="432" t="s">
        <v>493</v>
      </c>
      <c r="BC263" s="432"/>
      <c r="BD263" s="432"/>
      <c r="BE263" s="432"/>
      <c r="BF263" s="432"/>
      <c r="BG263" s="432"/>
      <c r="BH263" s="432"/>
      <c r="BI263" s="432"/>
      <c r="BJ263" s="432"/>
      <c r="BK263" s="432"/>
      <c r="BL263" s="432"/>
      <c r="BM263" s="432"/>
      <c r="BN263" s="432"/>
      <c r="BO263" s="432"/>
      <c r="BP263" s="432"/>
      <c r="BQ263" s="432"/>
      <c r="BR263" s="432"/>
      <c r="BS263" s="432"/>
      <c r="BT263" s="432"/>
      <c r="BU263" s="432"/>
      <c r="BV263" s="432"/>
      <c r="BW263" s="432"/>
      <c r="BX263" s="432"/>
    </row>
    <row r="264" spans="54:91" ht="12" hidden="1" x14ac:dyDescent="0.2">
      <c r="BB264" s="432" t="s">
        <v>126</v>
      </c>
      <c r="BC264" s="432"/>
      <c r="BD264" s="432"/>
      <c r="BE264" s="433">
        <f>250*39</f>
        <v>9750</v>
      </c>
      <c r="BF264" s="433"/>
      <c r="BG264" s="433"/>
      <c r="BH264" s="433"/>
      <c r="BI264" s="433"/>
      <c r="BJ264" s="297" t="s">
        <v>127</v>
      </c>
      <c r="BK264" s="297"/>
      <c r="BL264" s="297"/>
      <c r="BM264" s="297"/>
      <c r="BN264" s="297"/>
      <c r="BO264" s="297"/>
      <c r="BP264" s="297"/>
      <c r="BQ264" s="297"/>
    </row>
    <row r="265" spans="54:91" ht="15" hidden="1" x14ac:dyDescent="0.25">
      <c r="BB265" s="434">
        <v>0.6</v>
      </c>
      <c r="BC265" s="432"/>
      <c r="BD265" s="432"/>
      <c r="BE265" s="216">
        <f>BE264*BB265</f>
        <v>5850</v>
      </c>
      <c r="BF265" s="432" t="s">
        <v>128</v>
      </c>
      <c r="BG265" s="432"/>
      <c r="BH265" s="432"/>
      <c r="BI265" s="432"/>
      <c r="BJ265" s="432"/>
      <c r="BK265" s="432" t="s">
        <v>129</v>
      </c>
      <c r="BL265" s="432"/>
      <c r="BM265" s="432"/>
      <c r="BN265" s="432"/>
      <c r="BO265" s="432"/>
      <c r="BP265" s="432"/>
      <c r="BQ265" s="432"/>
      <c r="CB265" s="432" t="s">
        <v>368</v>
      </c>
      <c r="CC265" s="443"/>
      <c r="CD265" s="443"/>
      <c r="CE265" s="443"/>
      <c r="CH265" s="444" t="s">
        <v>366</v>
      </c>
      <c r="CI265" s="441"/>
      <c r="CJ265" s="441"/>
      <c r="CK265" s="441"/>
      <c r="CL265" s="441"/>
      <c r="CM265" s="441"/>
    </row>
    <row r="266" spans="54:91" ht="15" hidden="1" x14ac:dyDescent="0.25">
      <c r="BB266" s="432">
        <v>211</v>
      </c>
      <c r="BC266" s="432"/>
      <c r="BD266" s="432"/>
      <c r="BE266" s="216">
        <f>BE265-BE267</f>
        <v>4493.0875576036869</v>
      </c>
      <c r="BF266" s="435">
        <f>BE266*0.2</f>
        <v>898.61751152073748</v>
      </c>
      <c r="BG266" s="435"/>
      <c r="BH266" s="435"/>
      <c r="BI266" s="435"/>
      <c r="BJ266" s="435"/>
      <c r="BK266" s="436">
        <f>BE266-BF266</f>
        <v>3594.4700460829495</v>
      </c>
      <c r="BL266" s="445"/>
      <c r="BM266" s="445"/>
      <c r="BN266" s="445"/>
      <c r="BO266" s="445"/>
      <c r="BP266" s="445"/>
      <c r="BQ266" s="445"/>
      <c r="CB266" s="437">
        <f>BF266*15/20</f>
        <v>673.96313364055311</v>
      </c>
      <c r="CC266" s="446"/>
      <c r="CD266" s="446"/>
      <c r="CE266" s="446"/>
      <c r="CH266" s="437">
        <f>BF266*5/20</f>
        <v>224.65437788018434</v>
      </c>
      <c r="CI266" s="446"/>
      <c r="CJ266" s="446"/>
      <c r="CK266" s="446"/>
      <c r="CL266" s="446"/>
      <c r="CM266" s="446"/>
    </row>
    <row r="267" spans="54:91" ht="12" hidden="1" x14ac:dyDescent="0.2">
      <c r="BB267" s="432">
        <v>213</v>
      </c>
      <c r="BC267" s="432"/>
      <c r="BD267" s="432"/>
      <c r="BE267" s="216">
        <f>BE265*30.2/130.2</f>
        <v>1356.9124423963135</v>
      </c>
      <c r="BF267" s="435">
        <f>BF266*30.2%</f>
        <v>271.38248847926269</v>
      </c>
      <c r="BG267" s="435"/>
      <c r="BH267" s="435"/>
      <c r="BI267" s="435"/>
      <c r="BJ267" s="435"/>
      <c r="BK267" s="435">
        <f>BK266*30.2%</f>
        <v>1085.5299539170508</v>
      </c>
      <c r="BL267" s="435"/>
      <c r="BM267" s="435"/>
      <c r="BN267" s="435"/>
      <c r="BO267" s="435"/>
      <c r="BP267" s="435"/>
      <c r="BQ267" s="435"/>
      <c r="CE267" s="236"/>
    </row>
    <row r="268" spans="54:91" ht="8.25" hidden="1" customHeight="1" x14ac:dyDescent="0.2"/>
    <row r="269" spans="54:91" ht="8.25" hidden="1" customHeight="1" x14ac:dyDescent="0.2"/>
    <row r="270" spans="54:91" ht="8.25" hidden="1" customHeight="1" x14ac:dyDescent="0.2"/>
    <row r="271" spans="54:91" ht="12" hidden="1" x14ac:dyDescent="0.2">
      <c r="BB271" s="432" t="s">
        <v>499</v>
      </c>
      <c r="BC271" s="432"/>
      <c r="BD271" s="432"/>
      <c r="BE271" s="432"/>
      <c r="BF271" s="432"/>
      <c r="BG271" s="432"/>
      <c r="BH271" s="432"/>
      <c r="BI271" s="432"/>
      <c r="BJ271" s="432"/>
      <c r="BK271" s="432"/>
      <c r="BL271" s="432"/>
      <c r="BM271" s="432"/>
      <c r="BN271" s="432"/>
      <c r="BO271" s="432"/>
      <c r="BP271" s="432"/>
      <c r="BQ271" s="432"/>
      <c r="BR271" s="432"/>
      <c r="BS271" s="432"/>
      <c r="BT271" s="432"/>
      <c r="BU271" s="432"/>
      <c r="BV271" s="432"/>
      <c r="BW271" s="432"/>
      <c r="BX271" s="432"/>
    </row>
    <row r="272" spans="54:91" ht="12" hidden="1" x14ac:dyDescent="0.2">
      <c r="BB272" s="432" t="s">
        <v>126</v>
      </c>
      <c r="BC272" s="432"/>
      <c r="BD272" s="432"/>
      <c r="BE272" s="433">
        <f>250*47</f>
        <v>11750</v>
      </c>
      <c r="BF272" s="433"/>
      <c r="BG272" s="433"/>
      <c r="BH272" s="433"/>
      <c r="BI272" s="433"/>
      <c r="BJ272" s="300" t="s">
        <v>127</v>
      </c>
      <c r="BK272" s="300"/>
      <c r="BL272" s="300"/>
      <c r="BM272" s="300"/>
      <c r="BN272" s="300"/>
      <c r="BO272" s="300"/>
      <c r="BP272" s="300"/>
      <c r="BQ272" s="300"/>
    </row>
    <row r="273" spans="54:92" ht="15" hidden="1" x14ac:dyDescent="0.25">
      <c r="BB273" s="434">
        <v>0.6</v>
      </c>
      <c r="BC273" s="432"/>
      <c r="BD273" s="432"/>
      <c r="BE273" s="216">
        <f>BE272*BB273</f>
        <v>7050</v>
      </c>
      <c r="BF273" s="432" t="s">
        <v>128</v>
      </c>
      <c r="BG273" s="432"/>
      <c r="BH273" s="432"/>
      <c r="BI273" s="432"/>
      <c r="BJ273" s="432"/>
      <c r="BK273" s="432" t="s">
        <v>129</v>
      </c>
      <c r="BL273" s="432"/>
      <c r="BM273" s="432"/>
      <c r="BN273" s="432"/>
      <c r="BO273" s="432"/>
      <c r="BP273" s="432"/>
      <c r="BQ273" s="432"/>
      <c r="CB273" s="432" t="s">
        <v>368</v>
      </c>
      <c r="CC273" s="443"/>
      <c r="CD273" s="443"/>
      <c r="CE273" s="443"/>
      <c r="CH273" s="444" t="s">
        <v>366</v>
      </c>
      <c r="CI273" s="441"/>
      <c r="CJ273" s="441"/>
      <c r="CK273" s="441"/>
      <c r="CL273" s="441"/>
      <c r="CM273" s="441"/>
    </row>
    <row r="274" spans="54:92" ht="15" hidden="1" x14ac:dyDescent="0.25">
      <c r="BB274" s="432">
        <v>211</v>
      </c>
      <c r="BC274" s="432"/>
      <c r="BD274" s="432"/>
      <c r="BE274" s="216">
        <f>BE273-BE275</f>
        <v>5414.7465437788014</v>
      </c>
      <c r="BF274" s="435">
        <f>BE274*0.2</f>
        <v>1082.9493087557603</v>
      </c>
      <c r="BG274" s="435"/>
      <c r="BH274" s="435"/>
      <c r="BI274" s="435"/>
      <c r="BJ274" s="435"/>
      <c r="BK274" s="436">
        <f>BE274-BF274</f>
        <v>4331.7972350230411</v>
      </c>
      <c r="BL274" s="445"/>
      <c r="BM274" s="445"/>
      <c r="BN274" s="445"/>
      <c r="BO274" s="445"/>
      <c r="BP274" s="445"/>
      <c r="BQ274" s="445"/>
      <c r="CB274" s="437">
        <f>BF274*15/20</f>
        <v>812.21198156682021</v>
      </c>
      <c r="CC274" s="446"/>
      <c r="CD274" s="446"/>
      <c r="CE274" s="446"/>
      <c r="CH274" s="437">
        <f>BF274*5/20</f>
        <v>270.73732718894007</v>
      </c>
      <c r="CI274" s="446"/>
      <c r="CJ274" s="446"/>
      <c r="CK274" s="446"/>
      <c r="CL274" s="446"/>
      <c r="CM274" s="446"/>
    </row>
    <row r="275" spans="54:92" ht="12" hidden="1" x14ac:dyDescent="0.2">
      <c r="BB275" s="432">
        <v>213</v>
      </c>
      <c r="BC275" s="432"/>
      <c r="BD275" s="432"/>
      <c r="BE275" s="216">
        <f>BE273*30.2/130.2</f>
        <v>1635.2534562211983</v>
      </c>
      <c r="BF275" s="435">
        <f>BF274*30.2%</f>
        <v>327.0506912442396</v>
      </c>
      <c r="BG275" s="435"/>
      <c r="BH275" s="435"/>
      <c r="BI275" s="435"/>
      <c r="BJ275" s="435"/>
      <c r="BK275" s="435">
        <f>BK274*30.2%</f>
        <v>1308.2027649769584</v>
      </c>
      <c r="BL275" s="435"/>
      <c r="BM275" s="435"/>
      <c r="BN275" s="435"/>
      <c r="BO275" s="435"/>
      <c r="BP275" s="435"/>
      <c r="BQ275" s="435"/>
      <c r="CE275" s="236"/>
    </row>
    <row r="276" spans="54:92" ht="8.25" hidden="1" customHeight="1" x14ac:dyDescent="0.2"/>
    <row r="277" spans="54:92" ht="8.25" hidden="1" customHeight="1" x14ac:dyDescent="0.2"/>
    <row r="278" spans="54:92" ht="8.25" hidden="1" customHeight="1" x14ac:dyDescent="0.2"/>
    <row r="279" spans="54:92" ht="8.25" hidden="1" customHeight="1" x14ac:dyDescent="0.2"/>
    <row r="280" spans="54:92" ht="18.600000000000001" hidden="1" customHeight="1" x14ac:dyDescent="0.2">
      <c r="BB280" s="432" t="s">
        <v>534</v>
      </c>
      <c r="BC280" s="432"/>
      <c r="BD280" s="432"/>
      <c r="BE280" s="432"/>
      <c r="BF280" s="432"/>
      <c r="BG280" s="432"/>
      <c r="BH280" s="432"/>
      <c r="BI280" s="432"/>
      <c r="BJ280" s="432"/>
      <c r="BK280" s="432"/>
      <c r="BL280" s="432"/>
      <c r="BM280" s="432"/>
      <c r="BN280" s="432"/>
      <c r="BO280" s="432"/>
      <c r="BP280" s="432"/>
      <c r="BQ280" s="432"/>
      <c r="BR280" s="432"/>
      <c r="BS280" s="432"/>
      <c r="BT280" s="432"/>
      <c r="BU280" s="432"/>
      <c r="BV280" s="432"/>
      <c r="BW280" s="432"/>
      <c r="BX280" s="432"/>
    </row>
    <row r="281" spans="54:92" ht="12" hidden="1" x14ac:dyDescent="0.2">
      <c r="BB281" s="432" t="s">
        <v>126</v>
      </c>
      <c r="BC281" s="432"/>
      <c r="BD281" s="432"/>
      <c r="BE281" s="433">
        <f>250*26</f>
        <v>6500</v>
      </c>
      <c r="BF281" s="433"/>
      <c r="BG281" s="433"/>
      <c r="BH281" s="433"/>
      <c r="BI281" s="433"/>
      <c r="BJ281" s="304" t="s">
        <v>127</v>
      </c>
      <c r="BK281" s="304"/>
      <c r="BL281" s="304"/>
      <c r="BM281" s="304"/>
      <c r="BN281" s="304"/>
      <c r="BO281" s="304"/>
      <c r="BP281" s="304"/>
      <c r="BQ281" s="304"/>
    </row>
    <row r="282" spans="54:92" ht="15" hidden="1" x14ac:dyDescent="0.25">
      <c r="BB282" s="434">
        <v>0.6</v>
      </c>
      <c r="BC282" s="432"/>
      <c r="BD282" s="432"/>
      <c r="BE282" s="216">
        <f>BE281*BB282</f>
        <v>3900</v>
      </c>
      <c r="BF282" s="432" t="s">
        <v>128</v>
      </c>
      <c r="BG282" s="432"/>
      <c r="BH282" s="432"/>
      <c r="BI282" s="432"/>
      <c r="BJ282" s="432"/>
      <c r="BK282" s="432" t="s">
        <v>129</v>
      </c>
      <c r="BL282" s="432"/>
      <c r="BM282" s="432"/>
      <c r="BN282" s="432"/>
      <c r="BO282" s="432"/>
      <c r="BP282" s="432"/>
      <c r="BQ282" s="432"/>
      <c r="CB282" s="432" t="s">
        <v>368</v>
      </c>
      <c r="CC282" s="443"/>
      <c r="CD282" s="443"/>
      <c r="CE282" s="443"/>
      <c r="CH282" s="444" t="s">
        <v>366</v>
      </c>
      <c r="CI282" s="441"/>
      <c r="CJ282" s="441"/>
      <c r="CK282" s="441"/>
      <c r="CL282" s="441"/>
      <c r="CM282" s="441"/>
    </row>
    <row r="283" spans="54:92" ht="15" hidden="1" x14ac:dyDescent="0.25">
      <c r="BB283" s="432">
        <v>211</v>
      </c>
      <c r="BC283" s="432"/>
      <c r="BD283" s="432"/>
      <c r="BE283" s="216">
        <f>BE282-BE284</f>
        <v>2995.3917050691243</v>
      </c>
      <c r="BF283" s="435">
        <f>BE283*0.2</f>
        <v>599.07834101382491</v>
      </c>
      <c r="BG283" s="435"/>
      <c r="BH283" s="435"/>
      <c r="BI283" s="435"/>
      <c r="BJ283" s="435"/>
      <c r="BK283" s="436">
        <f>BE283-BF283</f>
        <v>2396.3133640552996</v>
      </c>
      <c r="BL283" s="445"/>
      <c r="BM283" s="445"/>
      <c r="BN283" s="445"/>
      <c r="BO283" s="445"/>
      <c r="BP283" s="445"/>
      <c r="BQ283" s="445"/>
      <c r="CB283" s="437">
        <f>BF283*15/20</f>
        <v>449.30875576036868</v>
      </c>
      <c r="CC283" s="446"/>
      <c r="CD283" s="446"/>
      <c r="CE283" s="446"/>
      <c r="CH283" s="437">
        <f>BF283*5/20</f>
        <v>149.76958525345623</v>
      </c>
      <c r="CI283" s="446"/>
      <c r="CJ283" s="446"/>
      <c r="CK283" s="446"/>
      <c r="CL283" s="446"/>
      <c r="CM283" s="446"/>
    </row>
    <row r="284" spans="54:92" ht="12" hidden="1" x14ac:dyDescent="0.2">
      <c r="BB284" s="432">
        <v>213</v>
      </c>
      <c r="BC284" s="432"/>
      <c r="BD284" s="432"/>
      <c r="BE284" s="216">
        <f>BE282*30.2/130.2</f>
        <v>904.60829493087567</v>
      </c>
      <c r="BF284" s="435">
        <f>BF283*30.2%</f>
        <v>180.92165898617512</v>
      </c>
      <c r="BG284" s="435"/>
      <c r="BH284" s="435"/>
      <c r="BI284" s="435"/>
      <c r="BJ284" s="435"/>
      <c r="BK284" s="435">
        <f>BK283*30.2%</f>
        <v>723.68663594470047</v>
      </c>
      <c r="BL284" s="435"/>
      <c r="BM284" s="435"/>
      <c r="BN284" s="435"/>
      <c r="BO284" s="435"/>
      <c r="BP284" s="435"/>
      <c r="BQ284" s="435"/>
      <c r="CE284" s="236"/>
    </row>
    <row r="285" spans="54:92" ht="12" hidden="1" x14ac:dyDescent="0.2"/>
    <row r="286" spans="54:92" ht="8.25" hidden="1" customHeight="1" x14ac:dyDescent="0.2"/>
    <row r="287" spans="54:92" ht="15" hidden="1" x14ac:dyDescent="0.25">
      <c r="CH287" s="778">
        <f>CH220+CH227+CH235+CH242+CH250+CH258+CH266+CH274+CH283</f>
        <v>1802.9953917050691</v>
      </c>
      <c r="CI287" s="779"/>
      <c r="CJ287" s="779"/>
      <c r="CK287" s="779"/>
      <c r="CL287" s="779"/>
      <c r="CM287" s="779"/>
      <c r="CN287" s="779"/>
    </row>
    <row r="288" spans="54:92" ht="12" hidden="1" x14ac:dyDescent="0.2">
      <c r="BB288" s="432" t="s">
        <v>551</v>
      </c>
      <c r="BC288" s="432"/>
      <c r="BD288" s="432"/>
      <c r="BE288" s="432"/>
      <c r="BF288" s="432"/>
      <c r="BG288" s="432"/>
      <c r="BH288" s="432"/>
      <c r="BI288" s="432"/>
      <c r="BJ288" s="432"/>
      <c r="BK288" s="432"/>
      <c r="BL288" s="432"/>
      <c r="BM288" s="432"/>
      <c r="BN288" s="432"/>
      <c r="BO288" s="432"/>
      <c r="BP288" s="432"/>
      <c r="BQ288" s="432"/>
      <c r="BR288" s="432"/>
      <c r="BS288" s="432"/>
      <c r="BT288" s="432"/>
      <c r="BU288" s="432"/>
      <c r="BV288" s="432"/>
      <c r="BW288" s="432"/>
      <c r="BX288" s="432"/>
    </row>
    <row r="289" spans="54:91" ht="12" hidden="1" x14ac:dyDescent="0.2">
      <c r="BB289" s="432" t="s">
        <v>126</v>
      </c>
      <c r="BC289" s="432"/>
      <c r="BD289" s="432"/>
      <c r="BE289" s="433">
        <f>250*62</f>
        <v>15500</v>
      </c>
      <c r="BF289" s="433"/>
      <c r="BG289" s="433"/>
      <c r="BH289" s="433"/>
      <c r="BI289" s="433"/>
      <c r="BJ289" s="320" t="s">
        <v>127</v>
      </c>
      <c r="BK289" s="320"/>
      <c r="BL289" s="320"/>
      <c r="BM289" s="320"/>
      <c r="BN289" s="320"/>
      <c r="BO289" s="320"/>
      <c r="BP289" s="320"/>
      <c r="BQ289" s="320"/>
    </row>
    <row r="290" spans="54:91" ht="15" hidden="1" x14ac:dyDescent="0.25">
      <c r="BB290" s="434">
        <v>0.6</v>
      </c>
      <c r="BC290" s="432"/>
      <c r="BD290" s="432"/>
      <c r="BE290" s="216">
        <f>BE289*BB290</f>
        <v>9300</v>
      </c>
      <c r="BF290" s="432" t="s">
        <v>128</v>
      </c>
      <c r="BG290" s="432"/>
      <c r="BH290" s="432"/>
      <c r="BI290" s="432"/>
      <c r="BJ290" s="432"/>
      <c r="BK290" s="432" t="s">
        <v>129</v>
      </c>
      <c r="BL290" s="432"/>
      <c r="BM290" s="432"/>
      <c r="BN290" s="432"/>
      <c r="BO290" s="432"/>
      <c r="BP290" s="432"/>
      <c r="BQ290" s="432"/>
      <c r="CB290" s="432" t="s">
        <v>368</v>
      </c>
      <c r="CC290" s="443"/>
      <c r="CD290" s="443"/>
      <c r="CE290" s="443"/>
      <c r="CH290" s="444" t="s">
        <v>366</v>
      </c>
      <c r="CI290" s="441"/>
      <c r="CJ290" s="441"/>
      <c r="CK290" s="441"/>
      <c r="CL290" s="441"/>
      <c r="CM290" s="441"/>
    </row>
    <row r="291" spans="54:91" ht="15" hidden="1" x14ac:dyDescent="0.25">
      <c r="BB291" s="432">
        <v>211</v>
      </c>
      <c r="BC291" s="432"/>
      <c r="BD291" s="432"/>
      <c r="BE291" s="216">
        <f>BE290-BE292</f>
        <v>7142.8571428571431</v>
      </c>
      <c r="BF291" s="435">
        <f>BE291*0.2</f>
        <v>1428.5714285714287</v>
      </c>
      <c r="BG291" s="435"/>
      <c r="BH291" s="435"/>
      <c r="BI291" s="435"/>
      <c r="BJ291" s="435"/>
      <c r="BK291" s="436">
        <f>BE291-BF291</f>
        <v>5714.2857142857147</v>
      </c>
      <c r="BL291" s="445"/>
      <c r="BM291" s="445"/>
      <c r="BN291" s="445"/>
      <c r="BO291" s="445"/>
      <c r="BP291" s="445"/>
      <c r="BQ291" s="445"/>
      <c r="CB291" s="437">
        <f>BF291*15/20</f>
        <v>1071.4285714285716</v>
      </c>
      <c r="CC291" s="446"/>
      <c r="CD291" s="446"/>
      <c r="CE291" s="446"/>
      <c r="CH291" s="437">
        <f>BF291*5/20</f>
        <v>357.14285714285717</v>
      </c>
      <c r="CI291" s="446"/>
      <c r="CJ291" s="446"/>
      <c r="CK291" s="446"/>
      <c r="CL291" s="446"/>
      <c r="CM291" s="446"/>
    </row>
    <row r="292" spans="54:91" ht="12" hidden="1" x14ac:dyDescent="0.2">
      <c r="BB292" s="432">
        <v>213</v>
      </c>
      <c r="BC292" s="432"/>
      <c r="BD292" s="432"/>
      <c r="BE292" s="216">
        <f>BE290*30.2/130.2</f>
        <v>2157.1428571428573</v>
      </c>
      <c r="BF292" s="435">
        <f>BF291*30.2%</f>
        <v>431.42857142857144</v>
      </c>
      <c r="BG292" s="435"/>
      <c r="BH292" s="435"/>
      <c r="BI292" s="435"/>
      <c r="BJ292" s="435"/>
      <c r="BK292" s="435">
        <f>BK291*30.2%</f>
        <v>1725.7142857142858</v>
      </c>
      <c r="BL292" s="435"/>
      <c r="BM292" s="435"/>
      <c r="BN292" s="435"/>
      <c r="BO292" s="435"/>
      <c r="BP292" s="435"/>
      <c r="BQ292" s="435"/>
      <c r="CE292" s="236"/>
    </row>
    <row r="293" spans="54:91" ht="8.25" hidden="1" customHeight="1" x14ac:dyDescent="0.2"/>
    <row r="294" spans="54:91" ht="8.25" hidden="1" customHeight="1" x14ac:dyDescent="0.2"/>
    <row r="295" spans="54:91" ht="8.25" hidden="1" customHeight="1" x14ac:dyDescent="0.2"/>
    <row r="296" spans="54:91" ht="12" hidden="1" x14ac:dyDescent="0.2">
      <c r="BB296" s="432" t="s">
        <v>563</v>
      </c>
      <c r="BC296" s="432"/>
      <c r="BD296" s="432"/>
      <c r="BE296" s="432"/>
      <c r="BF296" s="432"/>
      <c r="BG296" s="432"/>
      <c r="BH296" s="432"/>
      <c r="BI296" s="432"/>
      <c r="BJ296" s="432"/>
      <c r="BK296" s="432"/>
      <c r="BL296" s="432"/>
      <c r="BM296" s="432"/>
      <c r="BN296" s="432"/>
      <c r="BO296" s="432"/>
      <c r="BP296" s="432"/>
      <c r="BQ296" s="432"/>
      <c r="BR296" s="432"/>
      <c r="BS296" s="432"/>
      <c r="BT296" s="432"/>
      <c r="BU296" s="432"/>
      <c r="BV296" s="432"/>
      <c r="BW296" s="432"/>
      <c r="BX296" s="432"/>
    </row>
    <row r="297" spans="54:91" ht="12" hidden="1" x14ac:dyDescent="0.2">
      <c r="BB297" s="432" t="s">
        <v>126</v>
      </c>
      <c r="BC297" s="432"/>
      <c r="BD297" s="432"/>
      <c r="BE297" s="433">
        <f>250*61</f>
        <v>15250</v>
      </c>
      <c r="BF297" s="433"/>
      <c r="BG297" s="433"/>
      <c r="BH297" s="433"/>
      <c r="BI297" s="433"/>
      <c r="BJ297" s="324" t="s">
        <v>127</v>
      </c>
      <c r="BK297" s="324"/>
      <c r="BL297" s="324"/>
      <c r="BM297" s="324"/>
      <c r="BN297" s="324"/>
      <c r="BO297" s="324"/>
      <c r="BP297" s="324"/>
      <c r="BQ297" s="324"/>
    </row>
    <row r="298" spans="54:91" ht="15" hidden="1" x14ac:dyDescent="0.25">
      <c r="BB298" s="434">
        <v>0.6</v>
      </c>
      <c r="BC298" s="432"/>
      <c r="BD298" s="432"/>
      <c r="BE298" s="216">
        <f>BE297*BB298</f>
        <v>9150</v>
      </c>
      <c r="BF298" s="432" t="s">
        <v>128</v>
      </c>
      <c r="BG298" s="432"/>
      <c r="BH298" s="432"/>
      <c r="BI298" s="432"/>
      <c r="BJ298" s="432"/>
      <c r="BK298" s="432" t="s">
        <v>129</v>
      </c>
      <c r="BL298" s="432"/>
      <c r="BM298" s="432"/>
      <c r="BN298" s="432"/>
      <c r="BO298" s="432"/>
      <c r="BP298" s="432"/>
      <c r="BQ298" s="432"/>
      <c r="CB298" s="432" t="s">
        <v>368</v>
      </c>
      <c r="CC298" s="443"/>
      <c r="CD298" s="443"/>
      <c r="CE298" s="443"/>
      <c r="CH298" s="444" t="s">
        <v>366</v>
      </c>
      <c r="CI298" s="441"/>
      <c r="CJ298" s="441"/>
      <c r="CK298" s="441"/>
      <c r="CL298" s="441"/>
      <c r="CM298" s="441"/>
    </row>
    <row r="299" spans="54:91" ht="15" hidden="1" x14ac:dyDescent="0.25">
      <c r="BB299" s="432">
        <v>211</v>
      </c>
      <c r="BC299" s="432"/>
      <c r="BD299" s="432"/>
      <c r="BE299" s="216">
        <f>BE298-BE300</f>
        <v>7027.6497695852531</v>
      </c>
      <c r="BF299" s="435">
        <f>BE299*0.2</f>
        <v>1405.5299539170508</v>
      </c>
      <c r="BG299" s="435"/>
      <c r="BH299" s="435"/>
      <c r="BI299" s="435"/>
      <c r="BJ299" s="435"/>
      <c r="BK299" s="436">
        <f>BE299-BF299</f>
        <v>5622.1198156682021</v>
      </c>
      <c r="BL299" s="445"/>
      <c r="BM299" s="445"/>
      <c r="BN299" s="445"/>
      <c r="BO299" s="445"/>
      <c r="BP299" s="445"/>
      <c r="BQ299" s="445"/>
      <c r="CB299" s="437">
        <f>BF299*15/20</f>
        <v>1054.147465437788</v>
      </c>
      <c r="CC299" s="446"/>
      <c r="CD299" s="446"/>
      <c r="CE299" s="446"/>
      <c r="CH299" s="437">
        <f>BF299*5/20</f>
        <v>351.38248847926269</v>
      </c>
      <c r="CI299" s="446"/>
      <c r="CJ299" s="446"/>
      <c r="CK299" s="446"/>
      <c r="CL299" s="446"/>
      <c r="CM299" s="446"/>
    </row>
    <row r="300" spans="54:91" ht="12" hidden="1" x14ac:dyDescent="0.2">
      <c r="BB300" s="432">
        <v>213</v>
      </c>
      <c r="BC300" s="432"/>
      <c r="BD300" s="432"/>
      <c r="BE300" s="216">
        <f>BE298*30.2/130.2</f>
        <v>2122.3502304147469</v>
      </c>
      <c r="BF300" s="435">
        <f>BF299*30.2%</f>
        <v>424.4700460829493</v>
      </c>
      <c r="BG300" s="435"/>
      <c r="BH300" s="435"/>
      <c r="BI300" s="435"/>
      <c r="BJ300" s="435"/>
      <c r="BK300" s="435">
        <f>BK299*30.2%</f>
        <v>1697.880184331797</v>
      </c>
      <c r="BL300" s="435"/>
      <c r="BM300" s="435"/>
      <c r="BN300" s="435"/>
      <c r="BO300" s="435"/>
      <c r="BP300" s="435"/>
      <c r="BQ300" s="435"/>
      <c r="CE300" s="236"/>
    </row>
    <row r="301" spans="54:91" ht="8.25" hidden="1" customHeight="1" x14ac:dyDescent="0.2"/>
    <row r="302" spans="54:91" ht="8.25" hidden="1" customHeight="1" x14ac:dyDescent="0.2"/>
    <row r="303" spans="54:91" ht="12" hidden="1" x14ac:dyDescent="0.2">
      <c r="BB303" s="432" t="s">
        <v>591</v>
      </c>
      <c r="BC303" s="432"/>
      <c r="BD303" s="432"/>
      <c r="BE303" s="432"/>
      <c r="BF303" s="432"/>
      <c r="BG303" s="432"/>
      <c r="BH303" s="432"/>
      <c r="BI303" s="432"/>
      <c r="BJ303" s="432"/>
      <c r="BK303" s="432"/>
      <c r="BL303" s="432"/>
      <c r="BM303" s="432"/>
      <c r="BN303" s="432"/>
      <c r="BO303" s="432"/>
      <c r="BP303" s="432"/>
      <c r="BQ303" s="432"/>
      <c r="BR303" s="432"/>
      <c r="BS303" s="432"/>
      <c r="BT303" s="432"/>
      <c r="BU303" s="432"/>
      <c r="BV303" s="432"/>
      <c r="BW303" s="432"/>
      <c r="BX303" s="432"/>
    </row>
    <row r="304" spans="54:91" ht="12" hidden="1" x14ac:dyDescent="0.2">
      <c r="BB304" s="432" t="s">
        <v>126</v>
      </c>
      <c r="BC304" s="432"/>
      <c r="BD304" s="432"/>
      <c r="BE304" s="433">
        <f>250*44</f>
        <v>11000</v>
      </c>
      <c r="BF304" s="433"/>
      <c r="BG304" s="433"/>
      <c r="BH304" s="433"/>
      <c r="BI304" s="433"/>
      <c r="BJ304" s="340" t="s">
        <v>127</v>
      </c>
      <c r="BK304" s="340"/>
      <c r="BL304" s="340"/>
      <c r="BM304" s="340"/>
      <c r="BN304" s="340"/>
      <c r="BO304" s="340"/>
      <c r="BP304" s="340"/>
      <c r="BQ304" s="340"/>
    </row>
    <row r="305" spans="54:91" ht="15" hidden="1" x14ac:dyDescent="0.25">
      <c r="BB305" s="434">
        <v>0.6</v>
      </c>
      <c r="BC305" s="432"/>
      <c r="BD305" s="432"/>
      <c r="BE305" s="216">
        <f>BE304*BB305</f>
        <v>6600</v>
      </c>
      <c r="BF305" s="432" t="s">
        <v>128</v>
      </c>
      <c r="BG305" s="432"/>
      <c r="BH305" s="432"/>
      <c r="BI305" s="432"/>
      <c r="BJ305" s="432"/>
      <c r="BK305" s="432" t="s">
        <v>129</v>
      </c>
      <c r="BL305" s="432"/>
      <c r="BM305" s="432"/>
      <c r="BN305" s="432"/>
      <c r="BO305" s="432"/>
      <c r="BP305" s="432"/>
      <c r="BQ305" s="432"/>
      <c r="CB305" s="432" t="s">
        <v>368</v>
      </c>
      <c r="CC305" s="443"/>
      <c r="CD305" s="443"/>
      <c r="CE305" s="443"/>
      <c r="CH305" s="444" t="s">
        <v>366</v>
      </c>
      <c r="CI305" s="441"/>
      <c r="CJ305" s="441"/>
      <c r="CK305" s="441"/>
      <c r="CL305" s="441"/>
      <c r="CM305" s="441"/>
    </row>
    <row r="306" spans="54:91" ht="15" hidden="1" x14ac:dyDescent="0.25">
      <c r="BB306" s="432">
        <v>211</v>
      </c>
      <c r="BC306" s="432"/>
      <c r="BD306" s="432"/>
      <c r="BE306" s="216">
        <f>BE305-BE307</f>
        <v>5069.1244239631333</v>
      </c>
      <c r="BF306" s="435">
        <f>BE306*0.2</f>
        <v>1013.8248847926267</v>
      </c>
      <c r="BG306" s="435"/>
      <c r="BH306" s="435"/>
      <c r="BI306" s="435"/>
      <c r="BJ306" s="435"/>
      <c r="BK306" s="436">
        <f>BE306-BF306</f>
        <v>4055.2995391705067</v>
      </c>
      <c r="BL306" s="445"/>
      <c r="BM306" s="445"/>
      <c r="BN306" s="445"/>
      <c r="BO306" s="445"/>
      <c r="BP306" s="445"/>
      <c r="BQ306" s="445"/>
      <c r="CB306" s="437">
        <f>BF306*15/20</f>
        <v>760.36866359447004</v>
      </c>
      <c r="CC306" s="446"/>
      <c r="CD306" s="446"/>
      <c r="CE306" s="446"/>
      <c r="CH306" s="437">
        <f>BF306*5/20</f>
        <v>253.45622119815667</v>
      </c>
      <c r="CI306" s="446"/>
      <c r="CJ306" s="446"/>
      <c r="CK306" s="446"/>
      <c r="CL306" s="446"/>
      <c r="CM306" s="446"/>
    </row>
    <row r="307" spans="54:91" ht="12" hidden="1" x14ac:dyDescent="0.2">
      <c r="BB307" s="432">
        <v>213</v>
      </c>
      <c r="BC307" s="432"/>
      <c r="BD307" s="432"/>
      <c r="BE307" s="216">
        <f>BE305*30.2/130.2</f>
        <v>1530.8755760368665</v>
      </c>
      <c r="BF307" s="435">
        <f>BF306*30.2%</f>
        <v>306.17511520737327</v>
      </c>
      <c r="BG307" s="435"/>
      <c r="BH307" s="435"/>
      <c r="BI307" s="435"/>
      <c r="BJ307" s="435"/>
      <c r="BK307" s="435">
        <f>BK306*30.2%</f>
        <v>1224.7004608294931</v>
      </c>
      <c r="BL307" s="435"/>
      <c r="BM307" s="435"/>
      <c r="BN307" s="435"/>
      <c r="BO307" s="435"/>
      <c r="BP307" s="435"/>
      <c r="BQ307" s="435"/>
      <c r="CE307" s="236"/>
    </row>
    <row r="308" spans="54:91" ht="8.25" hidden="1" customHeight="1" x14ac:dyDescent="0.2"/>
    <row r="309" spans="54:91" ht="8.25" hidden="1" customHeight="1" x14ac:dyDescent="0.2"/>
    <row r="310" spans="54:91" ht="8.25" hidden="1" customHeight="1" x14ac:dyDescent="0.2"/>
    <row r="311" spans="54:91" ht="12" hidden="1" x14ac:dyDescent="0.2">
      <c r="BB311" s="432" t="s">
        <v>602</v>
      </c>
      <c r="BC311" s="432"/>
      <c r="BD311" s="432"/>
      <c r="BE311" s="432"/>
      <c r="BF311" s="432"/>
      <c r="BG311" s="432"/>
      <c r="BH311" s="432"/>
      <c r="BI311" s="432"/>
      <c r="BJ311" s="432"/>
      <c r="BK311" s="432"/>
      <c r="BL311" s="432"/>
      <c r="BM311" s="432"/>
      <c r="BN311" s="432"/>
      <c r="BO311" s="432"/>
      <c r="BP311" s="432"/>
      <c r="BQ311" s="432"/>
      <c r="BR311" s="432"/>
      <c r="BS311" s="432"/>
      <c r="BT311" s="432"/>
      <c r="BU311" s="432"/>
      <c r="BV311" s="432"/>
      <c r="BW311" s="432"/>
      <c r="BX311" s="432"/>
    </row>
    <row r="312" spans="54:91" ht="12" hidden="1" x14ac:dyDescent="0.2">
      <c r="BB312" s="432" t="s">
        <v>126</v>
      </c>
      <c r="BC312" s="432"/>
      <c r="BD312" s="432"/>
      <c r="BE312" s="433">
        <f>250*34</f>
        <v>8500</v>
      </c>
      <c r="BF312" s="433"/>
      <c r="BG312" s="433"/>
      <c r="BH312" s="433"/>
      <c r="BI312" s="433"/>
      <c r="BJ312" s="348" t="s">
        <v>127</v>
      </c>
      <c r="BK312" s="348"/>
      <c r="BL312" s="348"/>
      <c r="BM312" s="348"/>
      <c r="BN312" s="348"/>
      <c r="BO312" s="348"/>
      <c r="BP312" s="348"/>
      <c r="BQ312" s="348"/>
    </row>
    <row r="313" spans="54:91" ht="15" hidden="1" x14ac:dyDescent="0.25">
      <c r="BB313" s="434">
        <v>0.6</v>
      </c>
      <c r="BC313" s="432"/>
      <c r="BD313" s="432"/>
      <c r="BE313" s="216">
        <f>BE312*BB313</f>
        <v>5100</v>
      </c>
      <c r="BF313" s="432" t="s">
        <v>128</v>
      </c>
      <c r="BG313" s="432"/>
      <c r="BH313" s="432"/>
      <c r="BI313" s="432"/>
      <c r="BJ313" s="432"/>
      <c r="BK313" s="432" t="s">
        <v>129</v>
      </c>
      <c r="BL313" s="432"/>
      <c r="BM313" s="432"/>
      <c r="BN313" s="432"/>
      <c r="BO313" s="432"/>
      <c r="BP313" s="432"/>
      <c r="BQ313" s="432"/>
      <c r="CB313" s="432" t="s">
        <v>368</v>
      </c>
      <c r="CC313" s="443"/>
      <c r="CD313" s="443"/>
      <c r="CE313" s="443"/>
      <c r="CH313" s="444" t="s">
        <v>366</v>
      </c>
      <c r="CI313" s="441"/>
      <c r="CJ313" s="441"/>
      <c r="CK313" s="441"/>
      <c r="CL313" s="441"/>
      <c r="CM313" s="441"/>
    </row>
    <row r="314" spans="54:91" ht="15" hidden="1" x14ac:dyDescent="0.25">
      <c r="BB314" s="432">
        <v>211</v>
      </c>
      <c r="BC314" s="432"/>
      <c r="BD314" s="432"/>
      <c r="BE314" s="216">
        <f>BE313-BE315</f>
        <v>3917.0506912442397</v>
      </c>
      <c r="BF314" s="435">
        <f>BE314*0.2</f>
        <v>783.41013824884794</v>
      </c>
      <c r="BG314" s="435"/>
      <c r="BH314" s="435"/>
      <c r="BI314" s="435"/>
      <c r="BJ314" s="435"/>
      <c r="BK314" s="436">
        <f>BE314-BF314</f>
        <v>3133.6405529953918</v>
      </c>
      <c r="BL314" s="445"/>
      <c r="BM314" s="445"/>
      <c r="BN314" s="445"/>
      <c r="BO314" s="445"/>
      <c r="BP314" s="445"/>
      <c r="BQ314" s="445"/>
      <c r="CB314" s="437">
        <f>BF314*15/20</f>
        <v>587.55760368663596</v>
      </c>
      <c r="CC314" s="446"/>
      <c r="CD314" s="446"/>
      <c r="CE314" s="446"/>
      <c r="CH314" s="437">
        <f>BF314*5/20</f>
        <v>195.85253456221199</v>
      </c>
      <c r="CI314" s="446"/>
      <c r="CJ314" s="446"/>
      <c r="CK314" s="446"/>
      <c r="CL314" s="446"/>
      <c r="CM314" s="446"/>
    </row>
    <row r="315" spans="54:91" ht="12" hidden="1" x14ac:dyDescent="0.2">
      <c r="BB315" s="432">
        <v>213</v>
      </c>
      <c r="BC315" s="432"/>
      <c r="BD315" s="432"/>
      <c r="BE315" s="216">
        <f>BE313*30.2/130.2</f>
        <v>1182.9493087557605</v>
      </c>
      <c r="BF315" s="435">
        <f>BF314*30.2%</f>
        <v>236.58986175115209</v>
      </c>
      <c r="BG315" s="435"/>
      <c r="BH315" s="435"/>
      <c r="BI315" s="435"/>
      <c r="BJ315" s="435"/>
      <c r="BK315" s="435">
        <f>BK314*30.2%</f>
        <v>946.35944700460834</v>
      </c>
      <c r="BL315" s="435"/>
      <c r="BM315" s="435"/>
      <c r="BN315" s="435"/>
      <c r="BO315" s="435"/>
      <c r="BP315" s="435"/>
      <c r="BQ315" s="435"/>
      <c r="CE315" s="236"/>
    </row>
    <row r="316" spans="54:91" ht="8.25" hidden="1" customHeight="1" x14ac:dyDescent="0.2"/>
    <row r="317" spans="54:91" ht="8.25" hidden="1" customHeight="1" x14ac:dyDescent="0.2"/>
    <row r="318" spans="54:91" ht="8.25" hidden="1" customHeight="1" x14ac:dyDescent="0.2"/>
    <row r="319" spans="54:91" ht="12" hidden="1" x14ac:dyDescent="0.2">
      <c r="BB319" s="432" t="s">
        <v>631</v>
      </c>
      <c r="BC319" s="432"/>
      <c r="BD319" s="432"/>
      <c r="BE319" s="432"/>
      <c r="BF319" s="432"/>
      <c r="BG319" s="432"/>
      <c r="BH319" s="432"/>
      <c r="BI319" s="432"/>
      <c r="BJ319" s="432"/>
      <c r="BK319" s="432"/>
      <c r="BL319" s="432"/>
      <c r="BM319" s="432"/>
      <c r="BN319" s="432"/>
      <c r="BO319" s="432"/>
      <c r="BP319" s="432"/>
      <c r="BQ319" s="432"/>
      <c r="BR319" s="432"/>
      <c r="BS319" s="432"/>
      <c r="BT319" s="432"/>
      <c r="BU319" s="432"/>
      <c r="BV319" s="432"/>
      <c r="BW319" s="432"/>
      <c r="BX319" s="432"/>
    </row>
    <row r="320" spans="54:91" ht="12" hidden="1" x14ac:dyDescent="0.2">
      <c r="BB320" s="432" t="s">
        <v>126</v>
      </c>
      <c r="BC320" s="432"/>
      <c r="BD320" s="432"/>
      <c r="BE320" s="433">
        <f>250*38</f>
        <v>9500</v>
      </c>
      <c r="BF320" s="433"/>
      <c r="BG320" s="433"/>
      <c r="BH320" s="433"/>
      <c r="BI320" s="433"/>
      <c r="BJ320" s="381" t="s">
        <v>127</v>
      </c>
      <c r="BK320" s="381"/>
      <c r="BL320" s="381"/>
      <c r="BM320" s="381"/>
      <c r="BN320" s="381"/>
      <c r="BO320" s="381"/>
      <c r="BP320" s="381"/>
      <c r="BQ320" s="381"/>
    </row>
    <row r="321" spans="54:91" ht="15" hidden="1" x14ac:dyDescent="0.25">
      <c r="BB321" s="434">
        <v>0.6</v>
      </c>
      <c r="BC321" s="432"/>
      <c r="BD321" s="432"/>
      <c r="BE321" s="216">
        <f>BE320*BB321</f>
        <v>5700</v>
      </c>
      <c r="BF321" s="432" t="s">
        <v>128</v>
      </c>
      <c r="BG321" s="432"/>
      <c r="BH321" s="432"/>
      <c r="BI321" s="432"/>
      <c r="BJ321" s="432"/>
      <c r="BK321" s="432" t="s">
        <v>129</v>
      </c>
      <c r="BL321" s="432"/>
      <c r="BM321" s="432"/>
      <c r="BN321" s="432"/>
      <c r="BO321" s="432"/>
      <c r="BP321" s="432"/>
      <c r="BQ321" s="432"/>
      <c r="CB321" s="432" t="s">
        <v>368</v>
      </c>
      <c r="CC321" s="443"/>
      <c r="CD321" s="443"/>
      <c r="CE321" s="443"/>
      <c r="CH321" s="444" t="s">
        <v>366</v>
      </c>
      <c r="CI321" s="441"/>
      <c r="CJ321" s="441"/>
      <c r="CK321" s="441"/>
      <c r="CL321" s="441"/>
      <c r="CM321" s="441"/>
    </row>
    <row r="322" spans="54:91" ht="15" hidden="1" x14ac:dyDescent="0.25">
      <c r="BB322" s="432">
        <v>211</v>
      </c>
      <c r="BC322" s="432"/>
      <c r="BD322" s="432"/>
      <c r="BE322" s="216">
        <f>BE321-BE323</f>
        <v>4377.880184331797</v>
      </c>
      <c r="BF322" s="435">
        <f>BE322*0.2</f>
        <v>875.57603686635946</v>
      </c>
      <c r="BG322" s="435"/>
      <c r="BH322" s="435"/>
      <c r="BI322" s="435"/>
      <c r="BJ322" s="435"/>
      <c r="BK322" s="436">
        <f>BE322-BF322</f>
        <v>3502.3041474654374</v>
      </c>
      <c r="BL322" s="445"/>
      <c r="BM322" s="445"/>
      <c r="BN322" s="445"/>
      <c r="BO322" s="445"/>
      <c r="BP322" s="445"/>
      <c r="BQ322" s="445"/>
      <c r="CB322" s="437">
        <f>BF322*15/20</f>
        <v>656.68202764976957</v>
      </c>
      <c r="CC322" s="446"/>
      <c r="CD322" s="446"/>
      <c r="CE322" s="446"/>
      <c r="CH322" s="437">
        <f>BF322*5/20</f>
        <v>218.89400921658984</v>
      </c>
      <c r="CI322" s="446"/>
      <c r="CJ322" s="446"/>
      <c r="CK322" s="446"/>
      <c r="CL322" s="446"/>
      <c r="CM322" s="446"/>
    </row>
    <row r="323" spans="54:91" ht="12" hidden="1" x14ac:dyDescent="0.2">
      <c r="BB323" s="432">
        <v>213</v>
      </c>
      <c r="BC323" s="432"/>
      <c r="BD323" s="432"/>
      <c r="BE323" s="216">
        <f>BE321*30.2/130.2</f>
        <v>1322.1198156682028</v>
      </c>
      <c r="BF323" s="435">
        <f>BF322*30.2%</f>
        <v>264.42396313364054</v>
      </c>
      <c r="BG323" s="435"/>
      <c r="BH323" s="435"/>
      <c r="BI323" s="435"/>
      <c r="BJ323" s="435"/>
      <c r="BK323" s="435">
        <f>BK322*30.2%</f>
        <v>1057.6958525345622</v>
      </c>
      <c r="BL323" s="435"/>
      <c r="BM323" s="435"/>
      <c r="BN323" s="435"/>
      <c r="BO323" s="435"/>
      <c r="BP323" s="435"/>
      <c r="BQ323" s="435"/>
      <c r="CE323" s="236"/>
    </row>
    <row r="324" spans="54:91" ht="8.25" hidden="1" customHeight="1" x14ac:dyDescent="0.2"/>
    <row r="325" spans="54:91" ht="8.25" hidden="1" customHeight="1" x14ac:dyDescent="0.2"/>
    <row r="326" spans="54:91" ht="8.25" hidden="1" customHeight="1" x14ac:dyDescent="0.2"/>
    <row r="327" spans="54:91" ht="12" hidden="1" x14ac:dyDescent="0.2">
      <c r="BB327" s="432" t="s">
        <v>639</v>
      </c>
      <c r="BC327" s="432"/>
      <c r="BD327" s="432"/>
      <c r="BE327" s="432"/>
      <c r="BF327" s="432"/>
      <c r="BG327" s="432"/>
      <c r="BH327" s="432"/>
      <c r="BI327" s="432"/>
      <c r="BJ327" s="432"/>
      <c r="BK327" s="432"/>
      <c r="BL327" s="432"/>
      <c r="BM327" s="432"/>
      <c r="BN327" s="432"/>
      <c r="BO327" s="432"/>
      <c r="BP327" s="432"/>
      <c r="BQ327" s="432"/>
      <c r="BR327" s="432"/>
      <c r="BS327" s="432"/>
      <c r="BT327" s="432"/>
      <c r="BU327" s="432"/>
      <c r="BV327" s="432"/>
      <c r="BW327" s="432"/>
      <c r="BX327" s="432"/>
    </row>
    <row r="328" spans="54:91" ht="12" hidden="1" x14ac:dyDescent="0.2">
      <c r="BB328" s="432" t="s">
        <v>126</v>
      </c>
      <c r="BC328" s="432"/>
      <c r="BD328" s="432"/>
      <c r="BE328" s="433">
        <f>250*33</f>
        <v>8250</v>
      </c>
      <c r="BF328" s="433"/>
      <c r="BG328" s="433"/>
      <c r="BH328" s="433"/>
      <c r="BI328" s="433"/>
      <c r="BJ328" s="385" t="s">
        <v>127</v>
      </c>
      <c r="BK328" s="385"/>
      <c r="BL328" s="385"/>
      <c r="BM328" s="385"/>
      <c r="BN328" s="385"/>
      <c r="BO328" s="385"/>
      <c r="BP328" s="385"/>
      <c r="BQ328" s="385"/>
    </row>
    <row r="329" spans="54:91" ht="15" hidden="1" x14ac:dyDescent="0.25">
      <c r="BB329" s="434">
        <v>0.6</v>
      </c>
      <c r="BC329" s="432"/>
      <c r="BD329" s="432"/>
      <c r="BE329" s="216">
        <f>BE328*BB329</f>
        <v>4950</v>
      </c>
      <c r="BF329" s="432" t="s">
        <v>128</v>
      </c>
      <c r="BG329" s="432"/>
      <c r="BH329" s="432"/>
      <c r="BI329" s="432"/>
      <c r="BJ329" s="432"/>
      <c r="BK329" s="432" t="s">
        <v>129</v>
      </c>
      <c r="BL329" s="432"/>
      <c r="BM329" s="432"/>
      <c r="BN329" s="432"/>
      <c r="BO329" s="432"/>
      <c r="BP329" s="432"/>
      <c r="BQ329" s="432"/>
      <c r="CB329" s="432" t="s">
        <v>368</v>
      </c>
      <c r="CC329" s="443"/>
      <c r="CD329" s="443"/>
      <c r="CE329" s="443"/>
      <c r="CH329" s="444" t="s">
        <v>366</v>
      </c>
      <c r="CI329" s="441"/>
      <c r="CJ329" s="441"/>
      <c r="CK329" s="441"/>
      <c r="CL329" s="441"/>
      <c r="CM329" s="441"/>
    </row>
    <row r="330" spans="54:91" ht="15" hidden="1" x14ac:dyDescent="0.25">
      <c r="BB330" s="432">
        <v>211</v>
      </c>
      <c r="BC330" s="432"/>
      <c r="BD330" s="432"/>
      <c r="BE330" s="216">
        <f>BE329-BE331</f>
        <v>3801.8433179723502</v>
      </c>
      <c r="BF330" s="435">
        <f>BE330*0.2</f>
        <v>760.36866359447004</v>
      </c>
      <c r="BG330" s="435"/>
      <c r="BH330" s="435"/>
      <c r="BI330" s="435"/>
      <c r="BJ330" s="435"/>
      <c r="BK330" s="436">
        <f>BE330-BF330</f>
        <v>3041.4746543778801</v>
      </c>
      <c r="BL330" s="445"/>
      <c r="BM330" s="445"/>
      <c r="BN330" s="445"/>
      <c r="BO330" s="445"/>
      <c r="BP330" s="445"/>
      <c r="BQ330" s="445"/>
      <c r="CB330" s="437">
        <f>BF330*15/20</f>
        <v>570.27649769585253</v>
      </c>
      <c r="CC330" s="446"/>
      <c r="CD330" s="446"/>
      <c r="CE330" s="446"/>
      <c r="CH330" s="437">
        <f>BF330*5/20</f>
        <v>190.09216589861751</v>
      </c>
      <c r="CI330" s="446"/>
      <c r="CJ330" s="446"/>
      <c r="CK330" s="446"/>
      <c r="CL330" s="446"/>
      <c r="CM330" s="446"/>
    </row>
    <row r="331" spans="54:91" ht="12" hidden="1" x14ac:dyDescent="0.2">
      <c r="BB331" s="432">
        <v>213</v>
      </c>
      <c r="BC331" s="432"/>
      <c r="BD331" s="432"/>
      <c r="BE331" s="216">
        <f>BE329*30.2/130.2</f>
        <v>1148.1566820276498</v>
      </c>
      <c r="BF331" s="435">
        <f>BF330*30.2%</f>
        <v>229.63133640552994</v>
      </c>
      <c r="BG331" s="435"/>
      <c r="BH331" s="435"/>
      <c r="BI331" s="435"/>
      <c r="BJ331" s="435"/>
      <c r="BK331" s="435">
        <f>BK330*30.2%</f>
        <v>918.52534562211974</v>
      </c>
      <c r="BL331" s="435"/>
      <c r="BM331" s="435"/>
      <c r="BN331" s="435"/>
      <c r="BO331" s="435"/>
      <c r="BP331" s="435"/>
      <c r="BQ331" s="435"/>
      <c r="CE331" s="236"/>
    </row>
    <row r="332" spans="54:91" ht="12" hidden="1" x14ac:dyDescent="0.2"/>
    <row r="333" spans="54:91" ht="12" x14ac:dyDescent="0.2">
      <c r="BB333" s="432" t="s">
        <v>687</v>
      </c>
      <c r="BC333" s="432"/>
      <c r="BD333" s="432"/>
      <c r="BE333" s="432"/>
      <c r="BF333" s="432"/>
      <c r="BG333" s="432"/>
      <c r="BH333" s="432"/>
      <c r="BI333" s="432"/>
      <c r="BJ333" s="432"/>
      <c r="BK333" s="432"/>
      <c r="BL333" s="432"/>
      <c r="BM333" s="432"/>
      <c r="BN333" s="432"/>
      <c r="BO333" s="432"/>
      <c r="BP333" s="432"/>
      <c r="BQ333" s="432"/>
      <c r="BR333" s="432"/>
      <c r="BS333" s="432"/>
      <c r="BT333" s="432"/>
      <c r="BU333" s="432"/>
      <c r="BV333" s="432"/>
      <c r="BW333" s="432"/>
      <c r="BX333" s="432"/>
    </row>
    <row r="334" spans="54:91" ht="12" x14ac:dyDescent="0.2">
      <c r="BB334" s="432" t="s">
        <v>126</v>
      </c>
      <c r="BC334" s="432"/>
      <c r="BD334" s="432"/>
      <c r="BE334" s="433">
        <f>300*23</f>
        <v>6900</v>
      </c>
      <c r="BF334" s="433"/>
      <c r="BG334" s="433"/>
      <c r="BH334" s="433"/>
      <c r="BI334" s="433"/>
      <c r="BJ334" s="398" t="s">
        <v>127</v>
      </c>
      <c r="BK334" s="398"/>
      <c r="BL334" s="398"/>
      <c r="BM334" s="398"/>
      <c r="BN334" s="398"/>
      <c r="BO334" s="398"/>
      <c r="BP334" s="398"/>
      <c r="BQ334" s="398"/>
    </row>
    <row r="335" spans="54:91" ht="15" x14ac:dyDescent="0.25">
      <c r="BB335" s="434">
        <v>0.6</v>
      </c>
      <c r="BC335" s="432"/>
      <c r="BD335" s="432"/>
      <c r="BE335" s="216">
        <f>BE334*BB335</f>
        <v>4140</v>
      </c>
      <c r="BF335" s="432" t="s">
        <v>128</v>
      </c>
      <c r="BG335" s="432"/>
      <c r="BH335" s="432"/>
      <c r="BI335" s="432"/>
      <c r="BJ335" s="432"/>
      <c r="BK335" s="432" t="s">
        <v>129</v>
      </c>
      <c r="BL335" s="432"/>
      <c r="BM335" s="432"/>
      <c r="BN335" s="432"/>
      <c r="BO335" s="432"/>
      <c r="BP335" s="432"/>
      <c r="BQ335" s="432"/>
      <c r="CB335" s="432" t="s">
        <v>368</v>
      </c>
      <c r="CC335" s="443"/>
      <c r="CD335" s="443"/>
      <c r="CE335" s="443"/>
      <c r="CH335" s="444" t="s">
        <v>366</v>
      </c>
      <c r="CI335" s="441"/>
      <c r="CJ335" s="441"/>
      <c r="CK335" s="441"/>
      <c r="CL335" s="441"/>
      <c r="CM335" s="441"/>
    </row>
    <row r="336" spans="54:91" ht="15" x14ac:dyDescent="0.25">
      <c r="BB336" s="432">
        <v>211</v>
      </c>
      <c r="BC336" s="432"/>
      <c r="BD336" s="432"/>
      <c r="BE336" s="216">
        <f>BE335-BE337</f>
        <v>3179.7235023041476</v>
      </c>
      <c r="BF336" s="435">
        <f>BE336*0.2</f>
        <v>635.94470046082961</v>
      </c>
      <c r="BG336" s="435"/>
      <c r="BH336" s="435"/>
      <c r="BI336" s="435"/>
      <c r="BJ336" s="435"/>
      <c r="BK336" s="436">
        <f>BE336-BF336</f>
        <v>2543.778801843318</v>
      </c>
      <c r="BL336" s="445"/>
      <c r="BM336" s="445"/>
      <c r="BN336" s="445"/>
      <c r="BO336" s="445"/>
      <c r="BP336" s="445"/>
      <c r="BQ336" s="445"/>
      <c r="CB336" s="437">
        <f>BF336*15/20</f>
        <v>476.95852534562221</v>
      </c>
      <c r="CC336" s="446"/>
      <c r="CD336" s="446"/>
      <c r="CE336" s="446"/>
      <c r="CH336" s="437">
        <f>BF336*5/20</f>
        <v>158.9861751152074</v>
      </c>
      <c r="CI336" s="446"/>
      <c r="CJ336" s="446"/>
      <c r="CK336" s="446"/>
      <c r="CL336" s="446"/>
      <c r="CM336" s="446"/>
    </row>
    <row r="337" spans="54:83" ht="12" x14ac:dyDescent="0.2">
      <c r="BB337" s="432">
        <v>213</v>
      </c>
      <c r="BC337" s="432"/>
      <c r="BD337" s="432"/>
      <c r="BE337" s="216">
        <f>BE335*30.2/130.2</f>
        <v>960.27649769585264</v>
      </c>
      <c r="BF337" s="435">
        <f>BF336*30.2%</f>
        <v>192.05529953917053</v>
      </c>
      <c r="BG337" s="435"/>
      <c r="BH337" s="435"/>
      <c r="BI337" s="435"/>
      <c r="BJ337" s="435"/>
      <c r="BK337" s="435">
        <f>BK336*30.2%</f>
        <v>768.22119815668202</v>
      </c>
      <c r="BL337" s="435"/>
      <c r="BM337" s="435"/>
      <c r="BN337" s="435"/>
      <c r="BO337" s="435"/>
      <c r="BP337" s="435"/>
      <c r="BQ337" s="435"/>
      <c r="CE337" s="236"/>
    </row>
  </sheetData>
  <mergeCells count="961">
    <mergeCell ref="CH313:CM313"/>
    <mergeCell ref="BB314:BD314"/>
    <mergeCell ref="BB311:BX311"/>
    <mergeCell ref="CB305:CE305"/>
    <mergeCell ref="CH305:CM305"/>
    <mergeCell ref="BB306:BD306"/>
    <mergeCell ref="BF306:BJ306"/>
    <mergeCell ref="CB299:CE299"/>
    <mergeCell ref="CH299:CM299"/>
    <mergeCell ref="CB306:CE306"/>
    <mergeCell ref="BB299:BD299"/>
    <mergeCell ref="BF299:BJ299"/>
    <mergeCell ref="BK299:BQ299"/>
    <mergeCell ref="BB307:BD307"/>
    <mergeCell ref="BF307:BJ307"/>
    <mergeCell ref="BK307:BQ307"/>
    <mergeCell ref="BB303:BX303"/>
    <mergeCell ref="BB304:BD304"/>
    <mergeCell ref="BE304:BI304"/>
    <mergeCell ref="BB305:BD305"/>
    <mergeCell ref="BF305:BJ305"/>
    <mergeCell ref="CH306:CM306"/>
    <mergeCell ref="BB247:BX247"/>
    <mergeCell ref="BB248:BD248"/>
    <mergeCell ref="BE248:BI248"/>
    <mergeCell ref="BB249:BD249"/>
    <mergeCell ref="BF249:BJ249"/>
    <mergeCell ref="BK249:BQ249"/>
    <mergeCell ref="BF251:BJ251"/>
    <mergeCell ref="CB249:CE249"/>
    <mergeCell ref="CH249:CM249"/>
    <mergeCell ref="BK251:BQ251"/>
    <mergeCell ref="BB259:BD259"/>
    <mergeCell ref="BF259:BJ259"/>
    <mergeCell ref="BK259:BQ259"/>
    <mergeCell ref="BB255:BX255"/>
    <mergeCell ref="BB256:BD256"/>
    <mergeCell ref="BE256:BI256"/>
    <mergeCell ref="BB257:BD257"/>
    <mergeCell ref="BF257:BJ257"/>
    <mergeCell ref="BK257:BQ257"/>
    <mergeCell ref="CH291:CM291"/>
    <mergeCell ref="CH287:CN287"/>
    <mergeCell ref="CH298:CM298"/>
    <mergeCell ref="CB298:CE298"/>
    <mergeCell ref="CB313:CE313"/>
    <mergeCell ref="BB281:BD281"/>
    <mergeCell ref="BE281:BI281"/>
    <mergeCell ref="BB282:BD282"/>
    <mergeCell ref="BF282:BJ282"/>
    <mergeCell ref="BK282:BQ282"/>
    <mergeCell ref="CB290:CE290"/>
    <mergeCell ref="BB291:BD291"/>
    <mergeCell ref="BF291:BJ291"/>
    <mergeCell ref="BK291:BQ291"/>
    <mergeCell ref="CB291:CE291"/>
    <mergeCell ref="BB289:BD289"/>
    <mergeCell ref="BE289:BI289"/>
    <mergeCell ref="BB290:BD290"/>
    <mergeCell ref="BF290:BJ290"/>
    <mergeCell ref="BK290:BQ290"/>
    <mergeCell ref="BK305:BQ305"/>
    <mergeCell ref="BB300:BD300"/>
    <mergeCell ref="BF300:BJ300"/>
    <mergeCell ref="BK300:BQ300"/>
    <mergeCell ref="CB241:CE241"/>
    <mergeCell ref="CH241:CM241"/>
    <mergeCell ref="BB242:BD242"/>
    <mergeCell ref="BF242:BJ242"/>
    <mergeCell ref="BK242:BQ242"/>
    <mergeCell ref="CB242:CE242"/>
    <mergeCell ref="CH242:CM242"/>
    <mergeCell ref="BB241:BD241"/>
    <mergeCell ref="BB243:BD243"/>
    <mergeCell ref="BF243:BJ243"/>
    <mergeCell ref="BK243:BQ243"/>
    <mergeCell ref="AV5:BC5"/>
    <mergeCell ref="U10:AG10"/>
    <mergeCell ref="AM152:BB152"/>
    <mergeCell ref="AM154:BB154"/>
    <mergeCell ref="BB190:BD190"/>
    <mergeCell ref="BF190:BJ190"/>
    <mergeCell ref="BK190:BQ190"/>
    <mergeCell ref="BB186:BX186"/>
    <mergeCell ref="BB187:BD187"/>
    <mergeCell ref="BE187:BI187"/>
    <mergeCell ref="BB188:BD188"/>
    <mergeCell ref="BF188:BJ188"/>
    <mergeCell ref="BK188:BQ188"/>
    <mergeCell ref="AY147:BB147"/>
    <mergeCell ref="AU148:AX148"/>
    <mergeCell ref="AY148:BB148"/>
    <mergeCell ref="AD140:AP140"/>
    <mergeCell ref="AY140:BB140"/>
    <mergeCell ref="AY141:BB141"/>
    <mergeCell ref="A136:Z136"/>
    <mergeCell ref="AA136:AF136"/>
    <mergeCell ref="AG136:AL136"/>
    <mergeCell ref="BB189:BD189"/>
    <mergeCell ref="BF189:BJ189"/>
    <mergeCell ref="BB178:BX178"/>
    <mergeCell ref="BE179:BI179"/>
    <mergeCell ref="B153:S154"/>
    <mergeCell ref="AD149:AI149"/>
    <mergeCell ref="AJ149:AP149"/>
    <mergeCell ref="AQ149:AT149"/>
    <mergeCell ref="AU149:AX149"/>
    <mergeCell ref="AY149:BB149"/>
    <mergeCell ref="BC150:BD150"/>
    <mergeCell ref="A149:G149"/>
    <mergeCell ref="H149:L149"/>
    <mergeCell ref="M149:Q149"/>
    <mergeCell ref="R149:U149"/>
    <mergeCell ref="V149:Y149"/>
    <mergeCell ref="Z149:AC149"/>
    <mergeCell ref="BC151:BD151"/>
    <mergeCell ref="B152:S152"/>
    <mergeCell ref="BC152:BD152"/>
    <mergeCell ref="BB165:BX165"/>
    <mergeCell ref="BB166:BD166"/>
    <mergeCell ref="BE166:BI166"/>
    <mergeCell ref="BB167:BD167"/>
    <mergeCell ref="BF167:BJ167"/>
    <mergeCell ref="BK167:BQ167"/>
    <mergeCell ref="BB168:BD168"/>
    <mergeCell ref="BF168:BJ168"/>
    <mergeCell ref="BK168:BQ168"/>
    <mergeCell ref="DD198:DF198"/>
    <mergeCell ref="DH198:DL198"/>
    <mergeCell ref="DM198:DS198"/>
    <mergeCell ref="ED198:EF198"/>
    <mergeCell ref="EH198:EL198"/>
    <mergeCell ref="DD194:DZ194"/>
    <mergeCell ref="ED194:EZ194"/>
    <mergeCell ref="DD195:DF195"/>
    <mergeCell ref="DG195:DK195"/>
    <mergeCell ref="ED195:EF195"/>
    <mergeCell ref="EG195:EK195"/>
    <mergeCell ref="DD190:DF190"/>
    <mergeCell ref="DH190:DL190"/>
    <mergeCell ref="DM190:DS190"/>
    <mergeCell ref="ED190:EF190"/>
    <mergeCell ref="EH190:EL190"/>
    <mergeCell ref="EM190:ES190"/>
    <mergeCell ref="DD189:DF189"/>
    <mergeCell ref="DH189:DL189"/>
    <mergeCell ref="DM189:DS189"/>
    <mergeCell ref="EM198:ES198"/>
    <mergeCell ref="DD197:DF197"/>
    <mergeCell ref="DH197:DL197"/>
    <mergeCell ref="DM197:DS197"/>
    <mergeCell ref="ED197:EF197"/>
    <mergeCell ref="EH197:EL197"/>
    <mergeCell ref="EM197:ES197"/>
    <mergeCell ref="DD196:DF196"/>
    <mergeCell ref="DH196:DL196"/>
    <mergeCell ref="DM196:DS196"/>
    <mergeCell ref="ED196:EF196"/>
    <mergeCell ref="EH196:EL196"/>
    <mergeCell ref="EM196:ES196"/>
    <mergeCell ref="ED189:EF189"/>
    <mergeCell ref="EH189:EL189"/>
    <mergeCell ref="EM189:ES189"/>
    <mergeCell ref="DD188:DF188"/>
    <mergeCell ref="DH188:DL188"/>
    <mergeCell ref="DM188:DS188"/>
    <mergeCell ref="ED188:EF188"/>
    <mergeCell ref="EH188:EL188"/>
    <mergeCell ref="EM188:ES188"/>
    <mergeCell ref="DD186:DZ186"/>
    <mergeCell ref="ED186:EZ186"/>
    <mergeCell ref="DD187:DF187"/>
    <mergeCell ref="DG187:DK187"/>
    <mergeCell ref="ED187:EF187"/>
    <mergeCell ref="EG187:EK187"/>
    <mergeCell ref="DD182:DF182"/>
    <mergeCell ref="DH182:DL182"/>
    <mergeCell ref="DM182:DS182"/>
    <mergeCell ref="ED182:EF182"/>
    <mergeCell ref="EH182:EL182"/>
    <mergeCell ref="EM182:ES182"/>
    <mergeCell ref="ED178:EZ178"/>
    <mergeCell ref="DD179:DF179"/>
    <mergeCell ref="DG179:DK179"/>
    <mergeCell ref="ED179:EF179"/>
    <mergeCell ref="EG179:EK179"/>
    <mergeCell ref="ED174:EF174"/>
    <mergeCell ref="EH174:EL174"/>
    <mergeCell ref="EM174:ES174"/>
    <mergeCell ref="DD181:DF181"/>
    <mergeCell ref="DH181:DL181"/>
    <mergeCell ref="DM181:DS181"/>
    <mergeCell ref="ED181:EF181"/>
    <mergeCell ref="EH181:EL181"/>
    <mergeCell ref="EM181:ES181"/>
    <mergeCell ref="DD180:DF180"/>
    <mergeCell ref="DH180:DL180"/>
    <mergeCell ref="DM180:DS180"/>
    <mergeCell ref="ED180:EF180"/>
    <mergeCell ref="EH180:EL180"/>
    <mergeCell ref="EM180:ES180"/>
    <mergeCell ref="DM173:DS173"/>
    <mergeCell ref="ED173:EF173"/>
    <mergeCell ref="EH173:EL173"/>
    <mergeCell ref="EM173:ES173"/>
    <mergeCell ref="FN169:FT169"/>
    <mergeCell ref="DD170:DZ170"/>
    <mergeCell ref="ED170:EZ170"/>
    <mergeCell ref="DD171:DF171"/>
    <mergeCell ref="DG171:DK171"/>
    <mergeCell ref="ED171:EF171"/>
    <mergeCell ref="EG171:EK171"/>
    <mergeCell ref="DM169:DS169"/>
    <mergeCell ref="ED169:EF169"/>
    <mergeCell ref="EH169:EL169"/>
    <mergeCell ref="EM169:ES169"/>
    <mergeCell ref="FE169:FG169"/>
    <mergeCell ref="FI169:FM169"/>
    <mergeCell ref="DM172:DS172"/>
    <mergeCell ref="ED172:EF172"/>
    <mergeCell ref="EH172:EL172"/>
    <mergeCell ref="BB179:BD179"/>
    <mergeCell ref="CB169:CD169"/>
    <mergeCell ref="CF169:CJ169"/>
    <mergeCell ref="CK169:CQ169"/>
    <mergeCell ref="DD169:DF169"/>
    <mergeCell ref="DH169:DL169"/>
    <mergeCell ref="BB169:BD169"/>
    <mergeCell ref="BF169:BJ169"/>
    <mergeCell ref="BK169:BQ169"/>
    <mergeCell ref="DD172:DF172"/>
    <mergeCell ref="DH172:DL172"/>
    <mergeCell ref="DD174:DF174"/>
    <mergeCell ref="DH174:DL174"/>
    <mergeCell ref="BB171:BX171"/>
    <mergeCell ref="BB172:BD172"/>
    <mergeCell ref="BE172:BI172"/>
    <mergeCell ref="BB173:BD173"/>
    <mergeCell ref="BF173:BJ173"/>
    <mergeCell ref="BK173:BQ173"/>
    <mergeCell ref="BB174:BD174"/>
    <mergeCell ref="BF174:BJ174"/>
    <mergeCell ref="DD173:DF173"/>
    <mergeCell ref="DH173:DL173"/>
    <mergeCell ref="DD178:DZ178"/>
    <mergeCell ref="FN167:FT167"/>
    <mergeCell ref="CB168:CD168"/>
    <mergeCell ref="CF168:CJ168"/>
    <mergeCell ref="CK168:CQ168"/>
    <mergeCell ref="DD168:DF168"/>
    <mergeCell ref="DD167:DF167"/>
    <mergeCell ref="DH167:DL167"/>
    <mergeCell ref="DM167:DS167"/>
    <mergeCell ref="ED167:EF167"/>
    <mergeCell ref="EH167:EL167"/>
    <mergeCell ref="EM167:ES167"/>
    <mergeCell ref="FI168:FM168"/>
    <mergeCell ref="FN168:FT168"/>
    <mergeCell ref="DM168:DS168"/>
    <mergeCell ref="ED168:EF168"/>
    <mergeCell ref="EH168:EL168"/>
    <mergeCell ref="EM168:ES168"/>
    <mergeCell ref="FE168:FG168"/>
    <mergeCell ref="DH168:DL168"/>
    <mergeCell ref="ED166:EF166"/>
    <mergeCell ref="EG166:EK166"/>
    <mergeCell ref="FE166:FG166"/>
    <mergeCell ref="FH166:FL166"/>
    <mergeCell ref="BB177:BD177"/>
    <mergeCell ref="BF177:BJ177"/>
    <mergeCell ref="BK177:BQ177"/>
    <mergeCell ref="CB167:CD167"/>
    <mergeCell ref="CF167:CJ167"/>
    <mergeCell ref="CK167:CQ167"/>
    <mergeCell ref="BB176:BD176"/>
    <mergeCell ref="BE176:BI176"/>
    <mergeCell ref="CB166:CD166"/>
    <mergeCell ref="CE166:CI166"/>
    <mergeCell ref="DD166:DF166"/>
    <mergeCell ref="DG166:DK166"/>
    <mergeCell ref="FE167:FG167"/>
    <mergeCell ref="FI167:FM167"/>
    <mergeCell ref="EM172:ES172"/>
    <mergeCell ref="BK174:BQ174"/>
    <mergeCell ref="BB175:BD175"/>
    <mergeCell ref="BF175:BJ175"/>
    <mergeCell ref="BK175:BQ175"/>
    <mergeCell ref="DM174:DS174"/>
    <mergeCell ref="FN161:FT161"/>
    <mergeCell ref="BB160:BD160"/>
    <mergeCell ref="BF160:BJ160"/>
    <mergeCell ref="BK160:BQ160"/>
    <mergeCell ref="CB160:CD160"/>
    <mergeCell ref="CF160:CJ160"/>
    <mergeCell ref="CK160:CQ160"/>
    <mergeCell ref="DD160:DF160"/>
    <mergeCell ref="BB170:BX170"/>
    <mergeCell ref="CB165:CX165"/>
    <mergeCell ref="DD165:DZ165"/>
    <mergeCell ref="ED165:EZ165"/>
    <mergeCell ref="FE165:GA165"/>
    <mergeCell ref="DM161:DS161"/>
    <mergeCell ref="ED161:EF161"/>
    <mergeCell ref="EH161:EL161"/>
    <mergeCell ref="EM161:ES161"/>
    <mergeCell ref="FE161:FG161"/>
    <mergeCell ref="FI161:FM161"/>
    <mergeCell ref="BB161:BD161"/>
    <mergeCell ref="BF161:BJ161"/>
    <mergeCell ref="BK161:BQ161"/>
    <mergeCell ref="CB161:CD161"/>
    <mergeCell ref="CF161:CJ161"/>
    <mergeCell ref="DD161:DF161"/>
    <mergeCell ref="DH161:DL161"/>
    <mergeCell ref="DH160:DL160"/>
    <mergeCell ref="BB159:BD159"/>
    <mergeCell ref="BF159:BJ159"/>
    <mergeCell ref="BK159:BQ159"/>
    <mergeCell ref="CB159:CD159"/>
    <mergeCell ref="CF159:CJ159"/>
    <mergeCell ref="CK159:CQ159"/>
    <mergeCell ref="CK161:CQ161"/>
    <mergeCell ref="FI160:FM160"/>
    <mergeCell ref="FN160:FT160"/>
    <mergeCell ref="DM160:DS160"/>
    <mergeCell ref="ED160:EF160"/>
    <mergeCell ref="EH160:EL160"/>
    <mergeCell ref="EM160:ES160"/>
    <mergeCell ref="FE160:FG160"/>
    <mergeCell ref="FI159:FM159"/>
    <mergeCell ref="FN159:FT159"/>
    <mergeCell ref="DM159:DS159"/>
    <mergeCell ref="ED159:EF159"/>
    <mergeCell ref="EH159:EL159"/>
    <mergeCell ref="EM159:ES159"/>
    <mergeCell ref="DD157:DZ157"/>
    <mergeCell ref="ED157:EZ157"/>
    <mergeCell ref="FE157:GA157"/>
    <mergeCell ref="FH158:FL158"/>
    <mergeCell ref="DD159:DF159"/>
    <mergeCell ref="DH159:DL159"/>
    <mergeCell ref="BB158:BD158"/>
    <mergeCell ref="BE158:BI158"/>
    <mergeCell ref="CB158:CD158"/>
    <mergeCell ref="CE158:CI158"/>
    <mergeCell ref="DD158:DF158"/>
    <mergeCell ref="DG158:DK158"/>
    <mergeCell ref="ED158:EF158"/>
    <mergeCell ref="EG158:EK158"/>
    <mergeCell ref="FE158:FG158"/>
    <mergeCell ref="FE159:FG159"/>
    <mergeCell ref="BB157:BX157"/>
    <mergeCell ref="CB157:CX157"/>
    <mergeCell ref="A148:F148"/>
    <mergeCell ref="H148:L148"/>
    <mergeCell ref="M148:Q148"/>
    <mergeCell ref="R148:U148"/>
    <mergeCell ref="V148:Y148"/>
    <mergeCell ref="Z148:AC148"/>
    <mergeCell ref="AD148:AI148"/>
    <mergeCell ref="AJ148:AP148"/>
    <mergeCell ref="AQ148:AT148"/>
    <mergeCell ref="M145:Q145"/>
    <mergeCell ref="AD145:AI145"/>
    <mergeCell ref="AJ145:AP145"/>
    <mergeCell ref="AQ145:AT145"/>
    <mergeCell ref="AU145:AX145"/>
    <mergeCell ref="AY145:BB145"/>
    <mergeCell ref="AU146:AX146"/>
    <mergeCell ref="AY146:BB146"/>
    <mergeCell ref="A147:G147"/>
    <mergeCell ref="H147:L147"/>
    <mergeCell ref="M147:Q147"/>
    <mergeCell ref="R147:U147"/>
    <mergeCell ref="V147:Y147"/>
    <mergeCell ref="Z147:AC147"/>
    <mergeCell ref="AD147:AI147"/>
    <mergeCell ref="AJ147:AP147"/>
    <mergeCell ref="A146:G146"/>
    <mergeCell ref="H146:L146"/>
    <mergeCell ref="M146:Q146"/>
    <mergeCell ref="AD146:AI146"/>
    <mergeCell ref="AJ146:AP146"/>
    <mergeCell ref="AQ146:AT146"/>
    <mergeCell ref="AQ147:AT147"/>
    <mergeCell ref="AU147:AX147"/>
    <mergeCell ref="A140:G141"/>
    <mergeCell ref="AU142:AX142"/>
    <mergeCell ref="AY142:BB142"/>
    <mergeCell ref="A143:G143"/>
    <mergeCell ref="H143:L143"/>
    <mergeCell ref="M143:Q143"/>
    <mergeCell ref="R143:U146"/>
    <mergeCell ref="V143:Y146"/>
    <mergeCell ref="Z143:AC146"/>
    <mergeCell ref="AD143:AI143"/>
    <mergeCell ref="AJ143:AP143"/>
    <mergeCell ref="AQ143:AT143"/>
    <mergeCell ref="AU143:AX143"/>
    <mergeCell ref="AY143:BB143"/>
    <mergeCell ref="A144:G144"/>
    <mergeCell ref="H144:L144"/>
    <mergeCell ref="M144:Q144"/>
    <mergeCell ref="AD144:AI144"/>
    <mergeCell ref="AJ144:AP144"/>
    <mergeCell ref="AQ144:AT144"/>
    <mergeCell ref="AU144:AX144"/>
    <mergeCell ref="AY144:BB144"/>
    <mergeCell ref="A145:G145"/>
    <mergeCell ref="H145:L145"/>
    <mergeCell ref="A142:G142"/>
    <mergeCell ref="H142:L142"/>
    <mergeCell ref="M142:Q142"/>
    <mergeCell ref="R142:U142"/>
    <mergeCell ref="V142:Y142"/>
    <mergeCell ref="Z142:AC142"/>
    <mergeCell ref="AD142:AI142"/>
    <mergeCell ref="AJ142:AP142"/>
    <mergeCell ref="AQ142:AT142"/>
    <mergeCell ref="H141:L141"/>
    <mergeCell ref="M141:Q141"/>
    <mergeCell ref="AD141:AI141"/>
    <mergeCell ref="AJ141:AP141"/>
    <mergeCell ref="AQ141:AT141"/>
    <mergeCell ref="AU141:AX141"/>
    <mergeCell ref="H140:L140"/>
    <mergeCell ref="M140:Q140"/>
    <mergeCell ref="R140:U141"/>
    <mergeCell ref="V140:Y141"/>
    <mergeCell ref="Z140:AC141"/>
    <mergeCell ref="AQ140:AT140"/>
    <mergeCell ref="AU140:AX140"/>
    <mergeCell ref="AM136:AT136"/>
    <mergeCell ref="AU136:BB136"/>
    <mergeCell ref="AU132:BB132"/>
    <mergeCell ref="A133:Z133"/>
    <mergeCell ref="AA133:AF133"/>
    <mergeCell ref="AU133:BB133"/>
    <mergeCell ref="A134:Z134"/>
    <mergeCell ref="AA134:AF134"/>
    <mergeCell ref="AU134:BB134"/>
    <mergeCell ref="A130:Z130"/>
    <mergeCell ref="AA130:AF130"/>
    <mergeCell ref="AG130:AL135"/>
    <mergeCell ref="AM130:AT135"/>
    <mergeCell ref="AU130:BB130"/>
    <mergeCell ref="A131:Z131"/>
    <mergeCell ref="AA131:AF131"/>
    <mergeCell ref="AU131:BB131"/>
    <mergeCell ref="A132:Z132"/>
    <mergeCell ref="AA132:AF132"/>
    <mergeCell ref="A135:Z135"/>
    <mergeCell ref="AA135:AF135"/>
    <mergeCell ref="AU135:BB135"/>
    <mergeCell ref="A128:Z128"/>
    <mergeCell ref="AA128:AF128"/>
    <mergeCell ref="AG128:AL128"/>
    <mergeCell ref="AM128:AT128"/>
    <mergeCell ref="AU128:BB128"/>
    <mergeCell ref="A129:Z129"/>
    <mergeCell ref="AA129:AF129"/>
    <mergeCell ref="AG129:AL129"/>
    <mergeCell ref="AM129:AT129"/>
    <mergeCell ref="AU129:BB129"/>
    <mergeCell ref="A123:Z123"/>
    <mergeCell ref="AA123:AF123"/>
    <mergeCell ref="AU123:BB123"/>
    <mergeCell ref="A124:Z124"/>
    <mergeCell ref="AA124:AF124"/>
    <mergeCell ref="AG124:AL124"/>
    <mergeCell ref="AM124:AT124"/>
    <mergeCell ref="AU124:BB124"/>
    <mergeCell ref="A121:Z121"/>
    <mergeCell ref="AA121:AF121"/>
    <mergeCell ref="AU121:BB121"/>
    <mergeCell ref="A122:Z122"/>
    <mergeCell ref="AA122:AF122"/>
    <mergeCell ref="AU122:BB122"/>
    <mergeCell ref="A119:Z119"/>
    <mergeCell ref="AA119:AF119"/>
    <mergeCell ref="AU119:BB119"/>
    <mergeCell ref="A120:Z120"/>
    <mergeCell ref="AA120:AF120"/>
    <mergeCell ref="AU120:BB120"/>
    <mergeCell ref="A117:Z117"/>
    <mergeCell ref="AA117:AF117"/>
    <mergeCell ref="AU117:BB117"/>
    <mergeCell ref="A118:Z118"/>
    <mergeCell ref="AA118:AF118"/>
    <mergeCell ref="AU118:BB118"/>
    <mergeCell ref="AU110:BB110"/>
    <mergeCell ref="A115:Z115"/>
    <mergeCell ref="AA115:AF115"/>
    <mergeCell ref="AU115:BB115"/>
    <mergeCell ref="A116:Z116"/>
    <mergeCell ref="AA116:AF116"/>
    <mergeCell ref="AU116:BB116"/>
    <mergeCell ref="A113:Z113"/>
    <mergeCell ref="AA113:AF113"/>
    <mergeCell ref="AU113:BB113"/>
    <mergeCell ref="A114:Z114"/>
    <mergeCell ref="AA114:AF114"/>
    <mergeCell ref="AU114:BB114"/>
    <mergeCell ref="A108:Z108"/>
    <mergeCell ref="AA108:AF108"/>
    <mergeCell ref="AU108:BB108"/>
    <mergeCell ref="A104:Z104"/>
    <mergeCell ref="AA104:AF104"/>
    <mergeCell ref="AG104:AL123"/>
    <mergeCell ref="AM104:AT123"/>
    <mergeCell ref="AU104:BB104"/>
    <mergeCell ref="A105:Z105"/>
    <mergeCell ref="AA105:AF105"/>
    <mergeCell ref="AU105:BB105"/>
    <mergeCell ref="A106:Z106"/>
    <mergeCell ref="AA106:AF106"/>
    <mergeCell ref="A111:Z111"/>
    <mergeCell ref="AA111:AF111"/>
    <mergeCell ref="AU111:BB111"/>
    <mergeCell ref="A112:Z112"/>
    <mergeCell ref="AA112:AF112"/>
    <mergeCell ref="AU112:BB112"/>
    <mergeCell ref="A109:Z109"/>
    <mergeCell ref="AA109:AF109"/>
    <mergeCell ref="AU109:BB109"/>
    <mergeCell ref="A110:Z110"/>
    <mergeCell ref="AA110:AF110"/>
    <mergeCell ref="A103:Z103"/>
    <mergeCell ref="AA103:AF103"/>
    <mergeCell ref="AG103:AL103"/>
    <mergeCell ref="AM103:AT103"/>
    <mergeCell ref="AU103:BB103"/>
    <mergeCell ref="AU106:BB106"/>
    <mergeCell ref="A107:Z107"/>
    <mergeCell ref="AA107:AF107"/>
    <mergeCell ref="AU107:BB107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O84:AR84"/>
    <mergeCell ref="AS84:AW84"/>
    <mergeCell ref="AX84:BB84"/>
    <mergeCell ref="A86:N86"/>
    <mergeCell ref="O86:AN86"/>
    <mergeCell ref="AO86:AU86"/>
    <mergeCell ref="AV86:BB86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X78:BB82"/>
    <mergeCell ref="H79:M79"/>
    <mergeCell ref="N79:P79"/>
    <mergeCell ref="R79:V79"/>
    <mergeCell ref="I81:K81"/>
    <mergeCell ref="M81:O81"/>
    <mergeCell ref="Q81:S81"/>
    <mergeCell ref="AS83:AW83"/>
    <mergeCell ref="AX83:BB83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AX73:BB77"/>
    <mergeCell ref="H74:M74"/>
    <mergeCell ref="N74:P74"/>
    <mergeCell ref="R74:V74"/>
    <mergeCell ref="I76:K76"/>
    <mergeCell ref="AH68:AM72"/>
    <mergeCell ref="AN68:AR72"/>
    <mergeCell ref="AS68:AW72"/>
    <mergeCell ref="AX68:BB72"/>
    <mergeCell ref="H69:M69"/>
    <mergeCell ref="N69:P69"/>
    <mergeCell ref="R69:V69"/>
    <mergeCell ref="I71:K71"/>
    <mergeCell ref="M71:O71"/>
    <mergeCell ref="Q71:S71"/>
    <mergeCell ref="M76:O76"/>
    <mergeCell ref="Q76:S76"/>
    <mergeCell ref="U76:W76"/>
    <mergeCell ref="Z76:AB76"/>
    <mergeCell ref="A68:G72"/>
    <mergeCell ref="AC68:AG72"/>
    <mergeCell ref="U71:W71"/>
    <mergeCell ref="Z71:AB71"/>
    <mergeCell ref="A63:G67"/>
    <mergeCell ref="AC63:AG67"/>
    <mergeCell ref="AH73:AM77"/>
    <mergeCell ref="AN73:AR77"/>
    <mergeCell ref="AS73:AW77"/>
    <mergeCell ref="AH63:AM67"/>
    <mergeCell ref="AN63:AR67"/>
    <mergeCell ref="AS63:AW67"/>
    <mergeCell ref="AX63:BB67"/>
    <mergeCell ref="H64:M64"/>
    <mergeCell ref="N64:P64"/>
    <mergeCell ref="R64:V64"/>
    <mergeCell ref="I66:K66"/>
    <mergeCell ref="R59:V59"/>
    <mergeCell ref="Z61:AB61"/>
    <mergeCell ref="M66:O66"/>
    <mergeCell ref="Q66:S66"/>
    <mergeCell ref="U66:W66"/>
    <mergeCell ref="Z66:AB66"/>
    <mergeCell ref="A12:S12"/>
    <mergeCell ref="U12:W12"/>
    <mergeCell ref="A14:S14"/>
    <mergeCell ref="U14:W14"/>
    <mergeCell ref="A16:S16"/>
    <mergeCell ref="A37:G39"/>
    <mergeCell ref="H37:AB39"/>
    <mergeCell ref="AC37:AG39"/>
    <mergeCell ref="AH37:AM39"/>
    <mergeCell ref="A20:G22"/>
    <mergeCell ref="H20:AB22"/>
    <mergeCell ref="AC20:AG22"/>
    <mergeCell ref="AH20:AM22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U16:W16"/>
    <mergeCell ref="A7:BA7"/>
    <mergeCell ref="A8:BA8"/>
    <mergeCell ref="C10:E10"/>
    <mergeCell ref="G10:L10"/>
    <mergeCell ref="N10:Q10"/>
    <mergeCell ref="AH10:AI10"/>
    <mergeCell ref="AJ10:AL10"/>
    <mergeCell ref="AN10:AT10"/>
    <mergeCell ref="AV10:AY10"/>
    <mergeCell ref="Y16:AA16"/>
    <mergeCell ref="AX19:BB19"/>
    <mergeCell ref="AN37:AR39"/>
    <mergeCell ref="AS37:AW39"/>
    <mergeCell ref="A40:BB4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N20:AR22"/>
    <mergeCell ref="AS20:AW22"/>
    <mergeCell ref="AX20:BB22"/>
    <mergeCell ref="H34:M34"/>
    <mergeCell ref="AS34:AW34"/>
    <mergeCell ref="AX34:BB34"/>
    <mergeCell ref="AO35:AR35"/>
    <mergeCell ref="AS35:AW35"/>
    <mergeCell ref="AX35:BB35"/>
    <mergeCell ref="AX37:BB39"/>
    <mergeCell ref="H51:K51"/>
    <mergeCell ref="AS51:AW51"/>
    <mergeCell ref="AX51:BB51"/>
    <mergeCell ref="AO52:AR52"/>
    <mergeCell ref="AS52:AW52"/>
    <mergeCell ref="AX52:BB52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H61:X61"/>
    <mergeCell ref="BB180:BD180"/>
    <mergeCell ref="BF180:BJ180"/>
    <mergeCell ref="BK180:BQ180"/>
    <mergeCell ref="BB181:BD181"/>
    <mergeCell ref="BF181:BJ181"/>
    <mergeCell ref="BK189:BQ189"/>
    <mergeCell ref="CB189:CE189"/>
    <mergeCell ref="CH189:CM189"/>
    <mergeCell ref="BB182:BD182"/>
    <mergeCell ref="BF182:BJ182"/>
    <mergeCell ref="BK182:BQ182"/>
    <mergeCell ref="BK181:BQ181"/>
    <mergeCell ref="CB188:CE188"/>
    <mergeCell ref="CH188:CM188"/>
    <mergeCell ref="CB180:CE180"/>
    <mergeCell ref="CB181:CE181"/>
    <mergeCell ref="CH180:CM180"/>
    <mergeCell ref="CH181:CM181"/>
    <mergeCell ref="CB196:CE196"/>
    <mergeCell ref="CH196:CM196"/>
    <mergeCell ref="BB197:BD197"/>
    <mergeCell ref="BF197:BJ197"/>
    <mergeCell ref="BK197:BQ197"/>
    <mergeCell ref="CB197:CE197"/>
    <mergeCell ref="CH197:CM197"/>
    <mergeCell ref="BB203:BX203"/>
    <mergeCell ref="BB204:BD204"/>
    <mergeCell ref="BE204:BI204"/>
    <mergeCell ref="BF207:BJ207"/>
    <mergeCell ref="BK207:BQ207"/>
    <mergeCell ref="BB198:BD198"/>
    <mergeCell ref="BF198:BJ198"/>
    <mergeCell ref="BK198:BQ198"/>
    <mergeCell ref="BB194:BX194"/>
    <mergeCell ref="BB195:BD195"/>
    <mergeCell ref="BE195:BI195"/>
    <mergeCell ref="BB196:BD196"/>
    <mergeCell ref="BF196:BJ196"/>
    <mergeCell ref="BK196:BQ196"/>
    <mergeCell ref="BB205:BD205"/>
    <mergeCell ref="BF205:BJ205"/>
    <mergeCell ref="BK205:BQ205"/>
    <mergeCell ref="BB221:BD221"/>
    <mergeCell ref="CB219:CE219"/>
    <mergeCell ref="CH219:CM219"/>
    <mergeCell ref="BB220:BD220"/>
    <mergeCell ref="BF220:BJ220"/>
    <mergeCell ref="BK220:BQ220"/>
    <mergeCell ref="CB220:CE220"/>
    <mergeCell ref="CH220:CM220"/>
    <mergeCell ref="BB217:BX217"/>
    <mergeCell ref="BB218:BD218"/>
    <mergeCell ref="BE218:BI218"/>
    <mergeCell ref="BB219:BD219"/>
    <mergeCell ref="BF219:BJ219"/>
    <mergeCell ref="BK219:BQ219"/>
    <mergeCell ref="BF221:BJ221"/>
    <mergeCell ref="BK221:BQ221"/>
    <mergeCell ref="CB205:CE205"/>
    <mergeCell ref="CH205:CM205"/>
    <mergeCell ref="BB206:BD206"/>
    <mergeCell ref="BF206:BJ206"/>
    <mergeCell ref="BK206:BQ206"/>
    <mergeCell ref="CB206:CE206"/>
    <mergeCell ref="CH206:CM206"/>
    <mergeCell ref="BB207:BD207"/>
    <mergeCell ref="BF235:BJ235"/>
    <mergeCell ref="CB226:CE226"/>
    <mergeCell ref="CH226:CM226"/>
    <mergeCell ref="BB227:BD227"/>
    <mergeCell ref="BF227:BJ227"/>
    <mergeCell ref="BK227:BQ227"/>
    <mergeCell ref="CB227:CE227"/>
    <mergeCell ref="CH227:CM227"/>
    <mergeCell ref="CB234:CE234"/>
    <mergeCell ref="CH234:CM234"/>
    <mergeCell ref="BK235:BQ235"/>
    <mergeCell ref="CB235:CE235"/>
    <mergeCell ref="CH235:CM235"/>
    <mergeCell ref="BK234:BQ234"/>
    <mergeCell ref="BB235:BD235"/>
    <mergeCell ref="BB226:BD226"/>
    <mergeCell ref="BB264:BD264"/>
    <mergeCell ref="BE264:BI264"/>
    <mergeCell ref="BB265:BD265"/>
    <mergeCell ref="BF265:BJ265"/>
    <mergeCell ref="BK265:BQ265"/>
    <mergeCell ref="BF226:BJ226"/>
    <mergeCell ref="BK226:BQ226"/>
    <mergeCell ref="BB239:BX239"/>
    <mergeCell ref="BB240:BD240"/>
    <mergeCell ref="BE240:BI240"/>
    <mergeCell ref="BB228:BD228"/>
    <mergeCell ref="BF228:BJ228"/>
    <mergeCell ref="BK228:BQ228"/>
    <mergeCell ref="BB236:BD236"/>
    <mergeCell ref="BF236:BJ236"/>
    <mergeCell ref="BK236:BQ236"/>
    <mergeCell ref="BB232:BX232"/>
    <mergeCell ref="BB233:BD233"/>
    <mergeCell ref="BE233:BI233"/>
    <mergeCell ref="BB234:BD234"/>
    <mergeCell ref="BF234:BJ234"/>
    <mergeCell ref="BF241:BJ241"/>
    <mergeCell ref="BK241:BQ241"/>
    <mergeCell ref="BB251:BD251"/>
    <mergeCell ref="CH273:CM273"/>
    <mergeCell ref="BB274:BD274"/>
    <mergeCell ref="BF274:BJ274"/>
    <mergeCell ref="BK274:BQ274"/>
    <mergeCell ref="CB274:CE274"/>
    <mergeCell ref="CH266:CM266"/>
    <mergeCell ref="BB250:BD250"/>
    <mergeCell ref="BF250:BJ250"/>
    <mergeCell ref="BK250:BQ250"/>
    <mergeCell ref="CB250:CE250"/>
    <mergeCell ref="CH250:CM250"/>
    <mergeCell ref="CB257:CE257"/>
    <mergeCell ref="CH257:CM257"/>
    <mergeCell ref="BB258:BD258"/>
    <mergeCell ref="BF258:BJ258"/>
    <mergeCell ref="BK258:BQ258"/>
    <mergeCell ref="CB258:CE258"/>
    <mergeCell ref="CH258:CM258"/>
    <mergeCell ref="CB265:CE265"/>
    <mergeCell ref="CH265:CM265"/>
    <mergeCell ref="BB266:BD266"/>
    <mergeCell ref="BF266:BJ266"/>
    <mergeCell ref="BK266:BQ266"/>
    <mergeCell ref="BB263:BX263"/>
    <mergeCell ref="BB275:BD275"/>
    <mergeCell ref="BF275:BJ275"/>
    <mergeCell ref="BK275:BQ275"/>
    <mergeCell ref="BB284:BD284"/>
    <mergeCell ref="BF284:BJ284"/>
    <mergeCell ref="BK284:BQ284"/>
    <mergeCell ref="BB280:BX280"/>
    <mergeCell ref="CB266:CE266"/>
    <mergeCell ref="BB271:BX271"/>
    <mergeCell ref="BB272:BD272"/>
    <mergeCell ref="BE272:BI272"/>
    <mergeCell ref="BB267:BD267"/>
    <mergeCell ref="BF267:BJ267"/>
    <mergeCell ref="BK267:BQ267"/>
    <mergeCell ref="BB273:BD273"/>
    <mergeCell ref="BF273:BJ273"/>
    <mergeCell ref="BK273:BQ273"/>
    <mergeCell ref="CB273:CE273"/>
    <mergeCell ref="BF283:BJ283"/>
    <mergeCell ref="BK283:BQ283"/>
    <mergeCell ref="CB283:CE283"/>
    <mergeCell ref="BB330:BD330"/>
    <mergeCell ref="BF330:BJ330"/>
    <mergeCell ref="BK330:BQ330"/>
    <mergeCell ref="CB330:CE330"/>
    <mergeCell ref="CH330:CM330"/>
    <mergeCell ref="BB315:BD315"/>
    <mergeCell ref="BF315:BJ315"/>
    <mergeCell ref="BK315:BQ315"/>
    <mergeCell ref="CB321:CE321"/>
    <mergeCell ref="CH321:CM321"/>
    <mergeCell ref="BB322:BD322"/>
    <mergeCell ref="BF322:BJ322"/>
    <mergeCell ref="BK322:BQ322"/>
    <mergeCell ref="CB322:CE322"/>
    <mergeCell ref="CH322:CM322"/>
    <mergeCell ref="BB323:BD323"/>
    <mergeCell ref="BF323:BJ323"/>
    <mergeCell ref="BK323:BQ323"/>
    <mergeCell ref="BB319:BX319"/>
    <mergeCell ref="BB320:BD320"/>
    <mergeCell ref="BE320:BI320"/>
    <mergeCell ref="BB321:BD321"/>
    <mergeCell ref="BF321:BJ321"/>
    <mergeCell ref="BK321:BQ321"/>
    <mergeCell ref="BB224:BX224"/>
    <mergeCell ref="BB225:BD225"/>
    <mergeCell ref="BE225:BI225"/>
    <mergeCell ref="BB312:BD312"/>
    <mergeCell ref="BE312:BI312"/>
    <mergeCell ref="CB329:CE329"/>
    <mergeCell ref="CH329:CM329"/>
    <mergeCell ref="BB313:BD313"/>
    <mergeCell ref="BF313:BJ313"/>
    <mergeCell ref="BK313:BQ313"/>
    <mergeCell ref="BF314:BJ314"/>
    <mergeCell ref="BK314:BQ314"/>
    <mergeCell ref="CB314:CE314"/>
    <mergeCell ref="CH314:CM314"/>
    <mergeCell ref="CH274:CM274"/>
    <mergeCell ref="CB282:CE282"/>
    <mergeCell ref="CH282:CM282"/>
    <mergeCell ref="BB283:BD283"/>
    <mergeCell ref="BB292:BD292"/>
    <mergeCell ref="BF292:BJ292"/>
    <mergeCell ref="BK292:BQ292"/>
    <mergeCell ref="BB288:BX288"/>
    <mergeCell ref="CH283:CM283"/>
    <mergeCell ref="CH290:CM290"/>
    <mergeCell ref="CB335:CE335"/>
    <mergeCell ref="CH335:CM335"/>
    <mergeCell ref="BB336:BD336"/>
    <mergeCell ref="BF336:BJ336"/>
    <mergeCell ref="BK336:BQ336"/>
    <mergeCell ref="CB336:CE336"/>
    <mergeCell ref="CH336:CM336"/>
    <mergeCell ref="AQ2:BC2"/>
    <mergeCell ref="BB331:BD331"/>
    <mergeCell ref="BF331:BJ331"/>
    <mergeCell ref="BK331:BQ331"/>
    <mergeCell ref="BB327:BX327"/>
    <mergeCell ref="BB328:BD328"/>
    <mergeCell ref="BE328:BI328"/>
    <mergeCell ref="BB329:BD329"/>
    <mergeCell ref="BF329:BJ329"/>
    <mergeCell ref="BK329:BQ329"/>
    <mergeCell ref="BK306:BQ306"/>
    <mergeCell ref="BB296:BX296"/>
    <mergeCell ref="BB297:BD297"/>
    <mergeCell ref="BE297:BI297"/>
    <mergeCell ref="BB298:BD298"/>
    <mergeCell ref="BF298:BJ298"/>
    <mergeCell ref="BK298:BQ298"/>
    <mergeCell ref="BB337:BD337"/>
    <mergeCell ref="BF337:BJ337"/>
    <mergeCell ref="BK337:BQ337"/>
    <mergeCell ref="BB333:BX333"/>
    <mergeCell ref="BB334:BD334"/>
    <mergeCell ref="BE334:BI334"/>
    <mergeCell ref="BB335:BD335"/>
    <mergeCell ref="BF335:BJ335"/>
    <mergeCell ref="BK335:BQ335"/>
  </mergeCells>
  <pageMargins left="0" right="0" top="0" bottom="0" header="0.31496062992125984" footer="0.31496062992125984"/>
  <pageSetup paperSize="9" scale="76" fitToHeight="0" orientation="portrait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CL212"/>
  <sheetViews>
    <sheetView topLeftCell="A139" zoomScale="90" zoomScaleNormal="90" workbookViewId="0">
      <selection sqref="A1:BD156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5" width="1.85546875" style="117"/>
    <col min="26" max="26" width="9.85546875" style="117" bestFit="1" customWidth="1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4.42578125" style="117" customWidth="1"/>
    <col min="55" max="55" width="4.5703125" style="117" customWidth="1"/>
    <col min="56" max="59" width="4.140625" style="117" customWidth="1"/>
    <col min="60" max="60" width="9.7109375" style="117" customWidth="1"/>
    <col min="61" max="75" width="4.140625" style="117" customWidth="1"/>
    <col min="76" max="76" width="6.5703125" style="117" customWidth="1"/>
    <col min="77" max="77" width="4.140625" style="117" customWidth="1"/>
    <col min="78" max="85" width="1.85546875" style="117" customWidth="1"/>
    <col min="86" max="99" width="1.85546875" style="117"/>
    <col min="100" max="100" width="10" style="117" customWidth="1"/>
    <col min="101" max="16384" width="1.85546875" style="117"/>
  </cols>
  <sheetData>
    <row r="1" spans="1:54" s="100" customFormat="1" ht="15" customHeight="1" x14ac:dyDescent="0.25">
      <c r="AW1" s="100" t="s">
        <v>83</v>
      </c>
    </row>
    <row r="2" spans="1:54" s="100" customFormat="1" ht="15" x14ac:dyDescent="0.25">
      <c r="AQ2" s="1323" t="s">
        <v>217</v>
      </c>
      <c r="AR2" s="1323"/>
      <c r="AS2" s="1323"/>
      <c r="AT2" s="1300"/>
      <c r="AU2" s="1300"/>
      <c r="AV2" s="1" t="s">
        <v>218</v>
      </c>
      <c r="AW2" s="1300"/>
      <c r="AX2" s="1300"/>
      <c r="AY2" s="1300"/>
      <c r="AZ2" s="1300"/>
      <c r="BA2" s="1300"/>
      <c r="BB2" s="1300"/>
    </row>
    <row r="3" spans="1:54" s="100" customFormat="1" ht="15" customHeight="1" x14ac:dyDescent="0.25">
      <c r="AQ3" s="100" t="s">
        <v>91</v>
      </c>
    </row>
    <row r="4" spans="1:54" s="100" customFormat="1" ht="5.0999999999999996" customHeight="1" x14ac:dyDescent="0.25"/>
    <row r="5" spans="1:54" s="100" customFormat="1" ht="15" customHeight="1" x14ac:dyDescent="0.25">
      <c r="AM5" s="157"/>
      <c r="AN5" s="157"/>
      <c r="AO5" s="157"/>
      <c r="AP5" s="157"/>
      <c r="AQ5" s="156"/>
      <c r="AR5" s="156"/>
      <c r="AS5" s="156"/>
      <c r="AT5" s="156"/>
      <c r="AU5" s="156"/>
      <c r="AV5" s="156"/>
      <c r="AW5" s="157" t="s">
        <v>515</v>
      </c>
    </row>
    <row r="6" spans="1:54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4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4" s="100" customFormat="1" ht="15" customHeight="1" x14ac:dyDescent="0.25">
      <c r="A8" s="756" t="s">
        <v>207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4" s="100" customFormat="1" ht="5.0999999999999996" customHeight="1" x14ac:dyDescent="0.25">
      <c r="A9" s="158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756" t="s">
        <v>115</v>
      </c>
      <c r="V9" s="443"/>
      <c r="W9" s="443"/>
      <c r="X9" s="443"/>
      <c r="Y9" s="443"/>
      <c r="Z9" s="443"/>
      <c r="AA9" s="443"/>
      <c r="AB9" s="443"/>
      <c r="AC9" s="443"/>
      <c r="AD9" s="443"/>
      <c r="AE9" s="443"/>
      <c r="AF9" s="443"/>
      <c r="AG9" s="443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</row>
    <row r="10" spans="1:54" s="100" customFormat="1" ht="15" customHeight="1" x14ac:dyDescent="0.25">
      <c r="A10" s="158"/>
      <c r="B10" s="158" t="s">
        <v>113</v>
      </c>
      <c r="C10" s="757">
        <v>1</v>
      </c>
      <c r="D10" s="757"/>
      <c r="E10" s="757"/>
      <c r="F10" s="158"/>
      <c r="G10" s="757" t="s">
        <v>309</v>
      </c>
      <c r="H10" s="757"/>
      <c r="I10" s="757"/>
      <c r="J10" s="757"/>
      <c r="K10" s="757"/>
      <c r="L10" s="757"/>
      <c r="M10" s="158"/>
      <c r="N10" s="756">
        <v>2020</v>
      </c>
      <c r="O10" s="756"/>
      <c r="P10" s="756"/>
      <c r="Q10" s="756"/>
      <c r="R10" s="158"/>
      <c r="S10" s="158" t="s">
        <v>114</v>
      </c>
      <c r="T10" s="158"/>
      <c r="U10" s="443"/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758"/>
      <c r="AI10" s="758"/>
      <c r="AJ10" s="757">
        <v>31</v>
      </c>
      <c r="AK10" s="757"/>
      <c r="AL10" s="757"/>
      <c r="AM10" s="158"/>
      <c r="AN10" s="757" t="s">
        <v>116</v>
      </c>
      <c r="AO10" s="757"/>
      <c r="AP10" s="757"/>
      <c r="AQ10" s="757"/>
      <c r="AR10" s="757"/>
      <c r="AS10" s="757"/>
      <c r="AT10" s="757"/>
      <c r="AU10" s="158"/>
      <c r="AV10" s="756">
        <v>2021</v>
      </c>
      <c r="AW10" s="756"/>
      <c r="AX10" s="756"/>
      <c r="AY10" s="756"/>
      <c r="AZ10" s="158"/>
      <c r="BA10" s="158" t="s">
        <v>114</v>
      </c>
    </row>
    <row r="11" spans="1:54" s="82" customFormat="1" ht="5.0999999999999996" customHeight="1" x14ac:dyDescent="0.2"/>
    <row r="12" spans="1:54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36</v>
      </c>
      <c r="V12" s="761"/>
      <c r="W12" s="761"/>
    </row>
    <row r="13" spans="1:54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4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1">
        <v>24</v>
      </c>
      <c r="V14" s="761"/>
      <c r="W14" s="761"/>
    </row>
    <row r="15" spans="1:54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4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2</v>
      </c>
      <c r="V16" s="761"/>
      <c r="W16" s="761"/>
      <c r="X16" s="83" t="s">
        <v>4</v>
      </c>
      <c r="Y16" s="761">
        <v>12</v>
      </c>
      <c r="Z16" s="761"/>
      <c r="AA16" s="761"/>
    </row>
    <row r="17" spans="1:54" ht="5.0999999999999996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530</v>
      </c>
      <c r="AR19" s="162"/>
      <c r="AS19" s="164"/>
      <c r="AX19" s="708">
        <v>15600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419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4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customHeight="1" x14ac:dyDescent="0.2">
      <c r="A24" s="764" t="s">
        <v>417</v>
      </c>
      <c r="B24" s="765"/>
      <c r="C24" s="765"/>
      <c r="D24" s="765"/>
      <c r="E24" s="765"/>
      <c r="F24" s="765"/>
      <c r="G24" s="766"/>
      <c r="H24" s="714" t="s">
        <v>16</v>
      </c>
      <c r="I24" s="704"/>
      <c r="J24" s="704"/>
      <c r="K24" s="704"/>
      <c r="L24" s="704"/>
      <c r="M24" s="704"/>
      <c r="N24" s="704"/>
      <c r="O24" s="704"/>
      <c r="P24" s="704"/>
      <c r="Q24" s="704"/>
      <c r="R24" s="704"/>
      <c r="S24" s="704"/>
      <c r="T24" s="704"/>
      <c r="U24" s="704"/>
      <c r="V24" s="704"/>
      <c r="W24" s="704"/>
      <c r="X24" s="704"/>
      <c r="Y24" s="704"/>
      <c r="Z24" s="723">
        <v>0.2</v>
      </c>
      <c r="AA24" s="723"/>
      <c r="AB24" s="723"/>
      <c r="AC24" s="781">
        <f>(AX51+AX83)*Z24*AH24</f>
        <v>4056</v>
      </c>
      <c r="AD24" s="781"/>
      <c r="AE24" s="781"/>
      <c r="AF24" s="781"/>
      <c r="AG24" s="781"/>
      <c r="AH24" s="668">
        <v>2</v>
      </c>
      <c r="AI24" s="668"/>
      <c r="AJ24" s="668"/>
      <c r="AK24" s="668"/>
      <c r="AL24" s="668"/>
      <c r="AM24" s="668"/>
      <c r="AN24" s="781">
        <f>AC24/U12</f>
        <v>112.66666666666667</v>
      </c>
      <c r="AO24" s="781"/>
      <c r="AP24" s="781"/>
      <c r="AQ24" s="781"/>
      <c r="AR24" s="781"/>
      <c r="AS24" s="668" t="s">
        <v>17</v>
      </c>
      <c r="AT24" s="668"/>
      <c r="AU24" s="668"/>
      <c r="AV24" s="668"/>
      <c r="AW24" s="668"/>
      <c r="AX24" s="781" t="s">
        <v>17</v>
      </c>
      <c r="AY24" s="781"/>
      <c r="AZ24" s="781"/>
      <c r="BA24" s="781"/>
      <c r="BB24" s="782"/>
    </row>
    <row r="25" spans="1:54" s="165" customFormat="1" ht="26.25" customHeight="1" x14ac:dyDescent="0.2">
      <c r="A25" s="767"/>
      <c r="B25" s="768"/>
      <c r="C25" s="768"/>
      <c r="D25" s="768"/>
      <c r="E25" s="768"/>
      <c r="F25" s="768"/>
      <c r="G25" s="769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771" t="s">
        <v>89</v>
      </c>
      <c r="B26" s="772"/>
      <c r="C26" s="772"/>
      <c r="D26" s="772"/>
      <c r="E26" s="772"/>
      <c r="F26" s="772"/>
      <c r="G26" s="773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11.25" customHeight="1" x14ac:dyDescent="0.2">
      <c r="A27" s="750"/>
      <c r="B27" s="751"/>
      <c r="C27" s="751"/>
      <c r="D27" s="751"/>
      <c r="E27" s="751"/>
      <c r="F27" s="751"/>
      <c r="G27" s="7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17.25" customHeight="1" thickBot="1" x14ac:dyDescent="0.25">
      <c r="A33" s="753"/>
      <c r="B33" s="754"/>
      <c r="C33" s="754"/>
      <c r="D33" s="754"/>
      <c r="E33" s="754"/>
      <c r="F33" s="754"/>
      <c r="G33" s="775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9"/>
      <c r="AA33" s="729"/>
      <c r="AB33" s="729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95"/>
      <c r="R34" s="169" t="s">
        <v>18</v>
      </c>
      <c r="S34" s="170"/>
      <c r="T34" s="170"/>
      <c r="U34" s="171"/>
      <c r="V34" s="171"/>
      <c r="W34" s="171"/>
      <c r="X34" s="171"/>
      <c r="Y34" s="171"/>
      <c r="Z34" s="162"/>
      <c r="AA34" s="162"/>
      <c r="AB34" s="162"/>
      <c r="AC34" s="171"/>
      <c r="AD34" s="171" t="s">
        <v>19</v>
      </c>
      <c r="AE34" s="171" t="s">
        <v>20</v>
      </c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2"/>
      <c r="AS34" s="453">
        <f>AN24</f>
        <v>112.66666666666667</v>
      </c>
      <c r="AT34" s="453"/>
      <c r="AU34" s="453"/>
      <c r="AV34" s="453"/>
      <c r="AW34" s="453"/>
      <c r="AX34" s="453">
        <f>AC24</f>
        <v>4056</v>
      </c>
      <c r="AY34" s="453"/>
      <c r="AZ34" s="453"/>
      <c r="BA34" s="453"/>
      <c r="BB34" s="454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173"/>
      <c r="I35" s="173"/>
      <c r="J35" s="173"/>
      <c r="K35" s="173"/>
      <c r="L35" s="173"/>
      <c r="M35" s="173"/>
      <c r="P35" s="168"/>
      <c r="Q35" s="174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34.025333333333336</v>
      </c>
      <c r="AT35" s="463"/>
      <c r="AU35" s="463"/>
      <c r="AV35" s="463"/>
      <c r="AW35" s="463"/>
      <c r="AX35" s="463">
        <f>AX34*AO35</f>
        <v>1224.912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173"/>
      <c r="I36" s="173"/>
      <c r="J36" s="173"/>
      <c r="K36" s="173"/>
      <c r="L36" s="173"/>
      <c r="M36" s="173"/>
      <c r="P36" s="168"/>
      <c r="Q36" s="174"/>
      <c r="R36" s="174"/>
      <c r="S36" s="174"/>
      <c r="U36" s="174"/>
      <c r="V36" s="174"/>
      <c r="W36" s="174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8"/>
      <c r="AT36" s="179"/>
      <c r="AU36" s="179"/>
      <c r="AV36" s="179"/>
      <c r="AW36" s="179"/>
      <c r="AX36" s="178"/>
      <c r="AY36" s="179"/>
      <c r="AZ36" s="179"/>
      <c r="BA36" s="179"/>
      <c r="BB36" s="179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420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660"/>
      <c r="B41" s="661"/>
      <c r="C41" s="661"/>
      <c r="D41" s="661"/>
      <c r="E41" s="661"/>
      <c r="F41" s="661"/>
      <c r="G41" s="661"/>
      <c r="H41" s="662" t="s">
        <v>16</v>
      </c>
      <c r="I41" s="662"/>
      <c r="J41" s="662"/>
      <c r="K41" s="662"/>
      <c r="L41" s="662"/>
      <c r="M41" s="662"/>
      <c r="N41" s="662"/>
      <c r="O41" s="662"/>
      <c r="P41" s="662"/>
      <c r="Q41" s="662"/>
      <c r="R41" s="662"/>
      <c r="S41" s="662"/>
      <c r="T41" s="662"/>
      <c r="U41" s="662"/>
      <c r="V41" s="662"/>
      <c r="W41" s="662"/>
      <c r="X41" s="662"/>
      <c r="Y41" s="662"/>
      <c r="Z41" s="723">
        <v>0</v>
      </c>
      <c r="AA41" s="723"/>
      <c r="AB41" s="723"/>
      <c r="AC41" s="662">
        <f>AX83*Z41*AH41</f>
        <v>0</v>
      </c>
      <c r="AD41" s="662"/>
      <c r="AE41" s="662"/>
      <c r="AF41" s="662"/>
      <c r="AG41" s="662"/>
      <c r="AH41" s="508">
        <v>1</v>
      </c>
      <c r="AI41" s="509"/>
      <c r="AJ41" s="509"/>
      <c r="AK41" s="509"/>
      <c r="AL41" s="509"/>
      <c r="AM41" s="510"/>
      <c r="AN41" s="711">
        <f>AC41/U12</f>
        <v>0</v>
      </c>
      <c r="AO41" s="712"/>
      <c r="AP41" s="712"/>
      <c r="AQ41" s="712"/>
      <c r="AR41" s="734"/>
      <c r="AS41" s="508" t="s">
        <v>17</v>
      </c>
      <c r="AT41" s="509"/>
      <c r="AU41" s="509"/>
      <c r="AV41" s="509"/>
      <c r="AW41" s="510"/>
      <c r="AX41" s="711" t="s">
        <v>17</v>
      </c>
      <c r="AY41" s="712"/>
      <c r="AZ41" s="712"/>
      <c r="BA41" s="712"/>
      <c r="BB41" s="713"/>
    </row>
    <row r="42" spans="1:54" s="165" customFormat="1" ht="0.75" hidden="1" customHeight="1" x14ac:dyDescent="0.2">
      <c r="A42" s="652"/>
      <c r="B42" s="653"/>
      <c r="C42" s="653"/>
      <c r="D42" s="653"/>
      <c r="E42" s="653"/>
      <c r="F42" s="653"/>
      <c r="G42" s="653"/>
      <c r="H42" s="601"/>
      <c r="I42" s="601"/>
      <c r="J42" s="601"/>
      <c r="K42" s="601"/>
      <c r="L42" s="601"/>
      <c r="M42" s="601"/>
      <c r="N42" s="601"/>
      <c r="O42" s="601"/>
      <c r="P42" s="601"/>
      <c r="Q42" s="601"/>
      <c r="R42" s="601"/>
      <c r="S42" s="601"/>
      <c r="T42" s="601"/>
      <c r="U42" s="601"/>
      <c r="V42" s="601"/>
      <c r="W42" s="601"/>
      <c r="X42" s="601"/>
      <c r="Y42" s="601"/>
      <c r="Z42" s="726"/>
      <c r="AA42" s="726"/>
      <c r="AB42" s="726"/>
      <c r="AC42" s="601"/>
      <c r="AD42" s="601"/>
      <c r="AE42" s="601"/>
      <c r="AF42" s="601"/>
      <c r="AG42" s="601"/>
      <c r="AH42" s="511"/>
      <c r="AI42" s="512"/>
      <c r="AJ42" s="512"/>
      <c r="AK42" s="512"/>
      <c r="AL42" s="512"/>
      <c r="AM42" s="513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714"/>
      <c r="AY42" s="704"/>
      <c r="AZ42" s="704"/>
      <c r="BA42" s="704"/>
      <c r="BB42" s="715"/>
    </row>
    <row r="43" spans="1:54" ht="18" customHeight="1" x14ac:dyDescent="0.2">
      <c r="A43" s="652"/>
      <c r="B43" s="653"/>
      <c r="C43" s="653"/>
      <c r="D43" s="653"/>
      <c r="E43" s="653"/>
      <c r="F43" s="653"/>
      <c r="G43" s="653"/>
      <c r="H43" s="601"/>
      <c r="I43" s="601"/>
      <c r="J43" s="601"/>
      <c r="K43" s="601"/>
      <c r="L43" s="601"/>
      <c r="M43" s="601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726"/>
      <c r="AA43" s="726"/>
      <c r="AB43" s="726"/>
      <c r="AC43" s="601"/>
      <c r="AD43" s="601"/>
      <c r="AE43" s="601"/>
      <c r="AF43" s="601"/>
      <c r="AG43" s="601"/>
      <c r="AH43" s="736"/>
      <c r="AI43" s="737"/>
      <c r="AJ43" s="737"/>
      <c r="AK43" s="737"/>
      <c r="AL43" s="737"/>
      <c r="AM43" s="738"/>
      <c r="AN43" s="716"/>
      <c r="AO43" s="669"/>
      <c r="AP43" s="669"/>
      <c r="AQ43" s="669"/>
      <c r="AR43" s="670"/>
      <c r="AS43" s="736"/>
      <c r="AT43" s="737"/>
      <c r="AU43" s="737"/>
      <c r="AV43" s="737"/>
      <c r="AW43" s="738"/>
      <c r="AX43" s="716"/>
      <c r="AY43" s="669"/>
      <c r="AZ43" s="669"/>
      <c r="BA43" s="669"/>
      <c r="BB43" s="717"/>
    </row>
    <row r="44" spans="1:54" s="165" customFormat="1" ht="21" hidden="1" customHeight="1" x14ac:dyDescent="0.2">
      <c r="A44" s="652"/>
      <c r="B44" s="653"/>
      <c r="C44" s="653"/>
      <c r="D44" s="653"/>
      <c r="E44" s="653"/>
      <c r="F44" s="653"/>
      <c r="G44" s="653"/>
      <c r="H44" s="601"/>
      <c r="I44" s="601"/>
      <c r="J44" s="601"/>
      <c r="K44" s="601"/>
      <c r="L44" s="601"/>
      <c r="M44" s="601"/>
      <c r="N44" s="601"/>
      <c r="O44" s="601"/>
      <c r="P44" s="601"/>
      <c r="Q44" s="601"/>
      <c r="R44" s="601"/>
      <c r="S44" s="601"/>
      <c r="T44" s="601"/>
      <c r="U44" s="601"/>
      <c r="V44" s="601"/>
      <c r="W44" s="601"/>
      <c r="X44" s="601"/>
      <c r="Y44" s="601"/>
      <c r="Z44" s="726"/>
      <c r="AA44" s="726"/>
      <c r="AB44" s="726"/>
      <c r="AC44" s="279"/>
      <c r="AD44" s="279"/>
      <c r="AE44" s="279"/>
      <c r="AF44" s="279"/>
      <c r="AG44" s="279"/>
      <c r="AH44" s="180"/>
      <c r="AI44" s="181"/>
      <c r="AJ44" s="181"/>
      <c r="AK44" s="181"/>
      <c r="AL44" s="181"/>
      <c r="AM44" s="182"/>
      <c r="AN44" s="86"/>
      <c r="AO44" s="84"/>
      <c r="AP44" s="84"/>
      <c r="AQ44" s="84"/>
      <c r="AR44" s="85"/>
      <c r="AS44" s="180"/>
      <c r="AT44" s="181"/>
      <c r="AU44" s="181"/>
      <c r="AV44" s="181"/>
      <c r="AW44" s="182"/>
      <c r="AX44" s="86"/>
      <c r="AY44" s="84"/>
      <c r="AZ44" s="84"/>
      <c r="BA44" s="84"/>
      <c r="BB44" s="255"/>
    </row>
    <row r="45" spans="1:54" s="165" customFormat="1" ht="21.75" hidden="1" customHeight="1" x14ac:dyDescent="0.2">
      <c r="A45" s="652"/>
      <c r="B45" s="653"/>
      <c r="C45" s="653"/>
      <c r="D45" s="653"/>
      <c r="E45" s="653"/>
      <c r="F45" s="653"/>
      <c r="G45" s="653"/>
      <c r="H45" s="601"/>
      <c r="I45" s="601"/>
      <c r="J45" s="601"/>
      <c r="K45" s="601"/>
      <c r="L45" s="601"/>
      <c r="M45" s="601"/>
      <c r="N45" s="601"/>
      <c r="O45" s="601"/>
      <c r="P45" s="601"/>
      <c r="Q45" s="601"/>
      <c r="R45" s="601"/>
      <c r="S45" s="601"/>
      <c r="T45" s="601"/>
      <c r="U45" s="601"/>
      <c r="V45" s="601"/>
      <c r="W45" s="601"/>
      <c r="X45" s="601"/>
      <c r="Y45" s="601"/>
      <c r="Z45" s="726"/>
      <c r="AA45" s="726"/>
      <c r="AB45" s="726"/>
      <c r="AC45" s="279"/>
      <c r="AD45" s="279"/>
      <c r="AE45" s="279"/>
      <c r="AF45" s="279"/>
      <c r="AG45" s="279"/>
      <c r="AH45" s="180"/>
      <c r="AI45" s="181"/>
      <c r="AJ45" s="181"/>
      <c r="AK45" s="181"/>
      <c r="AL45" s="181"/>
      <c r="AM45" s="182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255"/>
    </row>
    <row r="46" spans="1:54" s="165" customFormat="1" ht="24" hidden="1" customHeight="1" x14ac:dyDescent="0.2">
      <c r="A46" s="652"/>
      <c r="B46" s="653"/>
      <c r="C46" s="653"/>
      <c r="D46" s="653"/>
      <c r="E46" s="653"/>
      <c r="F46" s="653"/>
      <c r="G46" s="653"/>
      <c r="H46" s="601"/>
      <c r="I46" s="601"/>
      <c r="J46" s="601"/>
      <c r="K46" s="601"/>
      <c r="L46" s="601"/>
      <c r="M46" s="601"/>
      <c r="N46" s="601"/>
      <c r="O46" s="601"/>
      <c r="P46" s="601"/>
      <c r="Q46" s="601"/>
      <c r="R46" s="601"/>
      <c r="S46" s="601"/>
      <c r="T46" s="601"/>
      <c r="U46" s="601"/>
      <c r="V46" s="601"/>
      <c r="W46" s="601"/>
      <c r="X46" s="601"/>
      <c r="Y46" s="601"/>
      <c r="Z46" s="726"/>
      <c r="AA46" s="726"/>
      <c r="AB46" s="726"/>
      <c r="AC46" s="279"/>
      <c r="AD46" s="279"/>
      <c r="AE46" s="279"/>
      <c r="AF46" s="279"/>
      <c r="AG46" s="279"/>
      <c r="AH46" s="180"/>
      <c r="AI46" s="181"/>
      <c r="AJ46" s="181"/>
      <c r="AK46" s="181"/>
      <c r="AL46" s="181"/>
      <c r="AM46" s="182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255"/>
    </row>
    <row r="47" spans="1:54" s="165" customFormat="1" ht="18" hidden="1" customHeight="1" x14ac:dyDescent="0.2">
      <c r="A47" s="652"/>
      <c r="B47" s="653"/>
      <c r="C47" s="653"/>
      <c r="D47" s="653"/>
      <c r="E47" s="653"/>
      <c r="F47" s="653"/>
      <c r="G47" s="653"/>
      <c r="H47" s="601"/>
      <c r="I47" s="601"/>
      <c r="J47" s="601"/>
      <c r="K47" s="601"/>
      <c r="L47" s="601"/>
      <c r="M47" s="601"/>
      <c r="N47" s="601"/>
      <c r="O47" s="601"/>
      <c r="P47" s="601"/>
      <c r="Q47" s="601"/>
      <c r="R47" s="601"/>
      <c r="S47" s="601"/>
      <c r="T47" s="601"/>
      <c r="U47" s="601"/>
      <c r="V47" s="601"/>
      <c r="W47" s="601"/>
      <c r="X47" s="601"/>
      <c r="Y47" s="601"/>
      <c r="Z47" s="726"/>
      <c r="AA47" s="726"/>
      <c r="AB47" s="726"/>
      <c r="AC47" s="279"/>
      <c r="AD47" s="279"/>
      <c r="AE47" s="279"/>
      <c r="AF47" s="279"/>
      <c r="AG47" s="279"/>
      <c r="AH47" s="180"/>
      <c r="AI47" s="181"/>
      <c r="AJ47" s="181"/>
      <c r="AK47" s="181"/>
      <c r="AL47" s="181"/>
      <c r="AM47" s="182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255"/>
    </row>
    <row r="48" spans="1:54" s="165" customFormat="1" ht="17.25" hidden="1" customHeight="1" x14ac:dyDescent="0.2">
      <c r="A48" s="652"/>
      <c r="B48" s="653"/>
      <c r="C48" s="653"/>
      <c r="D48" s="653"/>
      <c r="E48" s="653"/>
      <c r="F48" s="653"/>
      <c r="G48" s="653"/>
      <c r="H48" s="601"/>
      <c r="I48" s="601"/>
      <c r="J48" s="601"/>
      <c r="K48" s="601"/>
      <c r="L48" s="601"/>
      <c r="M48" s="601"/>
      <c r="N48" s="601"/>
      <c r="O48" s="601"/>
      <c r="P48" s="601"/>
      <c r="Q48" s="601"/>
      <c r="R48" s="601"/>
      <c r="S48" s="601"/>
      <c r="T48" s="601"/>
      <c r="U48" s="601"/>
      <c r="V48" s="601"/>
      <c r="W48" s="601"/>
      <c r="X48" s="601"/>
      <c r="Y48" s="601"/>
      <c r="Z48" s="726"/>
      <c r="AA48" s="726"/>
      <c r="AB48" s="726"/>
      <c r="AC48" s="279"/>
      <c r="AD48" s="279"/>
      <c r="AE48" s="279"/>
      <c r="AF48" s="279"/>
      <c r="AG48" s="279"/>
      <c r="AH48" s="180"/>
      <c r="AI48" s="181"/>
      <c r="AJ48" s="181"/>
      <c r="AK48" s="181"/>
      <c r="AL48" s="181"/>
      <c r="AM48" s="182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255"/>
    </row>
    <row r="49" spans="1:54" s="165" customFormat="1" ht="14.25" hidden="1" customHeight="1" x14ac:dyDescent="0.2">
      <c r="A49" s="652"/>
      <c r="B49" s="653"/>
      <c r="C49" s="653"/>
      <c r="D49" s="653"/>
      <c r="E49" s="653"/>
      <c r="F49" s="653"/>
      <c r="G49" s="653"/>
      <c r="H49" s="601"/>
      <c r="I49" s="601"/>
      <c r="J49" s="601"/>
      <c r="K49" s="601"/>
      <c r="L49" s="601"/>
      <c r="M49" s="601"/>
      <c r="N49" s="601"/>
      <c r="O49" s="601"/>
      <c r="P49" s="601"/>
      <c r="Q49" s="601"/>
      <c r="R49" s="601"/>
      <c r="S49" s="601"/>
      <c r="T49" s="601"/>
      <c r="U49" s="601"/>
      <c r="V49" s="601"/>
      <c r="W49" s="601"/>
      <c r="X49" s="601"/>
      <c r="Y49" s="601"/>
      <c r="Z49" s="726"/>
      <c r="AA49" s="726"/>
      <c r="AB49" s="726"/>
      <c r="AC49" s="279"/>
      <c r="AD49" s="279"/>
      <c r="AE49" s="279"/>
      <c r="AF49" s="279"/>
      <c r="AG49" s="279"/>
      <c r="AH49" s="180"/>
      <c r="AI49" s="181"/>
      <c r="AJ49" s="181"/>
      <c r="AK49" s="181"/>
      <c r="AL49" s="181"/>
      <c r="AM49" s="182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255"/>
    </row>
    <row r="50" spans="1:54" ht="0.75" customHeight="1" thickBot="1" x14ac:dyDescent="0.25">
      <c r="A50" s="681"/>
      <c r="B50" s="682"/>
      <c r="C50" s="682"/>
      <c r="D50" s="682"/>
      <c r="E50" s="682"/>
      <c r="F50" s="682"/>
      <c r="G50" s="682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  <c r="V50" s="656"/>
      <c r="W50" s="656"/>
      <c r="X50" s="656"/>
      <c r="Y50" s="656"/>
      <c r="Z50" s="729"/>
      <c r="AA50" s="729"/>
      <c r="AB50" s="729"/>
      <c r="AC50" s="280"/>
      <c r="AD50" s="280"/>
      <c r="AE50" s="280"/>
      <c r="AF50" s="280"/>
      <c r="AG50" s="280"/>
      <c r="AH50" s="259"/>
      <c r="AI50" s="260"/>
      <c r="AJ50" s="260"/>
      <c r="AK50" s="260"/>
      <c r="AL50" s="260"/>
      <c r="AM50" s="261"/>
      <c r="AN50" s="256"/>
      <c r="AO50" s="257"/>
      <c r="AP50" s="257"/>
      <c r="AQ50" s="257"/>
      <c r="AR50" s="258"/>
      <c r="AS50" s="259"/>
      <c r="AT50" s="260"/>
      <c r="AU50" s="260"/>
      <c r="AV50" s="260"/>
      <c r="AW50" s="261"/>
      <c r="AX50" s="256"/>
      <c r="AY50" s="257"/>
      <c r="AZ50" s="257"/>
      <c r="BA50" s="257"/>
      <c r="BB50" s="262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189"/>
      <c r="I52" s="189"/>
      <c r="J52" s="189"/>
      <c r="K52" s="189"/>
      <c r="L52" s="164"/>
      <c r="M52" s="164"/>
      <c r="N52" s="164"/>
      <c r="O52" s="164"/>
      <c r="P52" s="164"/>
      <c r="Q52" s="190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660" t="s">
        <v>329</v>
      </c>
      <c r="B58" s="661"/>
      <c r="C58" s="661"/>
      <c r="D58" s="661"/>
      <c r="E58" s="661"/>
      <c r="F58" s="661"/>
      <c r="G58" s="661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96"/>
      <c r="AC58" s="662">
        <f>((R59+(R59*U61)+(R59*Q61)+(R59*M61)+(R59*I61))*Z61)</f>
        <v>40560</v>
      </c>
      <c r="AD58" s="662"/>
      <c r="AE58" s="662"/>
      <c r="AF58" s="662"/>
      <c r="AG58" s="662"/>
      <c r="AH58" s="662">
        <v>144</v>
      </c>
      <c r="AI58" s="662"/>
      <c r="AJ58" s="662"/>
      <c r="AK58" s="662"/>
      <c r="AL58" s="662"/>
      <c r="AM58" s="662"/>
      <c r="AN58" s="662">
        <f>AC58/AH58</f>
        <v>281.66666666666669</v>
      </c>
      <c r="AO58" s="662"/>
      <c r="AP58" s="662"/>
      <c r="AQ58" s="662"/>
      <c r="AR58" s="662"/>
      <c r="AS58" s="663">
        <f>U12</f>
        <v>36</v>
      </c>
      <c r="AT58" s="663"/>
      <c r="AU58" s="663"/>
      <c r="AV58" s="663"/>
      <c r="AW58" s="663"/>
      <c r="AX58" s="662">
        <f>AN58*AS58</f>
        <v>10140</v>
      </c>
      <c r="AY58" s="662"/>
      <c r="AZ58" s="662"/>
      <c r="BA58" s="662"/>
      <c r="BB58" s="684"/>
    </row>
    <row r="59" spans="1:54" s="165" customFormat="1" ht="27" customHeight="1" x14ac:dyDescent="0.2">
      <c r="A59" s="652"/>
      <c r="B59" s="653"/>
      <c r="C59" s="653"/>
      <c r="D59" s="653"/>
      <c r="E59" s="653"/>
      <c r="F59" s="653"/>
      <c r="G59" s="653"/>
      <c r="H59" s="685" t="s">
        <v>530</v>
      </c>
      <c r="I59" s="686"/>
      <c r="J59" s="686"/>
      <c r="K59" s="686"/>
      <c r="L59" s="686"/>
      <c r="M59" s="686"/>
      <c r="N59" s="669"/>
      <c r="O59" s="669"/>
      <c r="P59" s="669"/>
      <c r="Q59" s="84" t="s">
        <v>27</v>
      </c>
      <c r="R59" s="669">
        <v>15600</v>
      </c>
      <c r="S59" s="669"/>
      <c r="T59" s="669"/>
      <c r="U59" s="669"/>
      <c r="V59" s="669"/>
      <c r="W59" s="84" t="s">
        <v>28</v>
      </c>
      <c r="X59" s="84"/>
      <c r="Y59" s="84"/>
      <c r="Z59" s="84"/>
      <c r="AA59" s="84"/>
      <c r="AB59" s="85"/>
      <c r="AC59" s="601"/>
      <c r="AD59" s="601"/>
      <c r="AE59" s="601"/>
      <c r="AF59" s="601"/>
      <c r="AG59" s="601"/>
      <c r="AH59" s="601"/>
      <c r="AI59" s="601"/>
      <c r="AJ59" s="601"/>
      <c r="AK59" s="601"/>
      <c r="AL59" s="601"/>
      <c r="AM59" s="601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652"/>
      <c r="B60" s="653"/>
      <c r="C60" s="653"/>
      <c r="D60" s="653"/>
      <c r="E60" s="653"/>
      <c r="F60" s="653"/>
      <c r="G60" s="653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601"/>
      <c r="AD60" s="601"/>
      <c r="AE60" s="601"/>
      <c r="AF60" s="601"/>
      <c r="AG60" s="601"/>
      <c r="AH60" s="601"/>
      <c r="AI60" s="601"/>
      <c r="AJ60" s="601"/>
      <c r="AK60" s="601"/>
      <c r="AL60" s="601"/>
      <c r="AM60" s="601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2.6" customHeight="1" x14ac:dyDescent="0.2">
      <c r="A61" s="652"/>
      <c r="B61" s="653"/>
      <c r="C61" s="653"/>
      <c r="D61" s="653"/>
      <c r="E61" s="653"/>
      <c r="F61" s="653"/>
      <c r="G61" s="653"/>
      <c r="H61" s="706" t="s">
        <v>656</v>
      </c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  <c r="V61" s="707"/>
      <c r="W61" s="707"/>
      <c r="X61" s="707"/>
      <c r="Y61" s="84" t="s">
        <v>28</v>
      </c>
      <c r="Z61" s="669">
        <v>2.6</v>
      </c>
      <c r="AA61" s="669"/>
      <c r="AB61" s="670"/>
      <c r="AC61" s="601"/>
      <c r="AD61" s="601"/>
      <c r="AE61" s="601"/>
      <c r="AF61" s="601"/>
      <c r="AG61" s="601"/>
      <c r="AH61" s="601"/>
      <c r="AI61" s="601"/>
      <c r="AJ61" s="601"/>
      <c r="AK61" s="601"/>
      <c r="AL61" s="601"/>
      <c r="AM61" s="601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" customHeight="1" thickBot="1" x14ac:dyDescent="0.25">
      <c r="A62" s="681"/>
      <c r="B62" s="682"/>
      <c r="C62" s="682"/>
      <c r="D62" s="682"/>
      <c r="E62" s="682"/>
      <c r="F62" s="682"/>
      <c r="G62" s="682"/>
      <c r="H62" s="256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8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83"/>
      <c r="AT62" s="683"/>
      <c r="AU62" s="683"/>
      <c r="AV62" s="683"/>
      <c r="AW62" s="683"/>
      <c r="AX62" s="656"/>
      <c r="AY62" s="656"/>
      <c r="AZ62" s="656"/>
      <c r="BA62" s="656"/>
      <c r="BB62" s="657"/>
    </row>
    <row r="63" spans="1:54" ht="5.0999999999999996" hidden="1" customHeight="1" x14ac:dyDescent="0.2">
      <c r="A63" s="666"/>
      <c r="B63" s="667"/>
      <c r="C63" s="667"/>
      <c r="D63" s="667"/>
      <c r="E63" s="667"/>
      <c r="F63" s="667"/>
      <c r="G63" s="667"/>
      <c r="H63" s="193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94" t="e">
        <f>#REF!</f>
        <v>#REF!</v>
      </c>
      <c r="AA63" s="191"/>
      <c r="AB63" s="195"/>
      <c r="AC63" s="477">
        <f>((R64+(R64*U66)+(R64*Q66)+(R64*M66)+(R64*I66))*Z66)*1.15</f>
        <v>0</v>
      </c>
      <c r="AD63" s="477"/>
      <c r="AE63" s="477"/>
      <c r="AF63" s="477"/>
      <c r="AG63" s="477"/>
      <c r="AH63" s="477">
        <v>1</v>
      </c>
      <c r="AI63" s="477"/>
      <c r="AJ63" s="477"/>
      <c r="AK63" s="477"/>
      <c r="AL63" s="477"/>
      <c r="AM63" s="477"/>
      <c r="AN63" s="477">
        <f>AC63/AH63</f>
        <v>0</v>
      </c>
      <c r="AO63" s="477"/>
      <c r="AP63" s="477"/>
      <c r="AQ63" s="477"/>
      <c r="AR63" s="477"/>
      <c r="AS63" s="668">
        <f t="shared" ref="AS63" si="0">U17</f>
        <v>0</v>
      </c>
      <c r="AT63" s="668"/>
      <c r="AU63" s="668"/>
      <c r="AV63" s="668"/>
      <c r="AW63" s="668"/>
      <c r="AX63" s="477">
        <f>AN63*AS63</f>
        <v>0</v>
      </c>
      <c r="AY63" s="477"/>
      <c r="AZ63" s="477"/>
      <c r="BA63" s="477"/>
      <c r="BB63" s="481"/>
    </row>
    <row r="64" spans="1:54" s="165" customFormat="1" ht="11.25" hidden="1" customHeight="1" x14ac:dyDescent="0.2">
      <c r="A64" s="652"/>
      <c r="B64" s="653"/>
      <c r="C64" s="653"/>
      <c r="D64" s="653"/>
      <c r="E64" s="653"/>
      <c r="F64" s="653"/>
      <c r="G64" s="653"/>
      <c r="H64" s="658" t="s">
        <v>26</v>
      </c>
      <c r="I64" s="659"/>
      <c r="J64" s="659"/>
      <c r="K64" s="659"/>
      <c r="L64" s="659"/>
      <c r="M64" s="659"/>
      <c r="N64" s="650">
        <v>0</v>
      </c>
      <c r="O64" s="650"/>
      <c r="P64" s="650"/>
      <c r="Q64" s="191" t="s">
        <v>27</v>
      </c>
      <c r="R64" s="650">
        <f>$AX$19*N64</f>
        <v>0</v>
      </c>
      <c r="S64" s="650"/>
      <c r="T64" s="650"/>
      <c r="U64" s="650"/>
      <c r="V64" s="650"/>
      <c r="W64" s="191" t="s">
        <v>28</v>
      </c>
      <c r="X64" s="191" t="s">
        <v>29</v>
      </c>
      <c r="Y64" s="191"/>
      <c r="Z64" s="191"/>
      <c r="AA64" s="191"/>
      <c r="AB64" s="195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664"/>
      <c r="AT64" s="664"/>
      <c r="AU64" s="664"/>
      <c r="AV64" s="664"/>
      <c r="AW64" s="664"/>
      <c r="AX64" s="529"/>
      <c r="AY64" s="529"/>
      <c r="AZ64" s="529"/>
      <c r="BA64" s="529"/>
      <c r="BB64" s="665"/>
    </row>
    <row r="65" spans="1:54" s="165" customFormat="1" ht="5.0999999999999996" hidden="1" customHeight="1" x14ac:dyDescent="0.2">
      <c r="A65" s="652"/>
      <c r="B65" s="653"/>
      <c r="C65" s="653"/>
      <c r="D65" s="653"/>
      <c r="E65" s="653"/>
      <c r="F65" s="653"/>
      <c r="G65" s="653"/>
      <c r="H65" s="196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91"/>
      <c r="AA65" s="191"/>
      <c r="AB65" s="195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65" customFormat="1" ht="11.25" hidden="1" customHeight="1" x14ac:dyDescent="0.2">
      <c r="A66" s="652"/>
      <c r="B66" s="653"/>
      <c r="C66" s="653"/>
      <c r="D66" s="653"/>
      <c r="E66" s="653"/>
      <c r="F66" s="653"/>
      <c r="G66" s="653"/>
      <c r="H66" s="197" t="s">
        <v>30</v>
      </c>
      <c r="I66" s="654">
        <v>0</v>
      </c>
      <c r="J66" s="654"/>
      <c r="K66" s="654"/>
      <c r="L66" s="191" t="s">
        <v>28</v>
      </c>
      <c r="M66" s="654">
        <v>0</v>
      </c>
      <c r="N66" s="654"/>
      <c r="O66" s="654"/>
      <c r="P66" s="191" t="s">
        <v>28</v>
      </c>
      <c r="Q66" s="654"/>
      <c r="R66" s="654"/>
      <c r="S66" s="654"/>
      <c r="T66" s="191" t="s">
        <v>28</v>
      </c>
      <c r="U66" s="654"/>
      <c r="V66" s="654"/>
      <c r="W66" s="654"/>
      <c r="X66" s="191" t="s">
        <v>31</v>
      </c>
      <c r="Y66" s="191" t="s">
        <v>28</v>
      </c>
      <c r="Z66" s="650">
        <v>2.6</v>
      </c>
      <c r="AA66" s="650"/>
      <c r="AB66" s="651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65" customFormat="1" ht="5.0999999999999996" hidden="1" customHeight="1" thickBot="1" x14ac:dyDescent="0.25">
      <c r="A67" s="652"/>
      <c r="B67" s="653"/>
      <c r="C67" s="653"/>
      <c r="D67" s="653"/>
      <c r="E67" s="653"/>
      <c r="F67" s="653"/>
      <c r="G67" s="653"/>
      <c r="H67" s="198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200"/>
      <c r="AA67" s="200"/>
      <c r="AB67" s="201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65" customFormat="1" ht="5.0999999999999996" hidden="1" customHeight="1" x14ac:dyDescent="0.2">
      <c r="A68" s="652"/>
      <c r="B68" s="653"/>
      <c r="C68" s="653"/>
      <c r="D68" s="653"/>
      <c r="E68" s="653"/>
      <c r="F68" s="653"/>
      <c r="G68" s="653"/>
      <c r="H68" s="19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94" t="e">
        <f>#REF!</f>
        <v>#REF!</v>
      </c>
      <c r="AA68" s="191"/>
      <c r="AB68" s="195"/>
      <c r="AC68" s="507">
        <f>((R69+(R69*U71)+(R69*Q71)+(R69*M71)+(R69*I71))*Z71)*1.15</f>
        <v>0</v>
      </c>
      <c r="AD68" s="507"/>
      <c r="AE68" s="507"/>
      <c r="AF68" s="507"/>
      <c r="AG68" s="507"/>
      <c r="AH68" s="529">
        <v>1</v>
      </c>
      <c r="AI68" s="529"/>
      <c r="AJ68" s="529"/>
      <c r="AK68" s="529"/>
      <c r="AL68" s="529"/>
      <c r="AM68" s="529"/>
      <c r="AN68" s="529">
        <f>AC68/AH68</f>
        <v>0</v>
      </c>
      <c r="AO68" s="529"/>
      <c r="AP68" s="529"/>
      <c r="AQ68" s="529"/>
      <c r="AR68" s="529"/>
      <c r="AS68" s="663">
        <f t="shared" ref="AS68" si="1">U22</f>
        <v>0</v>
      </c>
      <c r="AT68" s="663"/>
      <c r="AU68" s="663"/>
      <c r="AV68" s="663"/>
      <c r="AW68" s="663"/>
      <c r="AX68" s="529">
        <f>AN68*AS68</f>
        <v>0</v>
      </c>
      <c r="AY68" s="529"/>
      <c r="AZ68" s="529"/>
      <c r="BA68" s="529"/>
      <c r="BB68" s="665"/>
    </row>
    <row r="69" spans="1:54" s="165" customFormat="1" ht="11.25" hidden="1" customHeight="1" x14ac:dyDescent="0.2">
      <c r="A69" s="652"/>
      <c r="B69" s="653"/>
      <c r="C69" s="653"/>
      <c r="D69" s="653"/>
      <c r="E69" s="653"/>
      <c r="F69" s="653"/>
      <c r="G69" s="653"/>
      <c r="H69" s="658" t="s">
        <v>26</v>
      </c>
      <c r="I69" s="659"/>
      <c r="J69" s="659"/>
      <c r="K69" s="659"/>
      <c r="L69" s="659"/>
      <c r="M69" s="659"/>
      <c r="N69" s="650">
        <v>0</v>
      </c>
      <c r="O69" s="650"/>
      <c r="P69" s="650"/>
      <c r="Q69" s="191" t="s">
        <v>27</v>
      </c>
      <c r="R69" s="650">
        <f>$AX$19*N69</f>
        <v>0</v>
      </c>
      <c r="S69" s="650"/>
      <c r="T69" s="650"/>
      <c r="U69" s="650"/>
      <c r="V69" s="650"/>
      <c r="W69" s="191" t="s">
        <v>28</v>
      </c>
      <c r="X69" s="191" t="s">
        <v>29</v>
      </c>
      <c r="Y69" s="191"/>
      <c r="Z69" s="191"/>
      <c r="AA69" s="191"/>
      <c r="AB69" s="195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529"/>
      <c r="AP69" s="529"/>
      <c r="AQ69" s="529"/>
      <c r="AR69" s="529"/>
      <c r="AS69" s="664"/>
      <c r="AT69" s="664"/>
      <c r="AU69" s="664"/>
      <c r="AV69" s="664"/>
      <c r="AW69" s="664"/>
      <c r="AX69" s="529"/>
      <c r="AY69" s="529"/>
      <c r="AZ69" s="529"/>
      <c r="BA69" s="529"/>
      <c r="BB69" s="665"/>
    </row>
    <row r="70" spans="1:54" ht="5.0999999999999996" hidden="1" customHeight="1" x14ac:dyDescent="0.2">
      <c r="A70" s="652"/>
      <c r="B70" s="653"/>
      <c r="C70" s="653"/>
      <c r="D70" s="653"/>
      <c r="E70" s="653"/>
      <c r="F70" s="653"/>
      <c r="G70" s="653"/>
      <c r="H70" s="19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91"/>
      <c r="AA70" s="191"/>
      <c r="AB70" s="195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s="165" customFormat="1" ht="11.25" hidden="1" customHeight="1" x14ac:dyDescent="0.2">
      <c r="A71" s="652"/>
      <c r="B71" s="653"/>
      <c r="C71" s="653"/>
      <c r="D71" s="653"/>
      <c r="E71" s="653"/>
      <c r="F71" s="653"/>
      <c r="G71" s="653"/>
      <c r="H71" s="197" t="s">
        <v>30</v>
      </c>
      <c r="I71" s="654">
        <v>0</v>
      </c>
      <c r="J71" s="654"/>
      <c r="K71" s="654"/>
      <c r="L71" s="191" t="s">
        <v>28</v>
      </c>
      <c r="M71" s="654">
        <v>0</v>
      </c>
      <c r="N71" s="654"/>
      <c r="O71" s="654"/>
      <c r="P71" s="191" t="s">
        <v>28</v>
      </c>
      <c r="Q71" s="654"/>
      <c r="R71" s="654"/>
      <c r="S71" s="654"/>
      <c r="T71" s="191" t="s">
        <v>28</v>
      </c>
      <c r="U71" s="654"/>
      <c r="V71" s="654"/>
      <c r="W71" s="654"/>
      <c r="X71" s="191" t="s">
        <v>31</v>
      </c>
      <c r="Y71" s="191" t="s">
        <v>28</v>
      </c>
      <c r="Z71" s="650">
        <v>2.6</v>
      </c>
      <c r="AA71" s="650"/>
      <c r="AB71" s="651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65" customFormat="1" ht="11.25" hidden="1" customHeight="1" thickBot="1" x14ac:dyDescent="0.25">
      <c r="A72" s="652"/>
      <c r="B72" s="653"/>
      <c r="C72" s="653"/>
      <c r="D72" s="653"/>
      <c r="E72" s="653"/>
      <c r="F72" s="653"/>
      <c r="G72" s="653"/>
      <c r="H72" s="198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200"/>
      <c r="AA72" s="200"/>
      <c r="AB72" s="201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65" customFormat="1" ht="15" hidden="1" customHeight="1" x14ac:dyDescent="0.2">
      <c r="A73" s="660" t="s">
        <v>328</v>
      </c>
      <c r="B73" s="661"/>
      <c r="C73" s="661"/>
      <c r="D73" s="661"/>
      <c r="E73" s="661"/>
      <c r="F73" s="661"/>
      <c r="G73" s="661"/>
      <c r="H73" s="19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94" t="e">
        <f>#REF!</f>
        <v>#REF!</v>
      </c>
      <c r="AA73" s="191"/>
      <c r="AB73" s="195"/>
      <c r="AC73" s="711">
        <f>((R74+(R74*U76)+(R74*Q76)+(R74*M76)+(R74*I76))*Z76)</f>
        <v>0</v>
      </c>
      <c r="AD73" s="712"/>
      <c r="AE73" s="712"/>
      <c r="AF73" s="712"/>
      <c r="AG73" s="734"/>
      <c r="AH73" s="791">
        <v>0</v>
      </c>
      <c r="AI73" s="786"/>
      <c r="AJ73" s="786"/>
      <c r="AK73" s="786"/>
      <c r="AL73" s="786"/>
      <c r="AM73" s="787"/>
      <c r="AN73" s="791">
        <v>0</v>
      </c>
      <c r="AO73" s="786"/>
      <c r="AP73" s="786"/>
      <c r="AQ73" s="786"/>
      <c r="AR73" s="787"/>
      <c r="AS73" s="663">
        <v>0</v>
      </c>
      <c r="AT73" s="663"/>
      <c r="AU73" s="663"/>
      <c r="AV73" s="663"/>
      <c r="AW73" s="663"/>
      <c r="AX73" s="791">
        <v>0</v>
      </c>
      <c r="AY73" s="786"/>
      <c r="AZ73" s="786"/>
      <c r="BA73" s="786"/>
      <c r="BB73" s="1371"/>
    </row>
    <row r="74" spans="1:54" s="165" customFormat="1" ht="21" hidden="1" customHeight="1" x14ac:dyDescent="0.2">
      <c r="A74" s="652"/>
      <c r="B74" s="653"/>
      <c r="C74" s="653"/>
      <c r="D74" s="653"/>
      <c r="E74" s="653"/>
      <c r="F74" s="653"/>
      <c r="G74" s="653"/>
      <c r="H74" s="658" t="s">
        <v>26</v>
      </c>
      <c r="I74" s="659"/>
      <c r="J74" s="659"/>
      <c r="K74" s="659"/>
      <c r="L74" s="659"/>
      <c r="M74" s="659"/>
      <c r="N74" s="650">
        <v>0</v>
      </c>
      <c r="O74" s="650"/>
      <c r="P74" s="650"/>
      <c r="Q74" s="191" t="s">
        <v>27</v>
      </c>
      <c r="R74" s="650">
        <f>$AX$19*N74</f>
        <v>0</v>
      </c>
      <c r="S74" s="650"/>
      <c r="T74" s="650"/>
      <c r="U74" s="650"/>
      <c r="V74" s="650"/>
      <c r="W74" s="191" t="s">
        <v>28</v>
      </c>
      <c r="X74" s="191" t="s">
        <v>29</v>
      </c>
      <c r="Y74" s="191"/>
      <c r="Z74" s="191"/>
      <c r="AA74" s="191"/>
      <c r="AB74" s="195"/>
      <c r="AC74" s="714"/>
      <c r="AD74" s="704"/>
      <c r="AE74" s="704"/>
      <c r="AF74" s="704"/>
      <c r="AG74" s="735"/>
      <c r="AH74" s="714"/>
      <c r="AI74" s="704"/>
      <c r="AJ74" s="704"/>
      <c r="AK74" s="704"/>
      <c r="AL74" s="704"/>
      <c r="AM74" s="735"/>
      <c r="AN74" s="714"/>
      <c r="AO74" s="704"/>
      <c r="AP74" s="704"/>
      <c r="AQ74" s="704"/>
      <c r="AR74" s="735"/>
      <c r="AS74" s="664"/>
      <c r="AT74" s="664"/>
      <c r="AU74" s="664"/>
      <c r="AV74" s="664"/>
      <c r="AW74" s="664"/>
      <c r="AX74" s="714"/>
      <c r="AY74" s="704"/>
      <c r="AZ74" s="704"/>
      <c r="BA74" s="704"/>
      <c r="BB74" s="715"/>
    </row>
    <row r="75" spans="1:54" s="165" customFormat="1" ht="12" hidden="1" customHeight="1" x14ac:dyDescent="0.2">
      <c r="A75" s="652"/>
      <c r="B75" s="653"/>
      <c r="C75" s="653"/>
      <c r="D75" s="653"/>
      <c r="E75" s="653"/>
      <c r="F75" s="653"/>
      <c r="G75" s="653"/>
      <c r="H75" s="196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91"/>
      <c r="AA75" s="191"/>
      <c r="AB75" s="195"/>
      <c r="AC75" s="714"/>
      <c r="AD75" s="704"/>
      <c r="AE75" s="704"/>
      <c r="AF75" s="704"/>
      <c r="AG75" s="735"/>
      <c r="AH75" s="714"/>
      <c r="AI75" s="704"/>
      <c r="AJ75" s="704"/>
      <c r="AK75" s="704"/>
      <c r="AL75" s="704"/>
      <c r="AM75" s="735"/>
      <c r="AN75" s="714"/>
      <c r="AO75" s="704"/>
      <c r="AP75" s="704"/>
      <c r="AQ75" s="704"/>
      <c r="AR75" s="735"/>
      <c r="AS75" s="664"/>
      <c r="AT75" s="664"/>
      <c r="AU75" s="664"/>
      <c r="AV75" s="664"/>
      <c r="AW75" s="664"/>
      <c r="AX75" s="714"/>
      <c r="AY75" s="704"/>
      <c r="AZ75" s="704"/>
      <c r="BA75" s="704"/>
      <c r="BB75" s="715"/>
    </row>
    <row r="76" spans="1:54" s="165" customFormat="1" ht="15.75" hidden="1" customHeight="1" x14ac:dyDescent="0.2">
      <c r="A76" s="652"/>
      <c r="B76" s="653"/>
      <c r="C76" s="653"/>
      <c r="D76" s="653"/>
      <c r="E76" s="653"/>
      <c r="F76" s="653"/>
      <c r="G76" s="653"/>
      <c r="H76" s="197" t="s">
        <v>30</v>
      </c>
      <c r="I76" s="654">
        <v>0</v>
      </c>
      <c r="J76" s="654"/>
      <c r="K76" s="654"/>
      <c r="L76" s="191" t="s">
        <v>28</v>
      </c>
      <c r="M76" s="654">
        <v>0</v>
      </c>
      <c r="N76" s="654"/>
      <c r="O76" s="654"/>
      <c r="P76" s="191" t="s">
        <v>28</v>
      </c>
      <c r="Q76" s="654">
        <v>0</v>
      </c>
      <c r="R76" s="654"/>
      <c r="S76" s="654"/>
      <c r="T76" s="191" t="s">
        <v>28</v>
      </c>
      <c r="U76" s="654">
        <v>0</v>
      </c>
      <c r="V76" s="654"/>
      <c r="W76" s="654"/>
      <c r="X76" s="191" t="s">
        <v>31</v>
      </c>
      <c r="Y76" s="191" t="s">
        <v>28</v>
      </c>
      <c r="Z76" s="650">
        <v>2.6</v>
      </c>
      <c r="AA76" s="650"/>
      <c r="AB76" s="651"/>
      <c r="AC76" s="714"/>
      <c r="AD76" s="704"/>
      <c r="AE76" s="704"/>
      <c r="AF76" s="704"/>
      <c r="AG76" s="735"/>
      <c r="AH76" s="714"/>
      <c r="AI76" s="704"/>
      <c r="AJ76" s="704"/>
      <c r="AK76" s="704"/>
      <c r="AL76" s="704"/>
      <c r="AM76" s="735"/>
      <c r="AN76" s="714"/>
      <c r="AO76" s="704"/>
      <c r="AP76" s="704"/>
      <c r="AQ76" s="704"/>
      <c r="AR76" s="735"/>
      <c r="AS76" s="664"/>
      <c r="AT76" s="664"/>
      <c r="AU76" s="664"/>
      <c r="AV76" s="664"/>
      <c r="AW76" s="664"/>
      <c r="AX76" s="714"/>
      <c r="AY76" s="704"/>
      <c r="AZ76" s="704"/>
      <c r="BA76" s="704"/>
      <c r="BB76" s="715"/>
    </row>
    <row r="77" spans="1:54" ht="13.5" hidden="1" customHeight="1" thickBot="1" x14ac:dyDescent="0.25">
      <c r="A77" s="652"/>
      <c r="B77" s="653"/>
      <c r="C77" s="653"/>
      <c r="D77" s="653"/>
      <c r="E77" s="653"/>
      <c r="F77" s="653"/>
      <c r="G77" s="653"/>
      <c r="H77" s="198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200"/>
      <c r="AA77" s="200"/>
      <c r="AB77" s="201"/>
      <c r="AC77" s="770"/>
      <c r="AD77" s="721"/>
      <c r="AE77" s="721"/>
      <c r="AF77" s="721"/>
      <c r="AG77" s="851"/>
      <c r="AH77" s="716"/>
      <c r="AI77" s="669"/>
      <c r="AJ77" s="669"/>
      <c r="AK77" s="669"/>
      <c r="AL77" s="669"/>
      <c r="AM77" s="670"/>
      <c r="AN77" s="716"/>
      <c r="AO77" s="669"/>
      <c r="AP77" s="669"/>
      <c r="AQ77" s="669"/>
      <c r="AR77" s="670"/>
      <c r="AS77" s="664"/>
      <c r="AT77" s="664"/>
      <c r="AU77" s="664"/>
      <c r="AV77" s="664"/>
      <c r="AW77" s="664"/>
      <c r="AX77" s="716"/>
      <c r="AY77" s="669"/>
      <c r="AZ77" s="669"/>
      <c r="BA77" s="669"/>
      <c r="BB77" s="717"/>
    </row>
    <row r="78" spans="1:54" s="165" customFormat="1" ht="8.25" hidden="1" customHeight="1" x14ac:dyDescent="0.2">
      <c r="A78" s="660" t="s">
        <v>86</v>
      </c>
      <c r="B78" s="661"/>
      <c r="C78" s="661"/>
      <c r="D78" s="661"/>
      <c r="E78" s="661"/>
      <c r="F78" s="661"/>
      <c r="G78" s="661"/>
      <c r="H78" s="19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94" t="e">
        <f>#REF!</f>
        <v>#REF!</v>
      </c>
      <c r="AA78" s="191"/>
      <c r="AB78" s="195"/>
      <c r="AC78" s="662">
        <f>((R79+(R79*U81)+(R79*Q81)+(R79*M81)+(R79*I81))*Z81)*1.15</f>
        <v>0</v>
      </c>
      <c r="AD78" s="662"/>
      <c r="AE78" s="662"/>
      <c r="AF78" s="662"/>
      <c r="AG78" s="662"/>
      <c r="AH78" s="601">
        <v>144</v>
      </c>
      <c r="AI78" s="601"/>
      <c r="AJ78" s="601"/>
      <c r="AK78" s="601"/>
      <c r="AL78" s="601"/>
      <c r="AM78" s="601"/>
      <c r="AN78" s="601">
        <f>AC78/AH78</f>
        <v>0</v>
      </c>
      <c r="AO78" s="601"/>
      <c r="AP78" s="601"/>
      <c r="AQ78" s="601"/>
      <c r="AR78" s="601"/>
      <c r="AS78" s="663">
        <v>72</v>
      </c>
      <c r="AT78" s="663"/>
      <c r="AU78" s="663"/>
      <c r="AV78" s="663"/>
      <c r="AW78" s="663"/>
      <c r="AX78" s="601">
        <f>AN78*AS78</f>
        <v>0</v>
      </c>
      <c r="AY78" s="601"/>
      <c r="AZ78" s="601"/>
      <c r="BA78" s="601"/>
      <c r="BB78" s="655"/>
    </row>
    <row r="79" spans="1:54" s="165" customFormat="1" ht="27" hidden="1" customHeight="1" x14ac:dyDescent="0.2">
      <c r="A79" s="652"/>
      <c r="B79" s="653"/>
      <c r="C79" s="653"/>
      <c r="D79" s="653"/>
      <c r="E79" s="653"/>
      <c r="F79" s="653"/>
      <c r="G79" s="653"/>
      <c r="H79" s="658" t="s">
        <v>26</v>
      </c>
      <c r="I79" s="659"/>
      <c r="J79" s="659"/>
      <c r="K79" s="659"/>
      <c r="L79" s="659"/>
      <c r="M79" s="659"/>
      <c r="N79" s="650">
        <v>0</v>
      </c>
      <c r="O79" s="650"/>
      <c r="P79" s="650"/>
      <c r="Q79" s="191" t="s">
        <v>27</v>
      </c>
      <c r="R79" s="650">
        <f>$AX$19*N79</f>
        <v>0</v>
      </c>
      <c r="S79" s="650"/>
      <c r="T79" s="650"/>
      <c r="U79" s="650"/>
      <c r="V79" s="650"/>
      <c r="W79" s="191" t="s">
        <v>28</v>
      </c>
      <c r="X79" s="191" t="s">
        <v>29</v>
      </c>
      <c r="Y79" s="191"/>
      <c r="Z79" s="191"/>
      <c r="AA79" s="191"/>
      <c r="AB79" s="195"/>
      <c r="AC79" s="601"/>
      <c r="AD79" s="601"/>
      <c r="AE79" s="601"/>
      <c r="AF79" s="601"/>
      <c r="AG79" s="601"/>
      <c r="AH79" s="601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64"/>
      <c r="AT79" s="664"/>
      <c r="AU79" s="664"/>
      <c r="AV79" s="664"/>
      <c r="AW79" s="664"/>
      <c r="AX79" s="601"/>
      <c r="AY79" s="601"/>
      <c r="AZ79" s="601"/>
      <c r="BA79" s="601"/>
      <c r="BB79" s="655"/>
    </row>
    <row r="80" spans="1:54" s="165" customFormat="1" ht="6.75" hidden="1" customHeight="1" x14ac:dyDescent="0.2">
      <c r="A80" s="652"/>
      <c r="B80" s="653"/>
      <c r="C80" s="653"/>
      <c r="D80" s="653"/>
      <c r="E80" s="653"/>
      <c r="F80" s="653"/>
      <c r="G80" s="653"/>
      <c r="H80" s="19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91"/>
      <c r="AA80" s="191"/>
      <c r="AB80" s="195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ht="12" hidden="1" customHeight="1" x14ac:dyDescent="0.2">
      <c r="A81" s="652"/>
      <c r="B81" s="653"/>
      <c r="C81" s="653"/>
      <c r="D81" s="653"/>
      <c r="E81" s="653"/>
      <c r="F81" s="653"/>
      <c r="G81" s="653"/>
      <c r="H81" s="197" t="s">
        <v>30</v>
      </c>
      <c r="I81" s="654">
        <v>0.2</v>
      </c>
      <c r="J81" s="654"/>
      <c r="K81" s="654"/>
      <c r="L81" s="191" t="s">
        <v>28</v>
      </c>
      <c r="M81" s="654">
        <v>0</v>
      </c>
      <c r="N81" s="654"/>
      <c r="O81" s="654"/>
      <c r="P81" s="191" t="s">
        <v>28</v>
      </c>
      <c r="Q81" s="654">
        <v>0</v>
      </c>
      <c r="R81" s="654"/>
      <c r="S81" s="654"/>
      <c r="T81" s="191" t="s">
        <v>28</v>
      </c>
      <c r="U81" s="654">
        <v>0</v>
      </c>
      <c r="V81" s="654"/>
      <c r="W81" s="654"/>
      <c r="X81" s="191" t="s">
        <v>31</v>
      </c>
      <c r="Y81" s="191" t="s">
        <v>28</v>
      </c>
      <c r="Z81" s="650">
        <v>2.6</v>
      </c>
      <c r="AA81" s="650"/>
      <c r="AB81" s="651"/>
      <c r="AC81" s="601"/>
      <c r="AD81" s="601"/>
      <c r="AE81" s="601"/>
      <c r="AF81" s="601"/>
      <c r="AG81" s="601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3.5" hidden="1" customHeight="1" thickBot="1" x14ac:dyDescent="0.25">
      <c r="A82" s="652"/>
      <c r="B82" s="653"/>
      <c r="C82" s="653"/>
      <c r="D82" s="653"/>
      <c r="E82" s="653"/>
      <c r="F82" s="653"/>
      <c r="G82" s="653"/>
      <c r="H82" s="202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4"/>
      <c r="AA82" s="204"/>
      <c r="AB82" s="205"/>
      <c r="AC82" s="601"/>
      <c r="AD82" s="601"/>
      <c r="AE82" s="601"/>
      <c r="AF82" s="601"/>
      <c r="AG82" s="601"/>
      <c r="AH82" s="656"/>
      <c r="AI82" s="656"/>
      <c r="AJ82" s="656"/>
      <c r="AK82" s="656"/>
      <c r="AL82" s="656"/>
      <c r="AM82" s="656"/>
      <c r="AN82" s="656"/>
      <c r="AO82" s="656"/>
      <c r="AP82" s="656"/>
      <c r="AQ82" s="656"/>
      <c r="AR82" s="656"/>
      <c r="AS82" s="664"/>
      <c r="AT82" s="664"/>
      <c r="AU82" s="664"/>
      <c r="AV82" s="664"/>
      <c r="AW82" s="664"/>
      <c r="AX82" s="656"/>
      <c r="AY82" s="656"/>
      <c r="AZ82" s="656"/>
      <c r="BA82" s="656"/>
      <c r="BB82" s="657"/>
    </row>
    <row r="83" spans="1:54" ht="12" x14ac:dyDescent="0.2">
      <c r="R83" s="169" t="s">
        <v>18</v>
      </c>
      <c r="S83" s="170"/>
      <c r="T83" s="170"/>
      <c r="U83" s="171"/>
      <c r="V83" s="171"/>
      <c r="W83" s="171"/>
      <c r="X83" s="171"/>
      <c r="Y83" s="171"/>
      <c r="Z83" s="171"/>
      <c r="AA83" s="171"/>
      <c r="AB83" s="171"/>
      <c r="AC83" s="171"/>
      <c r="AD83" s="171" t="s">
        <v>19</v>
      </c>
      <c r="AE83" s="171" t="s">
        <v>20</v>
      </c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2"/>
      <c r="AS83" s="453">
        <f>AX83/U12</f>
        <v>281.66666666666669</v>
      </c>
      <c r="AT83" s="453"/>
      <c r="AU83" s="453"/>
      <c r="AV83" s="453"/>
      <c r="AW83" s="453"/>
      <c r="AX83" s="453">
        <f>SUM(AX58:BB82)</f>
        <v>10140</v>
      </c>
      <c r="AY83" s="453"/>
      <c r="AZ83" s="453"/>
      <c r="BA83" s="453"/>
      <c r="BB83" s="454"/>
    </row>
    <row r="84" spans="1:54" ht="11.25" customHeight="1" thickBot="1" x14ac:dyDescent="0.25">
      <c r="R84" s="175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 t="s">
        <v>19</v>
      </c>
      <c r="AE84" s="176" t="s">
        <v>21</v>
      </c>
      <c r="AF84" s="176"/>
      <c r="AG84" s="176"/>
      <c r="AH84" s="176"/>
      <c r="AI84" s="176"/>
      <c r="AJ84" s="176"/>
      <c r="AK84" s="176"/>
      <c r="AL84" s="176"/>
      <c r="AM84" s="176"/>
      <c r="AN84" s="176"/>
      <c r="AO84" s="630">
        <v>0.30199999999999999</v>
      </c>
      <c r="AP84" s="631"/>
      <c r="AQ84" s="631"/>
      <c r="AR84" s="632"/>
      <c r="AS84" s="463">
        <f>AX84/U12</f>
        <v>85.063333333333333</v>
      </c>
      <c r="AT84" s="463"/>
      <c r="AU84" s="463"/>
      <c r="AV84" s="463"/>
      <c r="AW84" s="463"/>
      <c r="AX84" s="463">
        <f>AX83*AO84</f>
        <v>3062.2799999999997</v>
      </c>
      <c r="AY84" s="463"/>
      <c r="AZ84" s="463"/>
      <c r="BA84" s="463"/>
      <c r="BB84" s="633"/>
    </row>
    <row r="85" spans="1:54" ht="11.25" customHeight="1" thickBot="1" x14ac:dyDescent="0.25">
      <c r="M85" s="164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206"/>
      <c r="AP85" s="179"/>
      <c r="AQ85" s="179"/>
      <c r="AR85" s="179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</row>
    <row r="86" spans="1:54" ht="12" customHeight="1" x14ac:dyDescent="0.2">
      <c r="A86" s="634" t="s">
        <v>32</v>
      </c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34"/>
      <c r="O86" s="635" t="s">
        <v>33</v>
      </c>
      <c r="P86" s="636"/>
      <c r="Q86" s="636"/>
      <c r="R86" s="636"/>
      <c r="S86" s="636"/>
      <c r="T86" s="636"/>
      <c r="U86" s="636"/>
      <c r="V86" s="636"/>
      <c r="W86" s="636"/>
      <c r="X86" s="636"/>
      <c r="Y86" s="636"/>
      <c r="Z86" s="636"/>
      <c r="AA86" s="636"/>
      <c r="AB86" s="636"/>
      <c r="AC86" s="636"/>
      <c r="AD86" s="636"/>
      <c r="AE86" s="636"/>
      <c r="AF86" s="636"/>
      <c r="AG86" s="636"/>
      <c r="AH86" s="636"/>
      <c r="AI86" s="636"/>
      <c r="AJ86" s="636"/>
      <c r="AK86" s="636"/>
      <c r="AL86" s="636"/>
      <c r="AM86" s="636"/>
      <c r="AN86" s="636"/>
      <c r="AO86" s="637">
        <f>AS34+AS51+AS83</f>
        <v>394.33333333333337</v>
      </c>
      <c r="AP86" s="637"/>
      <c r="AQ86" s="637"/>
      <c r="AR86" s="637"/>
      <c r="AS86" s="637"/>
      <c r="AT86" s="637"/>
      <c r="AU86" s="637"/>
      <c r="AV86" s="637">
        <f>AX34+AX51+AX83</f>
        <v>14196</v>
      </c>
      <c r="AW86" s="637"/>
      <c r="AX86" s="637"/>
      <c r="AY86" s="637"/>
      <c r="AZ86" s="637"/>
      <c r="BA86" s="637"/>
      <c r="BB86" s="638"/>
    </row>
    <row r="87" spans="1:54" ht="12" customHeight="1" thickBot="1" x14ac:dyDescent="0.25">
      <c r="M87" s="163"/>
      <c r="O87" s="643" t="s">
        <v>34</v>
      </c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4"/>
      <c r="AI87" s="644"/>
      <c r="AJ87" s="644"/>
      <c r="AK87" s="644"/>
      <c r="AL87" s="644"/>
      <c r="AM87" s="644"/>
      <c r="AN87" s="644"/>
      <c r="AO87" s="645">
        <f>AS35+AS52+AS84</f>
        <v>119.08866666666667</v>
      </c>
      <c r="AP87" s="645"/>
      <c r="AQ87" s="645"/>
      <c r="AR87" s="645"/>
      <c r="AS87" s="645"/>
      <c r="AT87" s="645"/>
      <c r="AU87" s="645"/>
      <c r="AV87" s="645">
        <f>AX35+AX52+AX84</f>
        <v>4287.192</v>
      </c>
      <c r="AW87" s="645"/>
      <c r="AX87" s="645"/>
      <c r="AY87" s="645"/>
      <c r="AZ87" s="645"/>
      <c r="BA87" s="645"/>
      <c r="BB87" s="646"/>
    </row>
    <row r="88" spans="1:54" ht="12" customHeight="1" thickBot="1" x14ac:dyDescent="0.25">
      <c r="M88" s="208" t="s">
        <v>35</v>
      </c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10"/>
      <c r="AO88" s="647">
        <f>AO87+AO86</f>
        <v>513.42200000000003</v>
      </c>
      <c r="AP88" s="648"/>
      <c r="AQ88" s="648"/>
      <c r="AR88" s="648"/>
      <c r="AS88" s="648"/>
      <c r="AT88" s="648"/>
      <c r="AU88" s="648"/>
      <c r="AV88" s="648">
        <f>AV86+AV87</f>
        <v>18483.191999999999</v>
      </c>
      <c r="AW88" s="648"/>
      <c r="AX88" s="648"/>
      <c r="AY88" s="648"/>
      <c r="AZ88" s="648"/>
      <c r="BA88" s="648"/>
      <c r="BB88" s="649"/>
    </row>
    <row r="89" spans="1:54" ht="10.5" customHeight="1" x14ac:dyDescent="0.2"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</row>
    <row r="90" spans="1:54" s="159" customFormat="1" ht="15" customHeight="1" x14ac:dyDescent="0.2">
      <c r="A90" s="159" t="s">
        <v>36</v>
      </c>
      <c r="C90" s="159" t="s">
        <v>37</v>
      </c>
      <c r="AX90" s="160"/>
      <c r="AY90" s="160"/>
      <c r="AZ90" s="160"/>
      <c r="BA90" s="160"/>
      <c r="BB90" s="160"/>
    </row>
    <row r="91" spans="1:54" ht="12" customHeight="1" thickBot="1" x14ac:dyDescent="0.25"/>
    <row r="92" spans="1:54" s="163" customFormat="1" ht="39" customHeight="1" thickBot="1" x14ac:dyDescent="0.25">
      <c r="A92" s="1362" t="s">
        <v>38</v>
      </c>
      <c r="B92" s="1360"/>
      <c r="C92" s="1360"/>
      <c r="D92" s="1360"/>
      <c r="E92" s="1360"/>
      <c r="F92" s="1360"/>
      <c r="G92" s="1360"/>
      <c r="H92" s="1360"/>
      <c r="I92" s="1360"/>
      <c r="J92" s="1360"/>
      <c r="K92" s="1360"/>
      <c r="L92" s="1360"/>
      <c r="M92" s="1360"/>
      <c r="N92" s="1360"/>
      <c r="O92" s="1360"/>
      <c r="P92" s="1360"/>
      <c r="Q92" s="1363" t="s">
        <v>39</v>
      </c>
      <c r="R92" s="1363"/>
      <c r="S92" s="1363"/>
      <c r="T92" s="1363"/>
      <c r="U92" s="1363"/>
      <c r="V92" s="1363"/>
      <c r="W92" s="1363"/>
      <c r="X92" s="1363" t="s">
        <v>40</v>
      </c>
      <c r="Y92" s="1363"/>
      <c r="Z92" s="1363"/>
      <c r="AA92" s="1363"/>
      <c r="AB92" s="1363"/>
      <c r="AC92" s="1363"/>
      <c r="AD92" s="1363"/>
      <c r="AE92" s="1363" t="s">
        <v>41</v>
      </c>
      <c r="AF92" s="1363"/>
      <c r="AG92" s="1363"/>
      <c r="AH92" s="1363"/>
      <c r="AI92" s="1363"/>
      <c r="AJ92" s="1363"/>
      <c r="AK92" s="1363"/>
      <c r="AL92" s="1363"/>
      <c r="AM92" s="1360" t="s">
        <v>42</v>
      </c>
      <c r="AN92" s="1360"/>
      <c r="AO92" s="1360"/>
      <c r="AP92" s="1360"/>
      <c r="AQ92" s="1360"/>
      <c r="AR92" s="1360"/>
      <c r="AS92" s="1360"/>
      <c r="AT92" s="1360"/>
      <c r="AU92" s="1360"/>
      <c r="AV92" s="1360" t="s">
        <v>43</v>
      </c>
      <c r="AW92" s="1360"/>
      <c r="AX92" s="1360"/>
      <c r="AY92" s="1360"/>
      <c r="AZ92" s="1360"/>
      <c r="BA92" s="1360"/>
      <c r="BB92" s="1361"/>
    </row>
    <row r="93" spans="1:54" s="163" customFormat="1" ht="12" customHeight="1" thickBot="1" x14ac:dyDescent="0.25">
      <c r="A93" s="892">
        <v>1</v>
      </c>
      <c r="B93" s="890"/>
      <c r="C93" s="890"/>
      <c r="D93" s="890"/>
      <c r="E93" s="890"/>
      <c r="F93" s="890"/>
      <c r="G93" s="890"/>
      <c r="H93" s="890"/>
      <c r="I93" s="890"/>
      <c r="J93" s="890"/>
      <c r="K93" s="890"/>
      <c r="L93" s="890"/>
      <c r="M93" s="890"/>
      <c r="N93" s="890"/>
      <c r="O93" s="890"/>
      <c r="P93" s="890"/>
      <c r="Q93" s="890">
        <v>2</v>
      </c>
      <c r="R93" s="890"/>
      <c r="S93" s="890"/>
      <c r="T93" s="890"/>
      <c r="U93" s="890"/>
      <c r="V93" s="890"/>
      <c r="W93" s="890"/>
      <c r="X93" s="890">
        <v>3</v>
      </c>
      <c r="Y93" s="890"/>
      <c r="Z93" s="890"/>
      <c r="AA93" s="890"/>
      <c r="AB93" s="890"/>
      <c r="AC93" s="890"/>
      <c r="AD93" s="890"/>
      <c r="AE93" s="890">
        <v>4</v>
      </c>
      <c r="AF93" s="890"/>
      <c r="AG93" s="890"/>
      <c r="AH93" s="890"/>
      <c r="AI93" s="890"/>
      <c r="AJ93" s="890"/>
      <c r="AK93" s="890"/>
      <c r="AL93" s="890"/>
      <c r="AM93" s="890">
        <v>5</v>
      </c>
      <c r="AN93" s="890"/>
      <c r="AO93" s="890"/>
      <c r="AP93" s="890"/>
      <c r="AQ93" s="890"/>
      <c r="AR93" s="890"/>
      <c r="AS93" s="890"/>
      <c r="AT93" s="890"/>
      <c r="AU93" s="890"/>
      <c r="AV93" s="890">
        <v>6</v>
      </c>
      <c r="AW93" s="890"/>
      <c r="AX93" s="890"/>
      <c r="AY93" s="890"/>
      <c r="AZ93" s="890"/>
      <c r="BA93" s="890"/>
      <c r="BB93" s="891"/>
    </row>
    <row r="94" spans="1:54" ht="15" customHeight="1" x14ac:dyDescent="0.2">
      <c r="A94" s="618" t="s">
        <v>44</v>
      </c>
      <c r="B94" s="619"/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9"/>
      <c r="Q94" s="572">
        <v>5014.7</v>
      </c>
      <c r="R94" s="573"/>
      <c r="S94" s="573"/>
      <c r="T94" s="573"/>
      <c r="U94" s="573"/>
      <c r="V94" s="573"/>
      <c r="W94" s="574"/>
      <c r="X94" s="572">
        <v>53.8</v>
      </c>
      <c r="Y94" s="573"/>
      <c r="Z94" s="573"/>
      <c r="AA94" s="573"/>
      <c r="AB94" s="573"/>
      <c r="AC94" s="573"/>
      <c r="AD94" s="574"/>
      <c r="AE94" s="477">
        <v>1543273.99</v>
      </c>
      <c r="AF94" s="477"/>
      <c r="AG94" s="477"/>
      <c r="AH94" s="477"/>
      <c r="AI94" s="477"/>
      <c r="AJ94" s="477"/>
      <c r="AK94" s="477"/>
      <c r="AL94" s="477"/>
      <c r="AM94" s="620" t="s">
        <v>45</v>
      </c>
      <c r="AN94" s="621"/>
      <c r="AO94" s="621"/>
      <c r="AP94" s="621"/>
      <c r="AQ94" s="621"/>
      <c r="AR94" s="621"/>
      <c r="AS94" s="621"/>
      <c r="AT94" s="621"/>
      <c r="AU94" s="622"/>
      <c r="AV94" s="615">
        <f>AE94/$Q$94*$X$94/($AN$95*$AN$96)</f>
        <v>5.5860157548413607</v>
      </c>
      <c r="AW94" s="615"/>
      <c r="AX94" s="615"/>
      <c r="AY94" s="615"/>
      <c r="AZ94" s="615"/>
      <c r="BA94" s="615"/>
      <c r="BB94" s="616"/>
    </row>
    <row r="95" spans="1:54" ht="15" customHeight="1" x14ac:dyDescent="0.2">
      <c r="A95" s="618" t="s">
        <v>46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/>
      <c r="R95" s="573"/>
      <c r="S95" s="573"/>
      <c r="T95" s="573"/>
      <c r="U95" s="573"/>
      <c r="V95" s="573"/>
      <c r="W95" s="574"/>
      <c r="X95" s="572"/>
      <c r="Y95" s="573"/>
      <c r="Z95" s="573"/>
      <c r="AA95" s="573"/>
      <c r="AB95" s="573"/>
      <c r="AC95" s="573"/>
      <c r="AD95" s="574"/>
      <c r="AE95" s="529">
        <v>2640483.81</v>
      </c>
      <c r="AF95" s="529"/>
      <c r="AG95" s="529"/>
      <c r="AH95" s="529"/>
      <c r="AI95" s="529"/>
      <c r="AJ95" s="529"/>
      <c r="AK95" s="529"/>
      <c r="AL95" s="529"/>
      <c r="AM95" s="213"/>
      <c r="AN95" s="623">
        <v>247</v>
      </c>
      <c r="AO95" s="623"/>
      <c r="AP95" s="623"/>
      <c r="AQ95" s="617" t="s">
        <v>47</v>
      </c>
      <c r="AR95" s="617"/>
      <c r="AS95" s="617"/>
      <c r="AT95" s="617"/>
      <c r="AU95" s="214"/>
      <c r="AV95" s="615">
        <f>AE95/$Q$94*$X$94/($AN$95*$AN$96)</f>
        <v>9.5574630678921384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449" t="s">
        <v>48</v>
      </c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  <c r="M96" s="450"/>
      <c r="N96" s="450"/>
      <c r="O96" s="450"/>
      <c r="P96" s="451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529">
        <v>4214618.8899999997</v>
      </c>
      <c r="AF96" s="529"/>
      <c r="AG96" s="529"/>
      <c r="AH96" s="529"/>
      <c r="AI96" s="529"/>
      <c r="AJ96" s="529"/>
      <c r="AK96" s="529"/>
      <c r="AL96" s="529"/>
      <c r="AM96" s="213"/>
      <c r="AN96" s="562">
        <v>12</v>
      </c>
      <c r="AO96" s="562"/>
      <c r="AP96" s="562"/>
      <c r="AQ96" s="617" t="s">
        <v>49</v>
      </c>
      <c r="AR96" s="617"/>
      <c r="AS96" s="617"/>
      <c r="AT96" s="617"/>
      <c r="AU96" s="214"/>
      <c r="AV96" s="615">
        <f>AE96/$Q$94*$X$94/($AN$95*$AN$96)</f>
        <v>15.255183248563661</v>
      </c>
      <c r="AW96" s="615"/>
      <c r="AX96" s="615"/>
      <c r="AY96" s="615"/>
      <c r="AZ96" s="615"/>
      <c r="BA96" s="615"/>
      <c r="BB96" s="616"/>
    </row>
    <row r="97" spans="1:57" ht="15" customHeight="1" thickBot="1" x14ac:dyDescent="0.25">
      <c r="A97" s="624" t="s">
        <v>50</v>
      </c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6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627">
        <v>1852856.09</v>
      </c>
      <c r="AF97" s="627"/>
      <c r="AG97" s="627"/>
      <c r="AH97" s="627"/>
      <c r="AI97" s="627"/>
      <c r="AJ97" s="627"/>
      <c r="AK97" s="627"/>
      <c r="AL97" s="627"/>
      <c r="AM97" s="213"/>
      <c r="AN97" s="186"/>
      <c r="AO97" s="186"/>
      <c r="AP97" s="186"/>
      <c r="AQ97" s="186"/>
      <c r="AR97" s="186"/>
      <c r="AS97" s="186"/>
      <c r="AT97" s="186"/>
      <c r="AU97" s="214"/>
      <c r="AV97" s="628">
        <f>AE97/$Q$94*$X$94/($AN$95*$AN$96)</f>
        <v>6.7065753568449384</v>
      </c>
      <c r="AW97" s="628"/>
      <c r="AX97" s="628"/>
      <c r="AY97" s="628"/>
      <c r="AZ97" s="628"/>
      <c r="BA97" s="628"/>
      <c r="BB97" s="629"/>
    </row>
    <row r="98" spans="1:57" s="161" customFormat="1" ht="15" customHeight="1" thickBot="1" x14ac:dyDescent="0.25">
      <c r="A98" s="610" t="s">
        <v>51</v>
      </c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531">
        <f>Q94</f>
        <v>5014.7</v>
      </c>
      <c r="R98" s="533"/>
      <c r="S98" s="533"/>
      <c r="T98" s="533"/>
      <c r="U98" s="533"/>
      <c r="V98" s="533"/>
      <c r="W98" s="534"/>
      <c r="X98" s="531">
        <f>X94</f>
        <v>53.8</v>
      </c>
      <c r="Y98" s="533"/>
      <c r="Z98" s="533"/>
      <c r="AA98" s="533"/>
      <c r="AB98" s="533"/>
      <c r="AC98" s="533"/>
      <c r="AD98" s="534"/>
      <c r="AE98" s="612">
        <f>SUM(AE94:AL97)</f>
        <v>10251232.779999999</v>
      </c>
      <c r="AF98" s="612"/>
      <c r="AG98" s="612"/>
      <c r="AH98" s="612"/>
      <c r="AI98" s="612"/>
      <c r="AJ98" s="612"/>
      <c r="AK98" s="612"/>
      <c r="AL98" s="612"/>
      <c r="AM98" s="531" t="s">
        <v>17</v>
      </c>
      <c r="AN98" s="533"/>
      <c r="AO98" s="533"/>
      <c r="AP98" s="533"/>
      <c r="AQ98" s="533"/>
      <c r="AR98" s="533"/>
      <c r="AS98" s="533"/>
      <c r="AT98" s="533"/>
      <c r="AU98" s="534"/>
      <c r="AV98" s="613">
        <f>SUM(AV94:BB97)</f>
        <v>37.105237428142097</v>
      </c>
      <c r="AW98" s="613"/>
      <c r="AX98" s="613"/>
      <c r="AY98" s="613"/>
      <c r="AZ98" s="613"/>
      <c r="BA98" s="613"/>
      <c r="BB98" s="614"/>
    </row>
    <row r="99" spans="1:57" ht="12" customHeight="1" x14ac:dyDescent="0.2"/>
    <row r="100" spans="1:57" s="159" customFormat="1" ht="15" customHeight="1" x14ac:dyDescent="0.2">
      <c r="A100" s="159" t="s">
        <v>52</v>
      </c>
      <c r="C100" s="159" t="s">
        <v>53</v>
      </c>
      <c r="AX100" s="160"/>
      <c r="AY100" s="160"/>
      <c r="AZ100" s="160"/>
      <c r="BA100" s="160"/>
      <c r="BB100" s="160"/>
    </row>
    <row r="101" spans="1:57" ht="12" customHeight="1" thickBot="1" x14ac:dyDescent="0.25"/>
    <row r="102" spans="1:57" ht="39" customHeight="1" thickBot="1" x14ac:dyDescent="0.25">
      <c r="A102" s="901" t="s">
        <v>54</v>
      </c>
      <c r="B102" s="552"/>
      <c r="C102" s="552"/>
      <c r="D102" s="552"/>
      <c r="E102" s="552"/>
      <c r="F102" s="552"/>
      <c r="G102" s="552"/>
      <c r="H102" s="552"/>
      <c r="I102" s="552"/>
      <c r="J102" s="552"/>
      <c r="K102" s="552"/>
      <c r="L102" s="552"/>
      <c r="M102" s="552"/>
      <c r="N102" s="552"/>
      <c r="O102" s="552"/>
      <c r="P102" s="552"/>
      <c r="Q102" s="552"/>
      <c r="R102" s="552"/>
      <c r="S102" s="552"/>
      <c r="T102" s="552"/>
      <c r="U102" s="552"/>
      <c r="V102" s="552"/>
      <c r="W102" s="552"/>
      <c r="X102" s="552"/>
      <c r="Y102" s="552"/>
      <c r="Z102" s="553"/>
      <c r="AA102" s="902" t="s">
        <v>55</v>
      </c>
      <c r="AB102" s="903"/>
      <c r="AC102" s="903"/>
      <c r="AD102" s="903"/>
      <c r="AE102" s="903"/>
      <c r="AF102" s="904"/>
      <c r="AG102" s="902" t="s">
        <v>56</v>
      </c>
      <c r="AH102" s="903"/>
      <c r="AI102" s="903"/>
      <c r="AJ102" s="903"/>
      <c r="AK102" s="903"/>
      <c r="AL102" s="904"/>
      <c r="AM102" s="551" t="s">
        <v>57</v>
      </c>
      <c r="AN102" s="552"/>
      <c r="AO102" s="552"/>
      <c r="AP102" s="552"/>
      <c r="AQ102" s="552"/>
      <c r="AR102" s="552"/>
      <c r="AS102" s="552"/>
      <c r="AT102" s="553"/>
      <c r="AU102" s="551" t="s">
        <v>43</v>
      </c>
      <c r="AV102" s="552"/>
      <c r="AW102" s="552"/>
      <c r="AX102" s="552"/>
      <c r="AY102" s="552"/>
      <c r="AZ102" s="552"/>
      <c r="BA102" s="552"/>
      <c r="BB102" s="584"/>
    </row>
    <row r="103" spans="1:57" ht="15.75" customHeight="1" thickBot="1" x14ac:dyDescent="0.25">
      <c r="A103" s="899">
        <v>1</v>
      </c>
      <c r="B103" s="631"/>
      <c r="C103" s="631"/>
      <c r="D103" s="631"/>
      <c r="E103" s="631"/>
      <c r="F103" s="631"/>
      <c r="G103" s="631"/>
      <c r="H103" s="631"/>
      <c r="I103" s="631"/>
      <c r="J103" s="631"/>
      <c r="K103" s="631"/>
      <c r="L103" s="631"/>
      <c r="M103" s="631"/>
      <c r="N103" s="631"/>
      <c r="O103" s="631"/>
      <c r="P103" s="631"/>
      <c r="Q103" s="631"/>
      <c r="R103" s="631"/>
      <c r="S103" s="631"/>
      <c r="T103" s="631"/>
      <c r="U103" s="631"/>
      <c r="V103" s="631"/>
      <c r="W103" s="631"/>
      <c r="X103" s="631"/>
      <c r="Y103" s="631"/>
      <c r="Z103" s="632"/>
      <c r="AA103" s="893">
        <v>2</v>
      </c>
      <c r="AB103" s="631"/>
      <c r="AC103" s="631"/>
      <c r="AD103" s="631"/>
      <c r="AE103" s="631"/>
      <c r="AF103" s="632"/>
      <c r="AG103" s="893">
        <v>3</v>
      </c>
      <c r="AH103" s="631"/>
      <c r="AI103" s="631"/>
      <c r="AJ103" s="631"/>
      <c r="AK103" s="631"/>
      <c r="AL103" s="632"/>
      <c r="AM103" s="893">
        <v>4</v>
      </c>
      <c r="AN103" s="631"/>
      <c r="AO103" s="631"/>
      <c r="AP103" s="631"/>
      <c r="AQ103" s="631"/>
      <c r="AR103" s="631"/>
      <c r="AS103" s="631"/>
      <c r="AT103" s="632"/>
      <c r="AU103" s="893">
        <v>5</v>
      </c>
      <c r="AV103" s="631"/>
      <c r="AW103" s="631"/>
      <c r="AX103" s="631"/>
      <c r="AY103" s="631"/>
      <c r="AZ103" s="631"/>
      <c r="BA103" s="631"/>
      <c r="BB103" s="900"/>
    </row>
    <row r="104" spans="1:57" ht="1.5" hidden="1" customHeight="1" x14ac:dyDescent="0.2">
      <c r="A104" s="566" t="s">
        <v>77</v>
      </c>
      <c r="B104" s="567"/>
      <c r="C104" s="567"/>
      <c r="D104" s="567"/>
      <c r="E104" s="567"/>
      <c r="F104" s="567"/>
      <c r="G104" s="567"/>
      <c r="H104" s="567"/>
      <c r="I104" s="567"/>
      <c r="J104" s="567"/>
      <c r="K104" s="567"/>
      <c r="L104" s="567"/>
      <c r="M104" s="567"/>
      <c r="N104" s="567"/>
      <c r="O104" s="567"/>
      <c r="P104" s="567"/>
      <c r="Q104" s="567"/>
      <c r="R104" s="567"/>
      <c r="S104" s="567"/>
      <c r="T104" s="567"/>
      <c r="U104" s="567"/>
      <c r="V104" s="567"/>
      <c r="W104" s="567"/>
      <c r="X104" s="567"/>
      <c r="Y104" s="567"/>
      <c r="Z104" s="568"/>
      <c r="AA104" s="604"/>
      <c r="AB104" s="605"/>
      <c r="AC104" s="605"/>
      <c r="AD104" s="605"/>
      <c r="AE104" s="605"/>
      <c r="AF104" s="606"/>
      <c r="AG104" s="569">
        <f>U12</f>
        <v>36</v>
      </c>
      <c r="AH104" s="570"/>
      <c r="AI104" s="570"/>
      <c r="AJ104" s="570"/>
      <c r="AK104" s="570"/>
      <c r="AL104" s="571"/>
      <c r="AM104" s="569" t="s">
        <v>58</v>
      </c>
      <c r="AN104" s="570"/>
      <c r="AO104" s="570"/>
      <c r="AP104" s="570"/>
      <c r="AQ104" s="570"/>
      <c r="AR104" s="570"/>
      <c r="AS104" s="570"/>
      <c r="AT104" s="571"/>
      <c r="AU104" s="607">
        <f>AA104/AG104</f>
        <v>0</v>
      </c>
      <c r="AV104" s="608"/>
      <c r="AW104" s="608"/>
      <c r="AX104" s="608"/>
      <c r="AY104" s="608"/>
      <c r="AZ104" s="608"/>
      <c r="BA104" s="608"/>
      <c r="BB104" s="609"/>
    </row>
    <row r="105" spans="1:57" ht="14.25" customHeight="1" x14ac:dyDescent="0.2">
      <c r="A105" s="593" t="s">
        <v>90</v>
      </c>
      <c r="B105" s="594"/>
      <c r="C105" s="594"/>
      <c r="D105" s="594"/>
      <c r="E105" s="594"/>
      <c r="F105" s="594"/>
      <c r="G105" s="594"/>
      <c r="H105" s="594"/>
      <c r="I105" s="594"/>
      <c r="J105" s="594"/>
      <c r="K105" s="594"/>
      <c r="L105" s="594"/>
      <c r="M105" s="594"/>
      <c r="N105" s="594"/>
      <c r="O105" s="594"/>
      <c r="P105" s="594"/>
      <c r="Q105" s="594"/>
      <c r="R105" s="594"/>
      <c r="S105" s="594"/>
      <c r="T105" s="594"/>
      <c r="U105" s="594"/>
      <c r="V105" s="594"/>
      <c r="W105" s="594"/>
      <c r="X105" s="594"/>
      <c r="Y105" s="594"/>
      <c r="Z105" s="595"/>
      <c r="AA105" s="596">
        <v>300</v>
      </c>
      <c r="AB105" s="597"/>
      <c r="AC105" s="597"/>
      <c r="AD105" s="597"/>
      <c r="AE105" s="597"/>
      <c r="AF105" s="59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590">
        <f>AA105/AG104</f>
        <v>8.3333333333333339</v>
      </c>
      <c r="AV105" s="591"/>
      <c r="AW105" s="591"/>
      <c r="AX105" s="591"/>
      <c r="AY105" s="591"/>
      <c r="AZ105" s="591"/>
      <c r="BA105" s="591"/>
      <c r="BB105" s="592"/>
    </row>
    <row r="106" spans="1:57" ht="14.25" customHeight="1" x14ac:dyDescent="0.2">
      <c r="A106" s="593" t="s">
        <v>105</v>
      </c>
      <c r="B106" s="594"/>
      <c r="C106" s="594"/>
      <c r="D106" s="594"/>
      <c r="E106" s="594"/>
      <c r="F106" s="594"/>
      <c r="G106" s="594"/>
      <c r="H106" s="594"/>
      <c r="I106" s="594"/>
      <c r="J106" s="594"/>
      <c r="K106" s="594"/>
      <c r="L106" s="594"/>
      <c r="M106" s="594"/>
      <c r="N106" s="594"/>
      <c r="O106" s="594"/>
      <c r="P106" s="594"/>
      <c r="Q106" s="594"/>
      <c r="R106" s="594"/>
      <c r="S106" s="594"/>
      <c r="T106" s="594"/>
      <c r="U106" s="594"/>
      <c r="V106" s="594"/>
      <c r="W106" s="594"/>
      <c r="X106" s="594"/>
      <c r="Y106" s="594"/>
      <c r="Z106" s="595"/>
      <c r="AA106" s="596">
        <v>130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AA106/AG104</f>
        <v>3.6111111111111112</v>
      </c>
      <c r="AV106" s="591"/>
      <c r="AW106" s="591"/>
      <c r="AX106" s="591"/>
      <c r="AY106" s="591"/>
      <c r="AZ106" s="591"/>
      <c r="BA106" s="591"/>
      <c r="BB106" s="592"/>
      <c r="BE106" s="117">
        <f>AU106*12*4</f>
        <v>173.33333333333334</v>
      </c>
    </row>
    <row r="107" spans="1:57" ht="14.25" customHeight="1" x14ac:dyDescent="0.2">
      <c r="A107" s="593" t="s">
        <v>96</v>
      </c>
      <c r="B107" s="594"/>
      <c r="C107" s="594"/>
      <c r="D107" s="594"/>
      <c r="E107" s="594"/>
      <c r="F107" s="594"/>
      <c r="G107" s="594"/>
      <c r="H107" s="594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4"/>
      <c r="Z107" s="595"/>
      <c r="AA107" s="596">
        <v>37.520000000000003</v>
      </c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AA107/AG104</f>
        <v>1.0422222222222224</v>
      </c>
      <c r="AV107" s="591"/>
      <c r="AW107" s="591"/>
      <c r="AX107" s="591"/>
      <c r="AY107" s="591"/>
      <c r="AZ107" s="591"/>
      <c r="BA107" s="591"/>
      <c r="BB107" s="592"/>
    </row>
    <row r="108" spans="1:57" ht="18" customHeight="1" x14ac:dyDescent="0.2">
      <c r="A108" s="833" t="s">
        <v>209</v>
      </c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3"/>
      <c r="AA108" s="596">
        <v>1300</v>
      </c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>
        <f>AA108/AG104</f>
        <v>36.111111111111114</v>
      </c>
      <c r="AV108" s="591"/>
      <c r="AW108" s="591"/>
      <c r="AX108" s="591"/>
      <c r="AY108" s="591"/>
      <c r="AZ108" s="591"/>
      <c r="BA108" s="591"/>
      <c r="BB108" s="592"/>
    </row>
    <row r="109" spans="1:57" ht="19.5" customHeight="1" x14ac:dyDescent="0.2">
      <c r="A109" s="853" t="s">
        <v>210</v>
      </c>
      <c r="B109" s="854"/>
      <c r="C109" s="854"/>
      <c r="D109" s="854"/>
      <c r="E109" s="854"/>
      <c r="F109" s="854"/>
      <c r="G109" s="854"/>
      <c r="H109" s="854"/>
      <c r="I109" s="854"/>
      <c r="J109" s="854"/>
      <c r="K109" s="854"/>
      <c r="L109" s="854"/>
      <c r="M109" s="854"/>
      <c r="N109" s="854"/>
      <c r="O109" s="854"/>
      <c r="P109" s="854"/>
      <c r="Q109" s="854"/>
      <c r="R109" s="854"/>
      <c r="S109" s="854"/>
      <c r="T109" s="854"/>
      <c r="U109" s="854"/>
      <c r="V109" s="854"/>
      <c r="W109" s="854"/>
      <c r="X109" s="854"/>
      <c r="Y109" s="854"/>
      <c r="Z109" s="855"/>
      <c r="AA109" s="596">
        <v>350</v>
      </c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1364">
        <f>AA109/AG104</f>
        <v>9.7222222222222214</v>
      </c>
      <c r="AV109" s="1365"/>
      <c r="AW109" s="1365"/>
      <c r="AX109" s="1365"/>
      <c r="AY109" s="1365"/>
      <c r="AZ109" s="1365"/>
      <c r="BA109" s="1365"/>
      <c r="BB109" s="1366"/>
    </row>
    <row r="110" spans="1:57" ht="21.75" customHeight="1" x14ac:dyDescent="0.2">
      <c r="A110" s="853" t="s">
        <v>211</v>
      </c>
      <c r="B110" s="854"/>
      <c r="C110" s="854"/>
      <c r="D110" s="854"/>
      <c r="E110" s="854"/>
      <c r="F110" s="854"/>
      <c r="G110" s="854"/>
      <c r="H110" s="854"/>
      <c r="I110" s="854"/>
      <c r="J110" s="854"/>
      <c r="K110" s="854"/>
      <c r="L110" s="854"/>
      <c r="M110" s="854"/>
      <c r="N110" s="854"/>
      <c r="O110" s="854"/>
      <c r="P110" s="854"/>
      <c r="Q110" s="854"/>
      <c r="R110" s="854"/>
      <c r="S110" s="854"/>
      <c r="T110" s="854"/>
      <c r="U110" s="854"/>
      <c r="V110" s="854"/>
      <c r="W110" s="854"/>
      <c r="X110" s="854"/>
      <c r="Y110" s="854"/>
      <c r="Z110" s="855"/>
      <c r="AA110" s="596">
        <v>350</v>
      </c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1364">
        <f>AA110/AG104</f>
        <v>9.7222222222222214</v>
      </c>
      <c r="AV110" s="1365"/>
      <c r="AW110" s="1365"/>
      <c r="AX110" s="1365"/>
      <c r="AY110" s="1365"/>
      <c r="AZ110" s="1365"/>
      <c r="BA110" s="1365"/>
      <c r="BB110" s="1366"/>
    </row>
    <row r="111" spans="1:57" ht="19.5" hidden="1" customHeight="1" x14ac:dyDescent="0.2">
      <c r="A111" s="593"/>
      <c r="B111" s="594"/>
      <c r="C111" s="594"/>
      <c r="D111" s="594"/>
      <c r="E111" s="594"/>
      <c r="F111" s="594"/>
      <c r="G111" s="594"/>
      <c r="H111" s="594"/>
      <c r="I111" s="594"/>
      <c r="J111" s="594"/>
      <c r="K111" s="594"/>
      <c r="L111" s="594"/>
      <c r="M111" s="594"/>
      <c r="N111" s="594"/>
      <c r="O111" s="594"/>
      <c r="P111" s="594"/>
      <c r="Q111" s="594"/>
      <c r="R111" s="594"/>
      <c r="S111" s="594"/>
      <c r="T111" s="594"/>
      <c r="U111" s="594"/>
      <c r="V111" s="594"/>
      <c r="W111" s="594"/>
      <c r="X111" s="594"/>
      <c r="Y111" s="594"/>
      <c r="Z111" s="595"/>
      <c r="AA111" s="596"/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AA111/AG104</f>
        <v>0</v>
      </c>
      <c r="AV111" s="591"/>
      <c r="AW111" s="591"/>
      <c r="AX111" s="591"/>
      <c r="AY111" s="591"/>
      <c r="AZ111" s="591"/>
      <c r="BA111" s="591"/>
      <c r="BB111" s="592"/>
    </row>
    <row r="112" spans="1:57" ht="20.25" hidden="1" customHeight="1" x14ac:dyDescent="0.2">
      <c r="A112" s="593"/>
      <c r="B112" s="594"/>
      <c r="C112" s="594"/>
      <c r="D112" s="594"/>
      <c r="E112" s="594"/>
      <c r="F112" s="594"/>
      <c r="G112" s="594"/>
      <c r="H112" s="594"/>
      <c r="I112" s="594"/>
      <c r="J112" s="594"/>
      <c r="K112" s="594"/>
      <c r="L112" s="594"/>
      <c r="M112" s="594"/>
      <c r="N112" s="594"/>
      <c r="O112" s="594"/>
      <c r="P112" s="594"/>
      <c r="Q112" s="594"/>
      <c r="R112" s="594"/>
      <c r="S112" s="594"/>
      <c r="T112" s="594"/>
      <c r="U112" s="594"/>
      <c r="V112" s="594"/>
      <c r="W112" s="594"/>
      <c r="X112" s="594"/>
      <c r="Y112" s="594"/>
      <c r="Z112" s="595"/>
      <c r="AA112" s="596"/>
      <c r="AB112" s="597"/>
      <c r="AC112" s="597"/>
      <c r="AD112" s="597"/>
      <c r="AE112" s="597"/>
      <c r="AF112" s="598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AA112/AG104</f>
        <v>0</v>
      </c>
      <c r="AV112" s="591"/>
      <c r="AW112" s="591"/>
      <c r="AX112" s="591"/>
      <c r="AY112" s="591"/>
      <c r="AZ112" s="591"/>
      <c r="BA112" s="591"/>
      <c r="BB112" s="592"/>
    </row>
    <row r="113" spans="1:54" ht="16.5" hidden="1" customHeight="1" x14ac:dyDescent="0.2">
      <c r="A113" s="593"/>
      <c r="B113" s="594"/>
      <c r="C113" s="594"/>
      <c r="D113" s="594"/>
      <c r="E113" s="594"/>
      <c r="F113" s="594"/>
      <c r="G113" s="594"/>
      <c r="H113" s="594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4"/>
      <c r="Z113" s="595"/>
      <c r="AA113" s="596"/>
      <c r="AB113" s="597"/>
      <c r="AC113" s="597"/>
      <c r="AD113" s="597"/>
      <c r="AE113" s="597"/>
      <c r="AF113" s="598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AA113/AG104</f>
        <v>0</v>
      </c>
      <c r="AV113" s="591"/>
      <c r="AW113" s="591"/>
      <c r="AX113" s="591"/>
      <c r="AY113" s="591"/>
      <c r="AZ113" s="591"/>
      <c r="BA113" s="591"/>
      <c r="BB113" s="592"/>
    </row>
    <row r="114" spans="1:54" s="161" customFormat="1" ht="19.5" hidden="1" customHeight="1" x14ac:dyDescent="0.2">
      <c r="A114" s="593"/>
      <c r="B114" s="594"/>
      <c r="C114" s="594"/>
      <c r="D114" s="594"/>
      <c r="E114" s="594"/>
      <c r="F114" s="594"/>
      <c r="G114" s="594"/>
      <c r="H114" s="594"/>
      <c r="I114" s="594"/>
      <c r="J114" s="594"/>
      <c r="K114" s="594"/>
      <c r="L114" s="594"/>
      <c r="M114" s="594"/>
      <c r="N114" s="594"/>
      <c r="O114" s="594"/>
      <c r="P114" s="594"/>
      <c r="Q114" s="594"/>
      <c r="R114" s="594"/>
      <c r="S114" s="594"/>
      <c r="T114" s="594"/>
      <c r="U114" s="594"/>
      <c r="V114" s="594"/>
      <c r="W114" s="594"/>
      <c r="X114" s="594"/>
      <c r="Y114" s="594"/>
      <c r="Z114" s="595"/>
      <c r="AA114" s="596"/>
      <c r="AB114" s="597"/>
      <c r="AC114" s="597"/>
      <c r="AD114" s="597"/>
      <c r="AE114" s="597"/>
      <c r="AF114" s="598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AA114/AG104</f>
        <v>0</v>
      </c>
      <c r="AV114" s="591"/>
      <c r="AW114" s="591"/>
      <c r="AX114" s="591"/>
      <c r="AY114" s="591"/>
      <c r="AZ114" s="591"/>
      <c r="BA114" s="591"/>
      <c r="BB114" s="592"/>
    </row>
    <row r="115" spans="1:54" ht="1.5" hidden="1" customHeight="1" x14ac:dyDescent="0.2">
      <c r="A115" s="593"/>
      <c r="B115" s="594"/>
      <c r="C115" s="594"/>
      <c r="D115" s="594"/>
      <c r="E115" s="594"/>
      <c r="F115" s="594"/>
      <c r="G115" s="594"/>
      <c r="H115" s="594"/>
      <c r="I115" s="594"/>
      <c r="J115" s="594"/>
      <c r="K115" s="594"/>
      <c r="L115" s="594"/>
      <c r="M115" s="594"/>
      <c r="N115" s="594"/>
      <c r="O115" s="594"/>
      <c r="P115" s="594"/>
      <c r="Q115" s="594"/>
      <c r="R115" s="594"/>
      <c r="S115" s="594"/>
      <c r="T115" s="594"/>
      <c r="U115" s="594"/>
      <c r="V115" s="594"/>
      <c r="W115" s="594"/>
      <c r="X115" s="594"/>
      <c r="Y115" s="594"/>
      <c r="Z115" s="595"/>
      <c r="AA115" s="596"/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AA115/AG104</f>
        <v>0</v>
      </c>
      <c r="AV115" s="591"/>
      <c r="AW115" s="591"/>
      <c r="AX115" s="591"/>
      <c r="AY115" s="591"/>
      <c r="AZ115" s="591"/>
      <c r="BA115" s="591"/>
      <c r="BB115" s="592"/>
    </row>
    <row r="116" spans="1:54" s="159" customFormat="1" ht="17.25" hidden="1" customHeight="1" x14ac:dyDescent="0.2">
      <c r="A116" s="593"/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5"/>
      <c r="AA116" s="596"/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AA116/AG104</f>
        <v>0</v>
      </c>
      <c r="AV116" s="591"/>
      <c r="AW116" s="591"/>
      <c r="AX116" s="591"/>
      <c r="AY116" s="591"/>
      <c r="AZ116" s="591"/>
      <c r="BA116" s="591"/>
      <c r="BB116" s="592"/>
    </row>
    <row r="117" spans="1:54" ht="20.25" hidden="1" customHeight="1" x14ac:dyDescent="0.2">
      <c r="A117" s="593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AA117/AG104</f>
        <v>0</v>
      </c>
      <c r="AV117" s="591"/>
      <c r="AW117" s="591"/>
      <c r="AX117" s="591"/>
      <c r="AY117" s="591"/>
      <c r="AZ117" s="591"/>
      <c r="BA117" s="591"/>
      <c r="BB117" s="592"/>
    </row>
    <row r="118" spans="1:54" ht="18.75" hidden="1" customHeight="1" x14ac:dyDescent="0.2">
      <c r="A118" s="593"/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596">
        <v>35</v>
      </c>
      <c r="AB118" s="597"/>
      <c r="AC118" s="597"/>
      <c r="AD118" s="597"/>
      <c r="AE118" s="597"/>
      <c r="AF118" s="59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AA118/AG104</f>
        <v>0.97222222222222221</v>
      </c>
      <c r="AV118" s="591"/>
      <c r="AW118" s="591"/>
      <c r="AX118" s="591"/>
      <c r="AY118" s="591"/>
      <c r="AZ118" s="591"/>
      <c r="BA118" s="591"/>
      <c r="BB118" s="592"/>
    </row>
    <row r="119" spans="1:54" ht="37.5" hidden="1" customHeight="1" x14ac:dyDescent="0.2">
      <c r="A119" s="593"/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596"/>
      <c r="AB119" s="597"/>
      <c r="AC119" s="597"/>
      <c r="AD119" s="597"/>
      <c r="AE119" s="597"/>
      <c r="AF119" s="59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AA119/AG104</f>
        <v>0</v>
      </c>
      <c r="AV119" s="591"/>
      <c r="AW119" s="591"/>
      <c r="AX119" s="591"/>
      <c r="AY119" s="591"/>
      <c r="AZ119" s="591"/>
      <c r="BA119" s="591"/>
      <c r="BB119" s="592"/>
    </row>
    <row r="120" spans="1:54" ht="28.5" hidden="1" customHeight="1" x14ac:dyDescent="0.2">
      <c r="A120" s="593"/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5"/>
      <c r="AA120" s="596"/>
      <c r="AB120" s="597"/>
      <c r="AC120" s="597"/>
      <c r="AD120" s="597"/>
      <c r="AE120" s="597"/>
      <c r="AF120" s="598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90">
        <f>AA120/AG104</f>
        <v>0</v>
      </c>
      <c r="AV120" s="591"/>
      <c r="AW120" s="591"/>
      <c r="AX120" s="591"/>
      <c r="AY120" s="591"/>
      <c r="AZ120" s="591"/>
      <c r="BA120" s="591"/>
      <c r="BB120" s="592"/>
    </row>
    <row r="121" spans="1:54" ht="16.5" customHeight="1" x14ac:dyDescent="0.2">
      <c r="A121" s="593" t="s">
        <v>212</v>
      </c>
      <c r="B121" s="594"/>
      <c r="C121" s="594"/>
      <c r="D121" s="594"/>
      <c r="E121" s="594"/>
      <c r="F121" s="594"/>
      <c r="G121" s="594"/>
      <c r="H121" s="594"/>
      <c r="I121" s="594"/>
      <c r="J121" s="594"/>
      <c r="K121" s="594"/>
      <c r="L121" s="594"/>
      <c r="M121" s="594"/>
      <c r="N121" s="594"/>
      <c r="O121" s="594"/>
      <c r="P121" s="594"/>
      <c r="Q121" s="594"/>
      <c r="R121" s="594"/>
      <c r="S121" s="594"/>
      <c r="T121" s="594"/>
      <c r="U121" s="594"/>
      <c r="V121" s="594"/>
      <c r="W121" s="594"/>
      <c r="X121" s="594"/>
      <c r="Y121" s="594"/>
      <c r="Z121" s="595"/>
      <c r="AA121" s="596">
        <v>350</v>
      </c>
      <c r="AB121" s="597"/>
      <c r="AC121" s="597"/>
      <c r="AD121" s="597"/>
      <c r="AE121" s="597"/>
      <c r="AF121" s="598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590">
        <f>AA121/AG104</f>
        <v>9.7222222222222214</v>
      </c>
      <c r="AV121" s="591"/>
      <c r="AW121" s="591"/>
      <c r="AX121" s="591"/>
      <c r="AY121" s="591"/>
      <c r="AZ121" s="591"/>
      <c r="BA121" s="591"/>
      <c r="BB121" s="592"/>
    </row>
    <row r="122" spans="1:54" ht="17.25" customHeight="1" x14ac:dyDescent="0.2">
      <c r="A122" s="599" t="s">
        <v>213</v>
      </c>
      <c r="B122" s="600"/>
      <c r="C122" s="600"/>
      <c r="D122" s="600"/>
      <c r="E122" s="600"/>
      <c r="F122" s="600"/>
      <c r="G122" s="600"/>
      <c r="H122" s="600"/>
      <c r="I122" s="600"/>
      <c r="J122" s="600"/>
      <c r="K122" s="600"/>
      <c r="L122" s="600"/>
      <c r="M122" s="600"/>
      <c r="N122" s="600"/>
      <c r="O122" s="600"/>
      <c r="P122" s="600"/>
      <c r="Q122" s="600"/>
      <c r="R122" s="600"/>
      <c r="S122" s="600"/>
      <c r="T122" s="600"/>
      <c r="U122" s="600"/>
      <c r="V122" s="600"/>
      <c r="W122" s="600"/>
      <c r="X122" s="600"/>
      <c r="Y122" s="600"/>
      <c r="Z122" s="600"/>
      <c r="AA122" s="601">
        <v>350</v>
      </c>
      <c r="AB122" s="601"/>
      <c r="AC122" s="601"/>
      <c r="AD122" s="601"/>
      <c r="AE122" s="601"/>
      <c r="AF122" s="601"/>
      <c r="AG122" s="572"/>
      <c r="AH122" s="573"/>
      <c r="AI122" s="573"/>
      <c r="AJ122" s="573"/>
      <c r="AK122" s="573"/>
      <c r="AL122" s="574"/>
      <c r="AM122" s="572"/>
      <c r="AN122" s="573"/>
      <c r="AO122" s="573"/>
      <c r="AP122" s="573"/>
      <c r="AQ122" s="573"/>
      <c r="AR122" s="573"/>
      <c r="AS122" s="573"/>
      <c r="AT122" s="574"/>
      <c r="AU122" s="602">
        <f>AA122/AG104</f>
        <v>9.7222222222222214</v>
      </c>
      <c r="AV122" s="602"/>
      <c r="AW122" s="602"/>
      <c r="AX122" s="602"/>
      <c r="AY122" s="602"/>
      <c r="AZ122" s="602"/>
      <c r="BA122" s="602"/>
      <c r="BB122" s="603"/>
    </row>
    <row r="123" spans="1:54" ht="17.25" customHeight="1" thickBot="1" x14ac:dyDescent="0.25">
      <c r="A123" s="1346" t="s">
        <v>214</v>
      </c>
      <c r="B123" s="798"/>
      <c r="C123" s="798"/>
      <c r="D123" s="798"/>
      <c r="E123" s="798"/>
      <c r="F123" s="798"/>
      <c r="G123" s="798"/>
      <c r="H123" s="798"/>
      <c r="I123" s="798"/>
      <c r="J123" s="798"/>
      <c r="K123" s="798"/>
      <c r="L123" s="798"/>
      <c r="M123" s="798"/>
      <c r="N123" s="798"/>
      <c r="O123" s="798"/>
      <c r="P123" s="798"/>
      <c r="Q123" s="798"/>
      <c r="R123" s="798"/>
      <c r="S123" s="798"/>
      <c r="T123" s="798"/>
      <c r="U123" s="798"/>
      <c r="V123" s="798"/>
      <c r="W123" s="798"/>
      <c r="X123" s="798"/>
      <c r="Y123" s="798"/>
      <c r="Z123" s="798"/>
      <c r="AA123" s="799">
        <v>350</v>
      </c>
      <c r="AB123" s="799"/>
      <c r="AC123" s="799"/>
      <c r="AD123" s="799"/>
      <c r="AE123" s="799"/>
      <c r="AF123" s="799"/>
      <c r="AG123" s="572"/>
      <c r="AH123" s="573"/>
      <c r="AI123" s="573"/>
      <c r="AJ123" s="573"/>
      <c r="AK123" s="573"/>
      <c r="AL123" s="574"/>
      <c r="AM123" s="572"/>
      <c r="AN123" s="573"/>
      <c r="AO123" s="573"/>
      <c r="AP123" s="573"/>
      <c r="AQ123" s="573"/>
      <c r="AR123" s="573"/>
      <c r="AS123" s="573"/>
      <c r="AT123" s="574"/>
      <c r="AU123" s="800">
        <f>AA123/AG104</f>
        <v>9.7222222222222214</v>
      </c>
      <c r="AV123" s="800"/>
      <c r="AW123" s="800"/>
      <c r="AX123" s="800"/>
      <c r="AY123" s="800"/>
      <c r="AZ123" s="800"/>
      <c r="BA123" s="800"/>
      <c r="BB123" s="1347"/>
    </row>
    <row r="124" spans="1:54" ht="16.5" customHeight="1" thickBot="1" x14ac:dyDescent="0.25">
      <c r="A124" s="545" t="s">
        <v>51</v>
      </c>
      <c r="B124" s="546"/>
      <c r="C124" s="546"/>
      <c r="D124" s="546"/>
      <c r="E124" s="546"/>
      <c r="F124" s="546"/>
      <c r="G124" s="546"/>
      <c r="H124" s="546"/>
      <c r="I124" s="546"/>
      <c r="J124" s="546"/>
      <c r="K124" s="546"/>
      <c r="L124" s="546"/>
      <c r="M124" s="546"/>
      <c r="N124" s="546"/>
      <c r="O124" s="546"/>
      <c r="P124" s="546"/>
      <c r="Q124" s="546"/>
      <c r="R124" s="546"/>
      <c r="S124" s="546"/>
      <c r="T124" s="546"/>
      <c r="U124" s="546"/>
      <c r="V124" s="546"/>
      <c r="W124" s="546"/>
      <c r="X124" s="546"/>
      <c r="Y124" s="546"/>
      <c r="Z124" s="547"/>
      <c r="AA124" s="582">
        <f>AA105+AA106+AA107+AA108+AA109+AA110+AA121+AA122+AA123</f>
        <v>3517.52</v>
      </c>
      <c r="AB124" s="583"/>
      <c r="AC124" s="583"/>
      <c r="AD124" s="583"/>
      <c r="AE124" s="583"/>
      <c r="AF124" s="583"/>
      <c r="AG124" s="532">
        <f>AG104</f>
        <v>36</v>
      </c>
      <c r="AH124" s="533"/>
      <c r="AI124" s="533"/>
      <c r="AJ124" s="533"/>
      <c r="AK124" s="533"/>
      <c r="AL124" s="534"/>
      <c r="AM124" s="551" t="s">
        <v>17</v>
      </c>
      <c r="AN124" s="552"/>
      <c r="AO124" s="552"/>
      <c r="AP124" s="552"/>
      <c r="AQ124" s="552"/>
      <c r="AR124" s="552"/>
      <c r="AS124" s="552"/>
      <c r="AT124" s="584"/>
      <c r="AU124" s="555">
        <f>SUM(AU104:BB123)</f>
        <v>98.681111111111136</v>
      </c>
      <c r="AV124" s="555"/>
      <c r="AW124" s="555"/>
      <c r="AX124" s="555"/>
      <c r="AY124" s="555"/>
      <c r="AZ124" s="555"/>
      <c r="BA124" s="555"/>
      <c r="BB124" s="556"/>
    </row>
    <row r="125" spans="1:54" ht="27" customHeight="1" x14ac:dyDescent="0.2"/>
    <row r="126" spans="1:54" s="161" customFormat="1" ht="15" customHeight="1" x14ac:dyDescent="0.2">
      <c r="A126" s="159" t="s">
        <v>59</v>
      </c>
      <c r="B126" s="159"/>
      <c r="C126" s="159" t="s">
        <v>60</v>
      </c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60"/>
      <c r="AY126" s="160"/>
      <c r="AZ126" s="160"/>
      <c r="BA126" s="160"/>
      <c r="BB126" s="160"/>
    </row>
    <row r="127" spans="1:54" ht="12" customHeight="1" thickBot="1" x14ac:dyDescent="0.25"/>
    <row r="128" spans="1:54" s="159" customFormat="1" ht="12" customHeight="1" x14ac:dyDescent="0.2">
      <c r="A128" s="585" t="s">
        <v>54</v>
      </c>
      <c r="B128" s="586"/>
      <c r="C128" s="586"/>
      <c r="D128" s="586"/>
      <c r="E128" s="586"/>
      <c r="F128" s="586"/>
      <c r="G128" s="586"/>
      <c r="H128" s="586"/>
      <c r="I128" s="586"/>
      <c r="J128" s="586"/>
      <c r="K128" s="586"/>
      <c r="L128" s="586"/>
      <c r="M128" s="586"/>
      <c r="N128" s="586"/>
      <c r="O128" s="586"/>
      <c r="P128" s="586"/>
      <c r="Q128" s="586"/>
      <c r="R128" s="586"/>
      <c r="S128" s="586"/>
      <c r="T128" s="586"/>
      <c r="U128" s="586"/>
      <c r="V128" s="586"/>
      <c r="W128" s="586"/>
      <c r="X128" s="586"/>
      <c r="Y128" s="586"/>
      <c r="Z128" s="587"/>
      <c r="AA128" s="536" t="s">
        <v>55</v>
      </c>
      <c r="AB128" s="537"/>
      <c r="AC128" s="537"/>
      <c r="AD128" s="537"/>
      <c r="AE128" s="537"/>
      <c r="AF128" s="538"/>
      <c r="AG128" s="536" t="s">
        <v>56</v>
      </c>
      <c r="AH128" s="537"/>
      <c r="AI128" s="537"/>
      <c r="AJ128" s="537"/>
      <c r="AK128" s="537"/>
      <c r="AL128" s="538"/>
      <c r="AM128" s="588" t="s">
        <v>57</v>
      </c>
      <c r="AN128" s="586"/>
      <c r="AO128" s="586"/>
      <c r="AP128" s="586"/>
      <c r="AQ128" s="586"/>
      <c r="AR128" s="586"/>
      <c r="AS128" s="586"/>
      <c r="AT128" s="587"/>
      <c r="AU128" s="588" t="s">
        <v>43</v>
      </c>
      <c r="AV128" s="586"/>
      <c r="AW128" s="586"/>
      <c r="AX128" s="586"/>
      <c r="AY128" s="586"/>
      <c r="AZ128" s="586"/>
      <c r="BA128" s="586"/>
      <c r="BB128" s="589"/>
    </row>
    <row r="129" spans="1:54" ht="11.25" customHeight="1" thickBot="1" x14ac:dyDescent="0.25">
      <c r="A129" s="564">
        <v>1</v>
      </c>
      <c r="B129" s="475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5"/>
      <c r="O129" s="475"/>
      <c r="P129" s="475"/>
      <c r="Q129" s="475"/>
      <c r="R129" s="475"/>
      <c r="S129" s="475"/>
      <c r="T129" s="475"/>
      <c r="U129" s="475"/>
      <c r="V129" s="475"/>
      <c r="W129" s="475"/>
      <c r="X129" s="475"/>
      <c r="Y129" s="475"/>
      <c r="Z129" s="476"/>
      <c r="AA129" s="474">
        <v>2</v>
      </c>
      <c r="AB129" s="475"/>
      <c r="AC129" s="475"/>
      <c r="AD129" s="475"/>
      <c r="AE129" s="475"/>
      <c r="AF129" s="476"/>
      <c r="AG129" s="474">
        <v>3</v>
      </c>
      <c r="AH129" s="475"/>
      <c r="AI129" s="475"/>
      <c r="AJ129" s="475"/>
      <c r="AK129" s="475"/>
      <c r="AL129" s="476"/>
      <c r="AM129" s="474">
        <v>4</v>
      </c>
      <c r="AN129" s="475"/>
      <c r="AO129" s="475"/>
      <c r="AP129" s="475"/>
      <c r="AQ129" s="475"/>
      <c r="AR129" s="475"/>
      <c r="AS129" s="475"/>
      <c r="AT129" s="476"/>
      <c r="AU129" s="474">
        <v>5</v>
      </c>
      <c r="AV129" s="475"/>
      <c r="AW129" s="475"/>
      <c r="AX129" s="475"/>
      <c r="AY129" s="475"/>
      <c r="AZ129" s="475"/>
      <c r="BA129" s="475"/>
      <c r="BB129" s="565"/>
    </row>
    <row r="130" spans="1:54" ht="31.5" hidden="1" customHeight="1" x14ac:dyDescent="0.2">
      <c r="A130" s="566"/>
      <c r="B130" s="567"/>
      <c r="C130" s="567"/>
      <c r="D130" s="567"/>
      <c r="E130" s="567"/>
      <c r="F130" s="567"/>
      <c r="G130" s="567"/>
      <c r="H130" s="567"/>
      <c r="I130" s="567"/>
      <c r="J130" s="567"/>
      <c r="K130" s="567"/>
      <c r="L130" s="567"/>
      <c r="M130" s="567"/>
      <c r="N130" s="567"/>
      <c r="O130" s="567"/>
      <c r="P130" s="567"/>
      <c r="Q130" s="567"/>
      <c r="R130" s="567"/>
      <c r="S130" s="567"/>
      <c r="T130" s="567"/>
      <c r="U130" s="567"/>
      <c r="V130" s="567"/>
      <c r="W130" s="567"/>
      <c r="X130" s="567"/>
      <c r="Y130" s="567"/>
      <c r="Z130" s="568"/>
      <c r="AA130" s="569">
        <v>0</v>
      </c>
      <c r="AB130" s="570"/>
      <c r="AC130" s="570"/>
      <c r="AD130" s="570"/>
      <c r="AE130" s="570"/>
      <c r="AF130" s="571"/>
      <c r="AG130" s="569">
        <f>U12</f>
        <v>36</v>
      </c>
      <c r="AH130" s="570"/>
      <c r="AI130" s="570"/>
      <c r="AJ130" s="570"/>
      <c r="AK130" s="570"/>
      <c r="AL130" s="571"/>
      <c r="AM130" s="569" t="s">
        <v>61</v>
      </c>
      <c r="AN130" s="570"/>
      <c r="AO130" s="570"/>
      <c r="AP130" s="570"/>
      <c r="AQ130" s="570"/>
      <c r="AR130" s="570"/>
      <c r="AS130" s="570"/>
      <c r="AT130" s="571"/>
      <c r="AU130" s="558">
        <f>AA130/AG130</f>
        <v>0</v>
      </c>
      <c r="AV130" s="559"/>
      <c r="AW130" s="559"/>
      <c r="AX130" s="559"/>
      <c r="AY130" s="559"/>
      <c r="AZ130" s="559"/>
      <c r="BA130" s="559"/>
      <c r="BB130" s="560"/>
    </row>
    <row r="131" spans="1:54" ht="4.5" hidden="1" customHeight="1" x14ac:dyDescent="0.2">
      <c r="A131" s="561"/>
      <c r="B131" s="562"/>
      <c r="C131" s="562"/>
      <c r="D131" s="562"/>
      <c r="E131" s="562"/>
      <c r="F131" s="562"/>
      <c r="G131" s="562"/>
      <c r="H131" s="562"/>
      <c r="I131" s="562"/>
      <c r="J131" s="562"/>
      <c r="K131" s="562"/>
      <c r="L131" s="562"/>
      <c r="M131" s="562"/>
      <c r="N131" s="562"/>
      <c r="O131" s="562"/>
      <c r="P131" s="562"/>
      <c r="Q131" s="562"/>
      <c r="R131" s="562"/>
      <c r="S131" s="562"/>
      <c r="T131" s="562"/>
      <c r="U131" s="562"/>
      <c r="V131" s="562"/>
      <c r="W131" s="562"/>
      <c r="X131" s="562"/>
      <c r="Y131" s="562"/>
      <c r="Z131" s="563"/>
      <c r="AA131" s="518"/>
      <c r="AB131" s="518"/>
      <c r="AC131" s="518"/>
      <c r="AD131" s="518"/>
      <c r="AE131" s="518"/>
      <c r="AF131" s="518"/>
      <c r="AG131" s="572"/>
      <c r="AH131" s="573"/>
      <c r="AI131" s="573"/>
      <c r="AJ131" s="573"/>
      <c r="AK131" s="573"/>
      <c r="AL131" s="574"/>
      <c r="AM131" s="572"/>
      <c r="AN131" s="573"/>
      <c r="AO131" s="573"/>
      <c r="AP131" s="573"/>
      <c r="AQ131" s="573"/>
      <c r="AR131" s="573"/>
      <c r="AS131" s="573"/>
      <c r="AT131" s="574"/>
      <c r="AU131" s="558">
        <f>AA131/AG130</f>
        <v>0</v>
      </c>
      <c r="AV131" s="559"/>
      <c r="AW131" s="559"/>
      <c r="AX131" s="559"/>
      <c r="AY131" s="559"/>
      <c r="AZ131" s="559"/>
      <c r="BA131" s="559"/>
      <c r="BB131" s="560"/>
    </row>
    <row r="132" spans="1:54" ht="21" customHeight="1" x14ac:dyDescent="0.2">
      <c r="A132" s="449"/>
      <c r="B132" s="450"/>
      <c r="C132" s="450"/>
      <c r="D132" s="450"/>
      <c r="E132" s="450"/>
      <c r="F132" s="450"/>
      <c r="G132" s="450"/>
      <c r="H132" s="450"/>
      <c r="I132" s="450"/>
      <c r="J132" s="450"/>
      <c r="K132" s="450"/>
      <c r="L132" s="450"/>
      <c r="M132" s="450"/>
      <c r="N132" s="450"/>
      <c r="O132" s="450"/>
      <c r="P132" s="450"/>
      <c r="Q132" s="450"/>
      <c r="R132" s="450"/>
      <c r="S132" s="450"/>
      <c r="T132" s="450"/>
      <c r="U132" s="450"/>
      <c r="V132" s="450"/>
      <c r="W132" s="450"/>
      <c r="X132" s="450"/>
      <c r="Y132" s="450"/>
      <c r="Z132" s="451"/>
      <c r="AA132" s="557"/>
      <c r="AB132" s="557"/>
      <c r="AC132" s="557"/>
      <c r="AD132" s="557"/>
      <c r="AE132" s="557"/>
      <c r="AF132" s="557"/>
      <c r="AG132" s="572"/>
      <c r="AH132" s="573"/>
      <c r="AI132" s="573"/>
      <c r="AJ132" s="573"/>
      <c r="AK132" s="573"/>
      <c r="AL132" s="574"/>
      <c r="AM132" s="572"/>
      <c r="AN132" s="573"/>
      <c r="AO132" s="573"/>
      <c r="AP132" s="573"/>
      <c r="AQ132" s="573"/>
      <c r="AR132" s="573"/>
      <c r="AS132" s="573"/>
      <c r="AT132" s="574"/>
      <c r="AU132" s="558">
        <f>AA132/AG130</f>
        <v>0</v>
      </c>
      <c r="AV132" s="559"/>
      <c r="AW132" s="559"/>
      <c r="AX132" s="559"/>
      <c r="AY132" s="559"/>
      <c r="AZ132" s="559"/>
      <c r="BA132" s="559"/>
      <c r="BB132" s="560"/>
    </row>
    <row r="133" spans="1:54" ht="21" customHeight="1" x14ac:dyDescent="0.2">
      <c r="A133" s="449"/>
      <c r="B133" s="450"/>
      <c r="C133" s="450"/>
      <c r="D133" s="450"/>
      <c r="E133" s="450"/>
      <c r="F133" s="450"/>
      <c r="G133" s="450"/>
      <c r="H133" s="450"/>
      <c r="I133" s="450"/>
      <c r="J133" s="450"/>
      <c r="K133" s="450"/>
      <c r="L133" s="450"/>
      <c r="M133" s="450"/>
      <c r="N133" s="450"/>
      <c r="O133" s="450"/>
      <c r="P133" s="450"/>
      <c r="Q133" s="450"/>
      <c r="R133" s="450"/>
      <c r="S133" s="450"/>
      <c r="T133" s="450"/>
      <c r="U133" s="450"/>
      <c r="V133" s="450"/>
      <c r="W133" s="450"/>
      <c r="X133" s="450"/>
      <c r="Y133" s="450"/>
      <c r="Z133" s="451"/>
      <c r="AA133" s="557"/>
      <c r="AB133" s="557"/>
      <c r="AC133" s="557"/>
      <c r="AD133" s="557"/>
      <c r="AE133" s="557"/>
      <c r="AF133" s="557"/>
      <c r="AG133" s="572"/>
      <c r="AH133" s="573"/>
      <c r="AI133" s="573"/>
      <c r="AJ133" s="573"/>
      <c r="AK133" s="573"/>
      <c r="AL133" s="574"/>
      <c r="AM133" s="572"/>
      <c r="AN133" s="573"/>
      <c r="AO133" s="573"/>
      <c r="AP133" s="573"/>
      <c r="AQ133" s="573"/>
      <c r="AR133" s="573"/>
      <c r="AS133" s="573"/>
      <c r="AT133" s="574"/>
      <c r="AU133" s="558">
        <f>AA133/AG130</f>
        <v>0</v>
      </c>
      <c r="AV133" s="559"/>
      <c r="AW133" s="559"/>
      <c r="AX133" s="559"/>
      <c r="AY133" s="559"/>
      <c r="AZ133" s="559"/>
      <c r="BA133" s="559"/>
      <c r="BB133" s="560"/>
    </row>
    <row r="134" spans="1:54" ht="6" hidden="1" customHeight="1" x14ac:dyDescent="0.2">
      <c r="A134" s="449"/>
      <c r="B134" s="450"/>
      <c r="C134" s="450"/>
      <c r="D134" s="450"/>
      <c r="E134" s="450"/>
      <c r="F134" s="450"/>
      <c r="G134" s="450"/>
      <c r="H134" s="450"/>
      <c r="I134" s="450"/>
      <c r="J134" s="450"/>
      <c r="K134" s="450"/>
      <c r="L134" s="450"/>
      <c r="M134" s="450"/>
      <c r="N134" s="450"/>
      <c r="O134" s="450"/>
      <c r="P134" s="450"/>
      <c r="Q134" s="450"/>
      <c r="R134" s="450"/>
      <c r="S134" s="450"/>
      <c r="T134" s="450"/>
      <c r="U134" s="450"/>
      <c r="V134" s="450"/>
      <c r="W134" s="450"/>
      <c r="X134" s="450"/>
      <c r="Y134" s="450"/>
      <c r="Z134" s="451"/>
      <c r="AA134" s="557"/>
      <c r="AB134" s="557"/>
      <c r="AC134" s="557"/>
      <c r="AD134" s="557"/>
      <c r="AE134" s="557"/>
      <c r="AF134" s="557"/>
      <c r="AG134" s="572"/>
      <c r="AH134" s="573"/>
      <c r="AI134" s="573"/>
      <c r="AJ134" s="573"/>
      <c r="AK134" s="573"/>
      <c r="AL134" s="574"/>
      <c r="AM134" s="572"/>
      <c r="AN134" s="573"/>
      <c r="AO134" s="573"/>
      <c r="AP134" s="573"/>
      <c r="AQ134" s="573"/>
      <c r="AR134" s="573"/>
      <c r="AS134" s="573"/>
      <c r="AT134" s="574"/>
      <c r="AU134" s="558">
        <f>AA134/AG130</f>
        <v>0</v>
      </c>
      <c r="AV134" s="559"/>
      <c r="AW134" s="559"/>
      <c r="AX134" s="559"/>
      <c r="AY134" s="559"/>
      <c r="AZ134" s="559"/>
      <c r="BA134" s="559"/>
      <c r="BB134" s="560"/>
    </row>
    <row r="135" spans="1:54" ht="0.75" customHeight="1" thickBot="1" x14ac:dyDescent="0.25">
      <c r="A135" s="575"/>
      <c r="B135" s="576"/>
      <c r="C135" s="576"/>
      <c r="D135" s="576"/>
      <c r="E135" s="576"/>
      <c r="F135" s="576"/>
      <c r="G135" s="576"/>
      <c r="H135" s="576"/>
      <c r="I135" s="576"/>
      <c r="J135" s="576"/>
      <c r="K135" s="576"/>
      <c r="L135" s="576"/>
      <c r="M135" s="576"/>
      <c r="N135" s="576"/>
      <c r="O135" s="576"/>
      <c r="P135" s="576"/>
      <c r="Q135" s="576"/>
      <c r="R135" s="576"/>
      <c r="S135" s="576"/>
      <c r="T135" s="576"/>
      <c r="U135" s="576"/>
      <c r="V135" s="576"/>
      <c r="W135" s="576"/>
      <c r="X135" s="576"/>
      <c r="Y135" s="576"/>
      <c r="Z135" s="577"/>
      <c r="AA135" s="578">
        <v>0</v>
      </c>
      <c r="AB135" s="578"/>
      <c r="AC135" s="578"/>
      <c r="AD135" s="578"/>
      <c r="AE135" s="578"/>
      <c r="AF135" s="578"/>
      <c r="AG135" s="572"/>
      <c r="AH135" s="573"/>
      <c r="AI135" s="573"/>
      <c r="AJ135" s="573"/>
      <c r="AK135" s="573"/>
      <c r="AL135" s="574"/>
      <c r="AM135" s="572"/>
      <c r="AN135" s="573"/>
      <c r="AO135" s="573"/>
      <c r="AP135" s="573"/>
      <c r="AQ135" s="573"/>
      <c r="AR135" s="573"/>
      <c r="AS135" s="573"/>
      <c r="AT135" s="574"/>
      <c r="AU135" s="579">
        <f>AA135/AG130</f>
        <v>0</v>
      </c>
      <c r="AV135" s="580"/>
      <c r="AW135" s="580"/>
      <c r="AX135" s="580"/>
      <c r="AY135" s="580"/>
      <c r="AZ135" s="580"/>
      <c r="BA135" s="580"/>
      <c r="BB135" s="581"/>
    </row>
    <row r="136" spans="1:54" ht="15" customHeight="1" thickBot="1" x14ac:dyDescent="0.25">
      <c r="A136" s="545" t="s">
        <v>51</v>
      </c>
      <c r="B136" s="546"/>
      <c r="C136" s="546"/>
      <c r="D136" s="546"/>
      <c r="E136" s="546"/>
      <c r="F136" s="546"/>
      <c r="G136" s="546"/>
      <c r="H136" s="546"/>
      <c r="I136" s="546"/>
      <c r="J136" s="546"/>
      <c r="K136" s="546"/>
      <c r="L136" s="546"/>
      <c r="M136" s="546"/>
      <c r="N136" s="546"/>
      <c r="O136" s="546"/>
      <c r="P136" s="546"/>
      <c r="Q136" s="546"/>
      <c r="R136" s="546"/>
      <c r="S136" s="546"/>
      <c r="T136" s="546"/>
      <c r="U136" s="546"/>
      <c r="V136" s="546"/>
      <c r="W136" s="546"/>
      <c r="X136" s="546"/>
      <c r="Y136" s="546"/>
      <c r="Z136" s="547"/>
      <c r="AA136" s="548">
        <f>SUM(AA130:AF133)</f>
        <v>0</v>
      </c>
      <c r="AB136" s="549"/>
      <c r="AC136" s="549"/>
      <c r="AD136" s="549"/>
      <c r="AE136" s="549"/>
      <c r="AF136" s="550"/>
      <c r="AG136" s="531">
        <f>AG130</f>
        <v>36</v>
      </c>
      <c r="AH136" s="533"/>
      <c r="AI136" s="533"/>
      <c r="AJ136" s="533"/>
      <c r="AK136" s="533"/>
      <c r="AL136" s="534"/>
      <c r="AM136" s="551" t="s">
        <v>17</v>
      </c>
      <c r="AN136" s="552"/>
      <c r="AO136" s="552"/>
      <c r="AP136" s="552"/>
      <c r="AQ136" s="552"/>
      <c r="AR136" s="552"/>
      <c r="AS136" s="552"/>
      <c r="AT136" s="553"/>
      <c r="AU136" s="554">
        <f>SUM(AU130:BB135)</f>
        <v>0</v>
      </c>
      <c r="AV136" s="555"/>
      <c r="AW136" s="555"/>
      <c r="AX136" s="555"/>
      <c r="AY136" s="555"/>
      <c r="AZ136" s="555"/>
      <c r="BA136" s="555"/>
      <c r="BB136" s="556"/>
    </row>
    <row r="137" spans="1:54" s="161" customFormat="1" ht="15" customHeight="1" x14ac:dyDescent="0.2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</row>
    <row r="138" spans="1:54" ht="27" customHeight="1" x14ac:dyDescent="0.2">
      <c r="A138" s="159" t="s">
        <v>62</v>
      </c>
      <c r="B138" s="159"/>
      <c r="C138" s="159" t="s">
        <v>63</v>
      </c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159"/>
      <c r="AX138" s="160"/>
      <c r="AY138" s="160"/>
      <c r="AZ138" s="160"/>
      <c r="BA138" s="160"/>
      <c r="BB138" s="160"/>
    </row>
    <row r="139" spans="1:54" ht="21.75" customHeight="1" thickBot="1" x14ac:dyDescent="0.25"/>
    <row r="140" spans="1:54" ht="63" customHeight="1" x14ac:dyDescent="0.2">
      <c r="A140" s="499" t="s">
        <v>54</v>
      </c>
      <c r="B140" s="500"/>
      <c r="C140" s="500"/>
      <c r="D140" s="500"/>
      <c r="E140" s="500"/>
      <c r="F140" s="500"/>
      <c r="G140" s="500"/>
      <c r="H140" s="535" t="s">
        <v>64</v>
      </c>
      <c r="I140" s="535"/>
      <c r="J140" s="535"/>
      <c r="K140" s="535"/>
      <c r="L140" s="535"/>
      <c r="M140" s="535" t="s">
        <v>94</v>
      </c>
      <c r="N140" s="535"/>
      <c r="O140" s="535"/>
      <c r="P140" s="535"/>
      <c r="Q140" s="535"/>
      <c r="R140" s="535" t="s">
        <v>82</v>
      </c>
      <c r="S140" s="535"/>
      <c r="T140" s="535"/>
      <c r="U140" s="535"/>
      <c r="V140" s="535" t="s">
        <v>65</v>
      </c>
      <c r="W140" s="535"/>
      <c r="X140" s="535"/>
      <c r="Y140" s="535"/>
      <c r="Z140" s="535" t="s">
        <v>66</v>
      </c>
      <c r="AA140" s="535"/>
      <c r="AB140" s="535"/>
      <c r="AC140" s="535"/>
      <c r="AD140" s="535" t="s">
        <v>67</v>
      </c>
      <c r="AE140" s="535"/>
      <c r="AF140" s="535"/>
      <c r="AG140" s="535"/>
      <c r="AH140" s="535"/>
      <c r="AI140" s="535"/>
      <c r="AJ140" s="535"/>
      <c r="AK140" s="535"/>
      <c r="AL140" s="535"/>
      <c r="AM140" s="535"/>
      <c r="AN140" s="535"/>
      <c r="AO140" s="535"/>
      <c r="AP140" s="535"/>
      <c r="AQ140" s="535" t="s">
        <v>661</v>
      </c>
      <c r="AR140" s="535"/>
      <c r="AS140" s="535"/>
      <c r="AT140" s="535"/>
      <c r="AU140" s="536" t="s">
        <v>206</v>
      </c>
      <c r="AV140" s="537"/>
      <c r="AW140" s="537"/>
      <c r="AX140" s="538"/>
      <c r="AY140" s="536" t="s">
        <v>87</v>
      </c>
      <c r="AZ140" s="537"/>
      <c r="BA140" s="537"/>
      <c r="BB140" s="539"/>
    </row>
    <row r="141" spans="1:54" ht="71.25" customHeight="1" thickBot="1" x14ac:dyDescent="0.25">
      <c r="A141" s="888"/>
      <c r="B141" s="889"/>
      <c r="C141" s="889"/>
      <c r="D141" s="889"/>
      <c r="E141" s="889"/>
      <c r="F141" s="889"/>
      <c r="G141" s="889"/>
      <c r="H141" s="894" t="s">
        <v>68</v>
      </c>
      <c r="I141" s="894"/>
      <c r="J141" s="894"/>
      <c r="K141" s="894"/>
      <c r="L141" s="894"/>
      <c r="M141" s="894" t="s">
        <v>68</v>
      </c>
      <c r="N141" s="894"/>
      <c r="O141" s="894"/>
      <c r="P141" s="894"/>
      <c r="Q141" s="894"/>
      <c r="R141" s="894"/>
      <c r="S141" s="894"/>
      <c r="T141" s="894"/>
      <c r="U141" s="894"/>
      <c r="V141" s="894"/>
      <c r="W141" s="894"/>
      <c r="X141" s="894"/>
      <c r="Y141" s="894"/>
      <c r="Z141" s="894"/>
      <c r="AA141" s="894"/>
      <c r="AB141" s="894"/>
      <c r="AC141" s="894"/>
      <c r="AD141" s="894" t="s">
        <v>68</v>
      </c>
      <c r="AE141" s="894"/>
      <c r="AF141" s="894"/>
      <c r="AG141" s="894"/>
      <c r="AH141" s="894"/>
      <c r="AI141" s="894"/>
      <c r="AJ141" s="895" t="s">
        <v>69</v>
      </c>
      <c r="AK141" s="896"/>
      <c r="AL141" s="896"/>
      <c r="AM141" s="896"/>
      <c r="AN141" s="896"/>
      <c r="AO141" s="896"/>
      <c r="AP141" s="897"/>
      <c r="AQ141" s="894" t="s">
        <v>68</v>
      </c>
      <c r="AR141" s="894"/>
      <c r="AS141" s="894"/>
      <c r="AT141" s="894"/>
      <c r="AU141" s="894" t="s">
        <v>68</v>
      </c>
      <c r="AV141" s="894"/>
      <c r="AW141" s="894"/>
      <c r="AX141" s="894"/>
      <c r="AY141" s="894" t="s">
        <v>68</v>
      </c>
      <c r="AZ141" s="894"/>
      <c r="BA141" s="894"/>
      <c r="BB141" s="898"/>
    </row>
    <row r="142" spans="1:54" ht="22.5" customHeight="1" thickBot="1" x14ac:dyDescent="0.25">
      <c r="A142" s="892">
        <v>1</v>
      </c>
      <c r="B142" s="890"/>
      <c r="C142" s="890"/>
      <c r="D142" s="890"/>
      <c r="E142" s="890"/>
      <c r="F142" s="890"/>
      <c r="G142" s="890"/>
      <c r="H142" s="890">
        <v>2</v>
      </c>
      <c r="I142" s="890"/>
      <c r="J142" s="890"/>
      <c r="K142" s="890"/>
      <c r="L142" s="890"/>
      <c r="M142" s="890">
        <v>3</v>
      </c>
      <c r="N142" s="890"/>
      <c r="O142" s="890"/>
      <c r="P142" s="890"/>
      <c r="Q142" s="890"/>
      <c r="R142" s="890">
        <v>4</v>
      </c>
      <c r="S142" s="890"/>
      <c r="T142" s="890"/>
      <c r="U142" s="890"/>
      <c r="V142" s="890">
        <v>5</v>
      </c>
      <c r="W142" s="890"/>
      <c r="X142" s="890"/>
      <c r="Y142" s="890"/>
      <c r="Z142" s="890">
        <v>6</v>
      </c>
      <c r="AA142" s="890"/>
      <c r="AB142" s="890"/>
      <c r="AC142" s="893"/>
      <c r="AD142" s="503">
        <v>7</v>
      </c>
      <c r="AE142" s="503"/>
      <c r="AF142" s="503"/>
      <c r="AG142" s="503"/>
      <c r="AH142" s="503"/>
      <c r="AI142" s="503"/>
      <c r="AJ142" s="631">
        <v>8</v>
      </c>
      <c r="AK142" s="631"/>
      <c r="AL142" s="631"/>
      <c r="AM142" s="631"/>
      <c r="AN142" s="631"/>
      <c r="AO142" s="631"/>
      <c r="AP142" s="632"/>
      <c r="AQ142" s="890">
        <v>9</v>
      </c>
      <c r="AR142" s="890"/>
      <c r="AS142" s="890"/>
      <c r="AT142" s="890"/>
      <c r="AU142" s="890">
        <v>10</v>
      </c>
      <c r="AV142" s="890"/>
      <c r="AW142" s="890"/>
      <c r="AX142" s="890"/>
      <c r="AY142" s="890">
        <v>11</v>
      </c>
      <c r="AZ142" s="890"/>
      <c r="BA142" s="890"/>
      <c r="BB142" s="891"/>
    </row>
    <row r="143" spans="1:54" ht="24.75" customHeight="1" x14ac:dyDescent="0.2">
      <c r="A143" s="505" t="s">
        <v>70</v>
      </c>
      <c r="B143" s="506"/>
      <c r="C143" s="506"/>
      <c r="D143" s="506"/>
      <c r="E143" s="506"/>
      <c r="F143" s="506"/>
      <c r="G143" s="506"/>
      <c r="H143" s="507">
        <f>AO88/V143</f>
        <v>42.785166666666669</v>
      </c>
      <c r="I143" s="507"/>
      <c r="J143" s="507"/>
      <c r="K143" s="507"/>
      <c r="L143" s="507"/>
      <c r="M143" s="507">
        <f>H143</f>
        <v>42.785166666666669</v>
      </c>
      <c r="N143" s="507"/>
      <c r="O143" s="507"/>
      <c r="P143" s="507"/>
      <c r="Q143" s="507"/>
      <c r="R143" s="508">
        <f>U12</f>
        <v>36</v>
      </c>
      <c r="S143" s="509"/>
      <c r="T143" s="509"/>
      <c r="U143" s="510"/>
      <c r="V143" s="517">
        <f>Y16</f>
        <v>12</v>
      </c>
      <c r="W143" s="517"/>
      <c r="X143" s="517"/>
      <c r="Y143" s="517"/>
      <c r="Z143" s="517">
        <f>U16</f>
        <v>2</v>
      </c>
      <c r="AA143" s="517"/>
      <c r="AB143" s="517"/>
      <c r="AC143" s="517"/>
      <c r="AD143" s="520" t="s">
        <v>71</v>
      </c>
      <c r="AE143" s="521"/>
      <c r="AF143" s="521"/>
      <c r="AG143" s="521"/>
      <c r="AH143" s="521"/>
      <c r="AI143" s="522"/>
      <c r="AJ143" s="523"/>
      <c r="AK143" s="524"/>
      <c r="AL143" s="524"/>
      <c r="AM143" s="524"/>
      <c r="AN143" s="524"/>
      <c r="AO143" s="524"/>
      <c r="AP143" s="525"/>
      <c r="AQ143" s="507">
        <f>H143*4</f>
        <v>171.14066666666668</v>
      </c>
      <c r="AR143" s="507"/>
      <c r="AS143" s="507"/>
      <c r="AT143" s="507"/>
      <c r="AU143" s="507">
        <f>M143*1</f>
        <v>42.785166666666669</v>
      </c>
      <c r="AV143" s="507"/>
      <c r="AW143" s="507"/>
      <c r="AX143" s="507"/>
      <c r="AY143" s="507">
        <f>H143*R143</f>
        <v>1540.2660000000001</v>
      </c>
      <c r="AZ143" s="507"/>
      <c r="BA143" s="507"/>
      <c r="BB143" s="526"/>
    </row>
    <row r="144" spans="1:54" ht="29.25" customHeight="1" x14ac:dyDescent="0.2">
      <c r="A144" s="527" t="s">
        <v>72</v>
      </c>
      <c r="B144" s="528"/>
      <c r="C144" s="528"/>
      <c r="D144" s="528"/>
      <c r="E144" s="528"/>
      <c r="F144" s="528"/>
      <c r="G144" s="528"/>
      <c r="H144" s="529">
        <f>AV98</f>
        <v>37.105237428142097</v>
      </c>
      <c r="I144" s="529"/>
      <c r="J144" s="529"/>
      <c r="K144" s="529"/>
      <c r="L144" s="529"/>
      <c r="M144" s="477">
        <f t="shared" ref="M144:M146" si="2">H144</f>
        <v>37.105237428142097</v>
      </c>
      <c r="N144" s="477"/>
      <c r="O144" s="477"/>
      <c r="P144" s="477"/>
      <c r="Q144" s="477"/>
      <c r="R144" s="511"/>
      <c r="S144" s="512"/>
      <c r="T144" s="512"/>
      <c r="U144" s="513"/>
      <c r="V144" s="518"/>
      <c r="W144" s="518"/>
      <c r="X144" s="518"/>
      <c r="Y144" s="518"/>
      <c r="Z144" s="518"/>
      <c r="AA144" s="518"/>
      <c r="AB144" s="518"/>
      <c r="AC144" s="518"/>
      <c r="AD144" s="477" t="s">
        <v>71</v>
      </c>
      <c r="AE144" s="477"/>
      <c r="AF144" s="477"/>
      <c r="AG144" s="477"/>
      <c r="AH144" s="477"/>
      <c r="AI144" s="477"/>
      <c r="AJ144" s="478"/>
      <c r="AK144" s="479"/>
      <c r="AL144" s="479"/>
      <c r="AM144" s="479"/>
      <c r="AN144" s="479"/>
      <c r="AO144" s="479"/>
      <c r="AP144" s="480"/>
      <c r="AQ144" s="477">
        <f>H144*4</f>
        <v>148.42094971256839</v>
      </c>
      <c r="AR144" s="477"/>
      <c r="AS144" s="477"/>
      <c r="AT144" s="477"/>
      <c r="AU144" s="477">
        <f>M144*1</f>
        <v>37.105237428142097</v>
      </c>
      <c r="AV144" s="477"/>
      <c r="AW144" s="477"/>
      <c r="AX144" s="477"/>
      <c r="AY144" s="477">
        <f>H144*R143</f>
        <v>1335.7885474131156</v>
      </c>
      <c r="AZ144" s="477"/>
      <c r="BA144" s="477"/>
      <c r="BB144" s="481"/>
    </row>
    <row r="145" spans="1:90" ht="15" customHeight="1" x14ac:dyDescent="0.2">
      <c r="A145" s="527" t="s">
        <v>73</v>
      </c>
      <c r="B145" s="528"/>
      <c r="C145" s="528"/>
      <c r="D145" s="528"/>
      <c r="E145" s="528"/>
      <c r="F145" s="528"/>
      <c r="G145" s="528"/>
      <c r="H145" s="529">
        <f>AU124</f>
        <v>98.681111111111136</v>
      </c>
      <c r="I145" s="529"/>
      <c r="J145" s="529"/>
      <c r="K145" s="529"/>
      <c r="L145" s="529"/>
      <c r="M145" s="477">
        <f t="shared" si="2"/>
        <v>98.681111111111136</v>
      </c>
      <c r="N145" s="477"/>
      <c r="O145" s="477"/>
      <c r="P145" s="477"/>
      <c r="Q145" s="477"/>
      <c r="R145" s="511"/>
      <c r="S145" s="512"/>
      <c r="T145" s="512"/>
      <c r="U145" s="513"/>
      <c r="V145" s="518"/>
      <c r="W145" s="518"/>
      <c r="X145" s="518"/>
      <c r="Y145" s="518"/>
      <c r="Z145" s="518"/>
      <c r="AA145" s="518"/>
      <c r="AB145" s="518"/>
      <c r="AC145" s="518"/>
      <c r="AD145" s="477" t="s">
        <v>71</v>
      </c>
      <c r="AE145" s="477"/>
      <c r="AF145" s="477"/>
      <c r="AG145" s="477"/>
      <c r="AH145" s="477"/>
      <c r="AI145" s="477"/>
      <c r="AJ145" s="478"/>
      <c r="AK145" s="479"/>
      <c r="AL145" s="479"/>
      <c r="AM145" s="479"/>
      <c r="AN145" s="479"/>
      <c r="AO145" s="479"/>
      <c r="AP145" s="480"/>
      <c r="AQ145" s="477">
        <f>H145*4</f>
        <v>394.72444444444454</v>
      </c>
      <c r="AR145" s="477"/>
      <c r="AS145" s="477"/>
      <c r="AT145" s="477"/>
      <c r="AU145" s="477">
        <f>M145*1</f>
        <v>98.681111111111136</v>
      </c>
      <c r="AV145" s="477"/>
      <c r="AW145" s="477"/>
      <c r="AX145" s="477"/>
      <c r="AY145" s="477">
        <f>H145*R143</f>
        <v>3552.5200000000009</v>
      </c>
      <c r="AZ145" s="477"/>
      <c r="BA145" s="477"/>
      <c r="BB145" s="481"/>
    </row>
    <row r="146" spans="1:90" ht="26.25" customHeight="1" thickBot="1" x14ac:dyDescent="0.25">
      <c r="A146" s="494" t="s">
        <v>74</v>
      </c>
      <c r="B146" s="495"/>
      <c r="C146" s="495"/>
      <c r="D146" s="495"/>
      <c r="E146" s="495"/>
      <c r="F146" s="495"/>
      <c r="G146" s="495"/>
      <c r="H146" s="483">
        <f>AU136</f>
        <v>0</v>
      </c>
      <c r="I146" s="483"/>
      <c r="J146" s="483"/>
      <c r="K146" s="483"/>
      <c r="L146" s="483"/>
      <c r="M146" s="482">
        <f t="shared" si="2"/>
        <v>0</v>
      </c>
      <c r="N146" s="482"/>
      <c r="O146" s="482"/>
      <c r="P146" s="482"/>
      <c r="Q146" s="482"/>
      <c r="R146" s="514"/>
      <c r="S146" s="515"/>
      <c r="T146" s="515"/>
      <c r="U146" s="516"/>
      <c r="V146" s="519"/>
      <c r="W146" s="519"/>
      <c r="X146" s="519"/>
      <c r="Y146" s="519"/>
      <c r="Z146" s="519"/>
      <c r="AA146" s="519"/>
      <c r="AB146" s="519"/>
      <c r="AC146" s="519"/>
      <c r="AD146" s="482" t="s">
        <v>71</v>
      </c>
      <c r="AE146" s="482"/>
      <c r="AF146" s="482"/>
      <c r="AG146" s="482"/>
      <c r="AH146" s="482"/>
      <c r="AI146" s="482"/>
      <c r="AJ146" s="496" t="s">
        <v>17</v>
      </c>
      <c r="AK146" s="497"/>
      <c r="AL146" s="497"/>
      <c r="AM146" s="497"/>
      <c r="AN146" s="497"/>
      <c r="AO146" s="497"/>
      <c r="AP146" s="498"/>
      <c r="AQ146" s="482">
        <f>H146*4</f>
        <v>0</v>
      </c>
      <c r="AR146" s="482"/>
      <c r="AS146" s="482"/>
      <c r="AT146" s="482"/>
      <c r="AU146" s="482">
        <f>M146*1</f>
        <v>0</v>
      </c>
      <c r="AV146" s="482"/>
      <c r="AW146" s="482"/>
      <c r="AX146" s="482"/>
      <c r="AY146" s="483">
        <f>H146*R143</f>
        <v>0</v>
      </c>
      <c r="AZ146" s="483"/>
      <c r="BA146" s="483"/>
      <c r="BB146" s="484"/>
    </row>
    <row r="147" spans="1:90" ht="25.5" customHeight="1" x14ac:dyDescent="0.2">
      <c r="A147" s="485" t="s">
        <v>80</v>
      </c>
      <c r="B147" s="486"/>
      <c r="C147" s="486"/>
      <c r="D147" s="486"/>
      <c r="E147" s="486"/>
      <c r="F147" s="486"/>
      <c r="G147" s="487"/>
      <c r="H147" s="488">
        <f>SUM(H143:L146)</f>
        <v>178.57151520591989</v>
      </c>
      <c r="I147" s="488"/>
      <c r="J147" s="488"/>
      <c r="K147" s="488"/>
      <c r="L147" s="488"/>
      <c r="M147" s="488">
        <f>SUM(M143:Q146)</f>
        <v>178.57151520591989</v>
      </c>
      <c r="N147" s="488"/>
      <c r="O147" s="488"/>
      <c r="P147" s="488"/>
      <c r="Q147" s="488"/>
      <c r="R147" s="489">
        <f>R143</f>
        <v>36</v>
      </c>
      <c r="S147" s="489"/>
      <c r="T147" s="489"/>
      <c r="U147" s="489"/>
      <c r="V147" s="490">
        <f>V143</f>
        <v>12</v>
      </c>
      <c r="W147" s="490"/>
      <c r="X147" s="490"/>
      <c r="Y147" s="490"/>
      <c r="Z147" s="490">
        <f>Z143</f>
        <v>2</v>
      </c>
      <c r="AA147" s="490"/>
      <c r="AB147" s="490"/>
      <c r="AC147" s="490"/>
      <c r="AD147" s="488" t="s">
        <v>17</v>
      </c>
      <c r="AE147" s="488"/>
      <c r="AF147" s="488"/>
      <c r="AG147" s="488"/>
      <c r="AH147" s="488"/>
      <c r="AI147" s="488"/>
      <c r="AJ147" s="491" t="s">
        <v>17</v>
      </c>
      <c r="AK147" s="492"/>
      <c r="AL147" s="492"/>
      <c r="AM147" s="492"/>
      <c r="AN147" s="492"/>
      <c r="AO147" s="492"/>
      <c r="AP147" s="493"/>
      <c r="AQ147" s="453">
        <f>SUM(AQ143:AT146)</f>
        <v>714.28606082367958</v>
      </c>
      <c r="AR147" s="453"/>
      <c r="AS147" s="453"/>
      <c r="AT147" s="453"/>
      <c r="AU147" s="453">
        <f>SUM(AU143:AX146)</f>
        <v>178.57151520591989</v>
      </c>
      <c r="AV147" s="453"/>
      <c r="AW147" s="453"/>
      <c r="AX147" s="453"/>
      <c r="AY147" s="453">
        <f>SUM(AY143:BB146)</f>
        <v>6428.5745474131163</v>
      </c>
      <c r="AZ147" s="453"/>
      <c r="BA147" s="453"/>
      <c r="BB147" s="454"/>
    </row>
    <row r="148" spans="1:90" ht="30.75" customHeight="1" x14ac:dyDescent="0.2">
      <c r="A148" s="455" t="s">
        <v>75</v>
      </c>
      <c r="B148" s="456"/>
      <c r="C148" s="456"/>
      <c r="D148" s="456"/>
      <c r="E148" s="456"/>
      <c r="F148" s="456"/>
      <c r="G148" s="215">
        <v>0.4</v>
      </c>
      <c r="H148" s="457">
        <f>H147*G148</f>
        <v>71.428606082367963</v>
      </c>
      <c r="I148" s="457"/>
      <c r="J148" s="457"/>
      <c r="K148" s="457"/>
      <c r="L148" s="457"/>
      <c r="M148" s="457">
        <f>M147*G148</f>
        <v>71.428606082367963</v>
      </c>
      <c r="N148" s="457"/>
      <c r="O148" s="457"/>
      <c r="P148" s="457"/>
      <c r="Q148" s="457"/>
      <c r="R148" s="818">
        <f>R143</f>
        <v>36</v>
      </c>
      <c r="S148" s="819"/>
      <c r="T148" s="819"/>
      <c r="U148" s="820"/>
      <c r="V148" s="821">
        <f>V143</f>
        <v>12</v>
      </c>
      <c r="W148" s="819"/>
      <c r="X148" s="819"/>
      <c r="Y148" s="820"/>
      <c r="Z148" s="821">
        <f>Z143</f>
        <v>2</v>
      </c>
      <c r="AA148" s="819"/>
      <c r="AB148" s="819"/>
      <c r="AC148" s="820"/>
      <c r="AD148" s="462" t="s">
        <v>17</v>
      </c>
      <c r="AE148" s="462"/>
      <c r="AF148" s="462"/>
      <c r="AG148" s="462"/>
      <c r="AH148" s="462"/>
      <c r="AI148" s="462"/>
      <c r="AJ148" s="462" t="s">
        <v>17</v>
      </c>
      <c r="AK148" s="462"/>
      <c r="AL148" s="462"/>
      <c r="AM148" s="462"/>
      <c r="AN148" s="462"/>
      <c r="AO148" s="462"/>
      <c r="AP148" s="462"/>
      <c r="AQ148" s="466">
        <f>AQ147*G148</f>
        <v>285.71442432947185</v>
      </c>
      <c r="AR148" s="466"/>
      <c r="AS148" s="466"/>
      <c r="AT148" s="466"/>
      <c r="AU148" s="466">
        <f>AU147*G148</f>
        <v>71.428606082367963</v>
      </c>
      <c r="AV148" s="466"/>
      <c r="AW148" s="466"/>
      <c r="AX148" s="466"/>
      <c r="AY148" s="466">
        <f>AY147*G148</f>
        <v>2571.4298189652468</v>
      </c>
      <c r="AZ148" s="466"/>
      <c r="BA148" s="466"/>
      <c r="BB148" s="467"/>
    </row>
    <row r="149" spans="1:90" ht="30.75" customHeight="1" thickBot="1" x14ac:dyDescent="0.25">
      <c r="A149" s="468" t="s">
        <v>81</v>
      </c>
      <c r="B149" s="469"/>
      <c r="C149" s="469"/>
      <c r="D149" s="469"/>
      <c r="E149" s="469"/>
      <c r="F149" s="469"/>
      <c r="G149" s="470"/>
      <c r="H149" s="464">
        <f>H147+H148</f>
        <v>250.00012128828786</v>
      </c>
      <c r="I149" s="464"/>
      <c r="J149" s="464"/>
      <c r="K149" s="464"/>
      <c r="L149" s="464"/>
      <c r="M149" s="471">
        <f>M147+M148</f>
        <v>250.00012128828786</v>
      </c>
      <c r="N149" s="472"/>
      <c r="O149" s="472"/>
      <c r="P149" s="472"/>
      <c r="Q149" s="473"/>
      <c r="R149" s="825">
        <f>R143</f>
        <v>36</v>
      </c>
      <c r="S149" s="826"/>
      <c r="T149" s="826"/>
      <c r="U149" s="827"/>
      <c r="V149" s="828">
        <f>V143</f>
        <v>12</v>
      </c>
      <c r="W149" s="829"/>
      <c r="X149" s="829"/>
      <c r="Y149" s="830"/>
      <c r="Z149" s="828">
        <f>Z143</f>
        <v>2</v>
      </c>
      <c r="AA149" s="829"/>
      <c r="AB149" s="829"/>
      <c r="AC149" s="830"/>
      <c r="AD149" s="463" t="s">
        <v>17</v>
      </c>
      <c r="AE149" s="463"/>
      <c r="AF149" s="463"/>
      <c r="AG149" s="463"/>
      <c r="AH149" s="463"/>
      <c r="AI149" s="463"/>
      <c r="AJ149" s="463" t="s">
        <v>17</v>
      </c>
      <c r="AK149" s="463"/>
      <c r="AL149" s="463"/>
      <c r="AM149" s="463"/>
      <c r="AN149" s="463"/>
      <c r="AO149" s="463"/>
      <c r="AP149" s="463"/>
      <c r="AQ149" s="464">
        <f>AQ147+AQ148</f>
        <v>1000.0004851531514</v>
      </c>
      <c r="AR149" s="464"/>
      <c r="AS149" s="464"/>
      <c r="AT149" s="464"/>
      <c r="AU149" s="464">
        <f>AU147+AU148</f>
        <v>250.00012128828786</v>
      </c>
      <c r="AV149" s="464"/>
      <c r="AW149" s="464"/>
      <c r="AX149" s="464"/>
      <c r="AY149" s="464">
        <f>AY147+AY148</f>
        <v>9000.0043663783636</v>
      </c>
      <c r="AZ149" s="464"/>
      <c r="BA149" s="464"/>
      <c r="BB149" s="465"/>
      <c r="BE149" s="216"/>
      <c r="BF149" s="216"/>
    </row>
    <row r="150" spans="1:90" ht="16.5" customHeight="1" x14ac:dyDescent="0.2">
      <c r="BC150" s="432"/>
      <c r="BD150" s="432"/>
      <c r="BE150" s="216"/>
      <c r="BF150" s="216"/>
      <c r="BG150" s="216"/>
      <c r="BH150" s="216"/>
      <c r="BI150" s="216"/>
    </row>
    <row r="151" spans="1:90" ht="12" customHeight="1" x14ac:dyDescent="0.2">
      <c r="BC151" s="432"/>
      <c r="BD151" s="432"/>
      <c r="BE151" s="216"/>
      <c r="BF151" s="216"/>
    </row>
    <row r="152" spans="1:90" ht="14.25" customHeight="1" x14ac:dyDescent="0.2">
      <c r="B152" s="452" t="s">
        <v>658</v>
      </c>
      <c r="C152" s="452"/>
      <c r="D152" s="452"/>
      <c r="E152" s="452"/>
      <c r="F152" s="452"/>
      <c r="G152" s="452"/>
      <c r="H152" s="452"/>
      <c r="I152" s="452"/>
      <c r="J152" s="452"/>
      <c r="K152" s="452"/>
      <c r="L152" s="452"/>
      <c r="M152" s="452"/>
      <c r="N152" s="452"/>
      <c r="O152" s="452"/>
      <c r="P152" s="452"/>
      <c r="Q152" s="452"/>
      <c r="R152" s="452"/>
      <c r="S152" s="452"/>
      <c r="U152" s="164"/>
      <c r="V152" s="164"/>
      <c r="W152" s="164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M152" s="442" t="s">
        <v>515</v>
      </c>
      <c r="AN152" s="763"/>
      <c r="AO152" s="763"/>
      <c r="AP152" s="763"/>
      <c r="AQ152" s="763"/>
      <c r="AR152" s="763"/>
      <c r="AS152" s="763"/>
      <c r="AT152" s="763"/>
      <c r="AU152" s="763"/>
      <c r="AV152" s="763"/>
      <c r="AW152" s="763"/>
      <c r="AX152" s="763"/>
      <c r="AY152" s="763"/>
      <c r="AZ152" s="763"/>
      <c r="BA152" s="763"/>
      <c r="BB152" s="763"/>
      <c r="BC152" s="442"/>
      <c r="BD152" s="442"/>
      <c r="BE152" s="216"/>
      <c r="BF152" s="216"/>
    </row>
    <row r="153" spans="1:90" ht="8.25" customHeight="1" x14ac:dyDescent="0.2">
      <c r="B153" s="452" t="s">
        <v>78</v>
      </c>
      <c r="C153" s="452"/>
      <c r="D153" s="452"/>
      <c r="E153" s="452"/>
      <c r="F153" s="452"/>
      <c r="G153" s="452"/>
      <c r="H153" s="452"/>
      <c r="I153" s="452"/>
      <c r="J153" s="452"/>
      <c r="K153" s="452"/>
      <c r="L153" s="452"/>
      <c r="M153" s="452"/>
      <c r="N153" s="452"/>
      <c r="O153" s="452"/>
      <c r="P153" s="452"/>
      <c r="Q153" s="452"/>
      <c r="R153" s="452"/>
      <c r="S153" s="452"/>
      <c r="AM153" s="442" t="s">
        <v>418</v>
      </c>
      <c r="AN153" s="442"/>
      <c r="AO153" s="442"/>
      <c r="AP153" s="442"/>
      <c r="AQ153" s="442"/>
      <c r="AR153" s="442"/>
      <c r="AS153" s="442"/>
      <c r="AT153" s="442"/>
      <c r="AU153" s="442"/>
      <c r="AV153" s="442"/>
      <c r="AW153" s="442"/>
      <c r="AX153" s="442"/>
      <c r="AY153" s="442"/>
      <c r="AZ153" s="442"/>
      <c r="BA153" s="442"/>
      <c r="BB153" s="442"/>
      <c r="BC153" s="442"/>
      <c r="BD153" s="219"/>
    </row>
    <row r="154" spans="1:90" ht="19.5" customHeight="1" x14ac:dyDescent="0.2">
      <c r="B154" s="452"/>
      <c r="C154" s="452"/>
      <c r="D154" s="452"/>
      <c r="E154" s="452"/>
      <c r="F154" s="452"/>
      <c r="G154" s="452"/>
      <c r="H154" s="452"/>
      <c r="I154" s="452"/>
      <c r="J154" s="452"/>
      <c r="K154" s="452"/>
      <c r="L154" s="452"/>
      <c r="M154" s="452"/>
      <c r="N154" s="452"/>
      <c r="O154" s="452"/>
      <c r="P154" s="452"/>
      <c r="Q154" s="452"/>
      <c r="R154" s="452"/>
      <c r="S154" s="452"/>
      <c r="U154" s="164"/>
      <c r="V154" s="164"/>
      <c r="W154" s="164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M154" s="442"/>
      <c r="AN154" s="442"/>
      <c r="AO154" s="442"/>
      <c r="AP154" s="442"/>
      <c r="AQ154" s="442"/>
      <c r="AR154" s="442"/>
      <c r="AS154" s="442"/>
      <c r="AT154" s="442"/>
      <c r="AU154" s="442"/>
      <c r="AV154" s="442"/>
      <c r="AW154" s="442"/>
      <c r="AX154" s="442"/>
      <c r="AY154" s="442"/>
      <c r="AZ154" s="442"/>
      <c r="BA154" s="442"/>
      <c r="BB154" s="442"/>
      <c r="BC154" s="442"/>
      <c r="BD154" s="219"/>
      <c r="BE154" s="432"/>
      <c r="BF154" s="432"/>
      <c r="BG154" s="432"/>
      <c r="BH154" s="432"/>
      <c r="BI154" s="432"/>
      <c r="BJ154" s="432"/>
      <c r="BK154" s="432"/>
      <c r="BL154" s="432"/>
      <c r="BM154" s="432"/>
      <c r="BN154" s="432"/>
      <c r="BO154" s="432"/>
      <c r="BP154" s="432"/>
      <c r="BQ154" s="432"/>
      <c r="BR154" s="432"/>
      <c r="BS154" s="432"/>
      <c r="BT154" s="432"/>
      <c r="BU154" s="432"/>
      <c r="BV154" s="432"/>
      <c r="BW154" s="432"/>
      <c r="BX154" s="432"/>
      <c r="BY154" s="432"/>
      <c r="BZ154" s="432"/>
      <c r="CA154" s="432"/>
    </row>
    <row r="155" spans="1:90" ht="15.75" customHeight="1" x14ac:dyDescent="0.2">
      <c r="BE155" s="432"/>
      <c r="BF155" s="432"/>
      <c r="BG155" s="432"/>
      <c r="BH155" s="433"/>
      <c r="BI155" s="433"/>
      <c r="BJ155" s="433"/>
      <c r="BK155" s="433"/>
      <c r="BL155" s="433"/>
      <c r="BM155" s="220"/>
      <c r="BN155" s="220"/>
      <c r="BO155" s="220"/>
      <c r="BP155" s="220"/>
      <c r="BQ155" s="220"/>
      <c r="BR155" s="220"/>
      <c r="BS155" s="220"/>
      <c r="BT155" s="220"/>
    </row>
    <row r="156" spans="1:90" ht="13.5" customHeight="1" x14ac:dyDescent="0.2">
      <c r="A156" s="219" t="s">
        <v>125</v>
      </c>
      <c r="B156" s="219"/>
      <c r="C156" s="219"/>
      <c r="D156" s="219"/>
      <c r="BE156" s="434"/>
      <c r="BF156" s="432"/>
      <c r="BG156" s="432"/>
      <c r="BH156" s="216"/>
      <c r="BI156" s="432"/>
      <c r="BJ156" s="432"/>
      <c r="BK156" s="432"/>
      <c r="BL156" s="432"/>
      <c r="BM156" s="432"/>
      <c r="BN156" s="432"/>
      <c r="BO156" s="432"/>
      <c r="BP156" s="432"/>
      <c r="BQ156" s="432"/>
      <c r="BR156" s="432"/>
      <c r="BS156" s="432"/>
      <c r="BT156" s="432"/>
    </row>
    <row r="157" spans="1:90" ht="24" customHeight="1" x14ac:dyDescent="0.25">
      <c r="A157" s="222"/>
      <c r="B157" s="222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22"/>
      <c r="AD157" s="222"/>
      <c r="AE157" s="222"/>
      <c r="AF157" s="222"/>
      <c r="AG157" s="222"/>
      <c r="AH157" s="222"/>
      <c r="AI157" s="222"/>
      <c r="AJ157" s="222"/>
      <c r="AK157" s="222"/>
      <c r="AL157" s="222"/>
      <c r="AM157" s="222"/>
      <c r="AN157" s="222"/>
      <c r="AO157" s="222"/>
      <c r="AP157" s="222"/>
      <c r="AQ157" s="222"/>
      <c r="AR157" s="222"/>
      <c r="AS157" s="222"/>
      <c r="BE157" s="432"/>
      <c r="BF157" s="432"/>
      <c r="BG157" s="432"/>
      <c r="BH157" s="216"/>
      <c r="BI157" s="435"/>
      <c r="BJ157" s="435"/>
      <c r="BK157" s="435"/>
      <c r="BL157" s="435"/>
      <c r="BM157" s="435"/>
      <c r="BN157" s="435"/>
      <c r="BO157" s="435"/>
      <c r="BP157" s="435"/>
      <c r="BQ157" s="435"/>
      <c r="BR157" s="435"/>
      <c r="BS157" s="435"/>
      <c r="BT157" s="435"/>
    </row>
    <row r="158" spans="1:90" ht="15" hidden="1" x14ac:dyDescent="0.25">
      <c r="BE158" s="432" t="s">
        <v>508</v>
      </c>
      <c r="BF158" s="443"/>
      <c r="BG158" s="443"/>
      <c r="BH158" s="443"/>
      <c r="BI158" s="443"/>
      <c r="BJ158" s="443"/>
      <c r="BK158" s="443"/>
      <c r="BL158" s="443"/>
      <c r="BM158" s="443"/>
      <c r="BN158" s="443"/>
      <c r="BO158" s="443"/>
      <c r="BP158" s="443"/>
      <c r="BQ158" s="443"/>
      <c r="BR158" s="443"/>
      <c r="BS158" s="443"/>
      <c r="BT158" s="443"/>
      <c r="BU158" s="302"/>
      <c r="BV158" s="302"/>
      <c r="BW158" s="302"/>
      <c r="BX158" s="302"/>
      <c r="BY158" s="302"/>
      <c r="BZ158" s="302"/>
      <c r="CA158" s="302"/>
    </row>
    <row r="159" spans="1:90" ht="12" hidden="1" x14ac:dyDescent="0.2">
      <c r="BE159" s="432" t="s">
        <v>126</v>
      </c>
      <c r="BF159" s="432"/>
      <c r="BG159" s="432"/>
      <c r="BH159" s="433">
        <f>220*66</f>
        <v>14520</v>
      </c>
      <c r="BI159" s="433"/>
      <c r="BJ159" s="433"/>
      <c r="BK159" s="433"/>
      <c r="BL159" s="433"/>
      <c r="BM159" s="304" t="s">
        <v>127</v>
      </c>
      <c r="BN159" s="304"/>
      <c r="BO159" s="304"/>
      <c r="BP159" s="304"/>
      <c r="BQ159" s="304"/>
      <c r="BR159" s="304"/>
      <c r="BS159" s="304"/>
      <c r="BT159" s="304"/>
    </row>
    <row r="160" spans="1:90" ht="15" hidden="1" x14ac:dyDescent="0.25">
      <c r="BE160" s="434">
        <v>0.6</v>
      </c>
      <c r="BF160" s="432"/>
      <c r="BG160" s="432"/>
      <c r="BH160" s="216">
        <f>BH159*BE160</f>
        <v>8712</v>
      </c>
      <c r="BI160" s="432" t="s">
        <v>128</v>
      </c>
      <c r="BJ160" s="432"/>
      <c r="BK160" s="432"/>
      <c r="BL160" s="432"/>
      <c r="BM160" s="432"/>
      <c r="BN160" s="432" t="s">
        <v>129</v>
      </c>
      <c r="BO160" s="432"/>
      <c r="BP160" s="432"/>
      <c r="BQ160" s="432"/>
      <c r="BR160" s="432"/>
      <c r="BS160" s="432"/>
      <c r="BT160" s="432"/>
      <c r="BW160" s="432" t="s">
        <v>368</v>
      </c>
      <c r="BX160" s="443"/>
      <c r="BY160" s="443"/>
      <c r="BZ160" s="443"/>
      <c r="CA160" s="443"/>
      <c r="CB160" s="443"/>
      <c r="CE160" s="432" t="s">
        <v>366</v>
      </c>
      <c r="CF160" s="443"/>
      <c r="CG160" s="443"/>
      <c r="CH160" s="443"/>
      <c r="CI160" s="443"/>
      <c r="CJ160" s="443"/>
      <c r="CK160" s="443"/>
      <c r="CL160" s="443"/>
    </row>
    <row r="161" spans="57:90" ht="15" hidden="1" x14ac:dyDescent="0.25">
      <c r="BE161" s="432">
        <v>211</v>
      </c>
      <c r="BF161" s="432"/>
      <c r="BG161" s="432"/>
      <c r="BH161" s="216">
        <f>BH160-BH162</f>
        <v>6691.2442396313363</v>
      </c>
      <c r="BI161" s="435">
        <f>BH161*0.2</f>
        <v>1338.2488479262674</v>
      </c>
      <c r="BJ161" s="435"/>
      <c r="BK161" s="435"/>
      <c r="BL161" s="435"/>
      <c r="BM161" s="435"/>
      <c r="BN161" s="436">
        <f>BH161-BI161</f>
        <v>5352.9953917050689</v>
      </c>
      <c r="BO161" s="445"/>
      <c r="BP161" s="445"/>
      <c r="BQ161" s="445"/>
      <c r="BR161" s="445"/>
      <c r="BS161" s="445"/>
      <c r="BT161" s="445"/>
      <c r="BW161" s="437">
        <f>BI161*15/20+0.01</f>
        <v>1003.6966359447006</v>
      </c>
      <c r="BX161" s="446"/>
      <c r="BY161" s="446"/>
      <c r="BZ161" s="446"/>
      <c r="CA161" s="446"/>
      <c r="CB161" s="446"/>
      <c r="CE161" s="437">
        <f>BI161*5/20-0.01</f>
        <v>334.55221198156687</v>
      </c>
      <c r="CF161" s="446"/>
      <c r="CG161" s="446"/>
      <c r="CH161" s="446"/>
      <c r="CI161" s="446"/>
      <c r="CJ161" s="446"/>
      <c r="CK161" s="446"/>
      <c r="CL161" s="446"/>
    </row>
    <row r="162" spans="57:90" ht="12" hidden="1" x14ac:dyDescent="0.2">
      <c r="BE162" s="432">
        <v>213</v>
      </c>
      <c r="BF162" s="432"/>
      <c r="BG162" s="432"/>
      <c r="BH162" s="216">
        <f>BH160*30.2/130.2</f>
        <v>2020.7557603686635</v>
      </c>
      <c r="BI162" s="435">
        <f>BI161*30.2%</f>
        <v>404.15115207373276</v>
      </c>
      <c r="BJ162" s="435"/>
      <c r="BK162" s="435"/>
      <c r="BL162" s="435"/>
      <c r="BM162" s="435"/>
      <c r="BN162" s="435">
        <f>BN161*30.2%</f>
        <v>1616.6046082949308</v>
      </c>
      <c r="BO162" s="435"/>
      <c r="BP162" s="435"/>
      <c r="BQ162" s="435"/>
      <c r="BR162" s="435"/>
      <c r="BS162" s="435"/>
      <c r="BT162" s="435"/>
    </row>
    <row r="163" spans="57:90" ht="8.25" hidden="1" customHeight="1" x14ac:dyDescent="0.2"/>
    <row r="164" spans="57:90" ht="8.25" hidden="1" customHeight="1" x14ac:dyDescent="0.2"/>
    <row r="165" spans="57:90" ht="15" hidden="1" x14ac:dyDescent="0.25">
      <c r="BE165" s="432" t="s">
        <v>555</v>
      </c>
      <c r="BF165" s="443"/>
      <c r="BG165" s="443"/>
      <c r="BH165" s="443"/>
      <c r="BI165" s="443"/>
      <c r="BJ165" s="443"/>
      <c r="BK165" s="443"/>
      <c r="BL165" s="443"/>
      <c r="BM165" s="443"/>
      <c r="BN165" s="443"/>
      <c r="BO165" s="443"/>
      <c r="BP165" s="443"/>
      <c r="BQ165" s="443"/>
      <c r="BR165" s="443"/>
      <c r="BS165" s="443"/>
      <c r="BT165" s="443"/>
      <c r="BU165" s="318"/>
      <c r="BV165" s="318"/>
      <c r="BW165" s="318"/>
      <c r="BX165" s="318"/>
      <c r="BY165" s="318"/>
      <c r="BZ165" s="318"/>
      <c r="CA165" s="318"/>
    </row>
    <row r="166" spans="57:90" ht="12" hidden="1" x14ac:dyDescent="0.2">
      <c r="BE166" s="432" t="s">
        <v>126</v>
      </c>
      <c r="BF166" s="432"/>
      <c r="BG166" s="432"/>
      <c r="BH166" s="433">
        <f>220*15</f>
        <v>3300</v>
      </c>
      <c r="BI166" s="433"/>
      <c r="BJ166" s="433"/>
      <c r="BK166" s="433"/>
      <c r="BL166" s="433"/>
      <c r="BM166" s="320" t="s">
        <v>127</v>
      </c>
      <c r="BN166" s="320"/>
      <c r="BO166" s="320"/>
      <c r="BP166" s="320"/>
      <c r="BQ166" s="320"/>
      <c r="BR166" s="320"/>
      <c r="BS166" s="320"/>
      <c r="BT166" s="320"/>
    </row>
    <row r="167" spans="57:90" ht="15" hidden="1" x14ac:dyDescent="0.25">
      <c r="BE167" s="434">
        <v>0.6</v>
      </c>
      <c r="BF167" s="432"/>
      <c r="BG167" s="432"/>
      <c r="BH167" s="216">
        <f>BH166*BE167</f>
        <v>1980</v>
      </c>
      <c r="BI167" s="432" t="s">
        <v>128</v>
      </c>
      <c r="BJ167" s="432"/>
      <c r="BK167" s="432"/>
      <c r="BL167" s="432"/>
      <c r="BM167" s="432"/>
      <c r="BN167" s="432" t="s">
        <v>129</v>
      </c>
      <c r="BO167" s="432"/>
      <c r="BP167" s="432"/>
      <c r="BQ167" s="432"/>
      <c r="BR167" s="432"/>
      <c r="BS167" s="432"/>
      <c r="BT167" s="432"/>
      <c r="BW167" s="432" t="s">
        <v>368</v>
      </c>
      <c r="BX167" s="443"/>
      <c r="BY167" s="443"/>
      <c r="BZ167" s="443"/>
      <c r="CA167" s="443"/>
      <c r="CB167" s="443"/>
      <c r="CE167" s="432" t="s">
        <v>366</v>
      </c>
      <c r="CF167" s="443"/>
      <c r="CG167" s="443"/>
      <c r="CH167" s="443"/>
      <c r="CI167" s="443"/>
      <c r="CJ167" s="443"/>
      <c r="CK167" s="443"/>
      <c r="CL167" s="443"/>
    </row>
    <row r="168" spans="57:90" ht="15" hidden="1" x14ac:dyDescent="0.25">
      <c r="BE168" s="432">
        <v>211</v>
      </c>
      <c r="BF168" s="432"/>
      <c r="BG168" s="432"/>
      <c r="BH168" s="216">
        <f>BH167-BH169</f>
        <v>1520.7373271889401</v>
      </c>
      <c r="BI168" s="435">
        <f>BH168*0.2</f>
        <v>304.14746543778801</v>
      </c>
      <c r="BJ168" s="435"/>
      <c r="BK168" s="435"/>
      <c r="BL168" s="435"/>
      <c r="BM168" s="435"/>
      <c r="BN168" s="436">
        <f>BH168-BI168</f>
        <v>1216.5898617511521</v>
      </c>
      <c r="BO168" s="445"/>
      <c r="BP168" s="445"/>
      <c r="BQ168" s="445"/>
      <c r="BR168" s="445"/>
      <c r="BS168" s="445"/>
      <c r="BT168" s="445"/>
      <c r="BW168" s="437">
        <f>BI168*15/20+0.01</f>
        <v>228.120599078341</v>
      </c>
      <c r="BX168" s="446"/>
      <c r="BY168" s="446"/>
      <c r="BZ168" s="446"/>
      <c r="CA168" s="446"/>
      <c r="CB168" s="446"/>
      <c r="CE168" s="437">
        <f>BI168*5/20-0.01</f>
        <v>76.026866359446998</v>
      </c>
      <c r="CF168" s="446"/>
      <c r="CG168" s="446"/>
      <c r="CH168" s="446"/>
      <c r="CI168" s="446"/>
      <c r="CJ168" s="446"/>
      <c r="CK168" s="446"/>
      <c r="CL168" s="446"/>
    </row>
    <row r="169" spans="57:90" ht="12" hidden="1" x14ac:dyDescent="0.2">
      <c r="BE169" s="432">
        <v>213</v>
      </c>
      <c r="BF169" s="432"/>
      <c r="BG169" s="432"/>
      <c r="BH169" s="216">
        <f>BH167*30.2/130.2</f>
        <v>459.26267281105993</v>
      </c>
      <c r="BI169" s="435">
        <f>BI168*30.2%</f>
        <v>91.852534562211972</v>
      </c>
      <c r="BJ169" s="435"/>
      <c r="BK169" s="435"/>
      <c r="BL169" s="435"/>
      <c r="BM169" s="435"/>
      <c r="BN169" s="435">
        <f>BN168*30.2%</f>
        <v>367.41013824884789</v>
      </c>
      <c r="BO169" s="435"/>
      <c r="BP169" s="435"/>
      <c r="BQ169" s="435"/>
      <c r="BR169" s="435"/>
      <c r="BS169" s="435"/>
      <c r="BT169" s="435"/>
    </row>
    <row r="170" spans="57:90" ht="8.25" hidden="1" customHeight="1" x14ac:dyDescent="0.2"/>
    <row r="171" spans="57:90" ht="8.25" hidden="1" customHeight="1" x14ac:dyDescent="0.2"/>
    <row r="172" spans="57:90" ht="15" hidden="1" x14ac:dyDescent="0.25">
      <c r="BE172" s="432" t="s">
        <v>556</v>
      </c>
      <c r="BF172" s="443"/>
      <c r="BG172" s="443"/>
      <c r="BH172" s="443"/>
      <c r="BI172" s="443"/>
      <c r="BJ172" s="443"/>
      <c r="BK172" s="443"/>
      <c r="BL172" s="443"/>
      <c r="BM172" s="443"/>
      <c r="BN172" s="443"/>
      <c r="BO172" s="443"/>
      <c r="BP172" s="443"/>
      <c r="BQ172" s="443"/>
      <c r="BR172" s="443"/>
      <c r="BS172" s="443"/>
      <c r="BT172" s="443"/>
      <c r="BU172" s="318"/>
      <c r="BV172" s="318"/>
      <c r="BW172" s="318"/>
      <c r="BX172" s="318"/>
      <c r="BY172" s="318"/>
      <c r="BZ172" s="318"/>
      <c r="CA172" s="318"/>
    </row>
    <row r="173" spans="57:90" ht="12" hidden="1" x14ac:dyDescent="0.2">
      <c r="BE173" s="432" t="s">
        <v>126</v>
      </c>
      <c r="BF173" s="432"/>
      <c r="BG173" s="432"/>
      <c r="BH173" s="433">
        <f>220*12</f>
        <v>2640</v>
      </c>
      <c r="BI173" s="433"/>
      <c r="BJ173" s="433"/>
      <c r="BK173" s="433"/>
      <c r="BL173" s="433"/>
      <c r="BM173" s="320" t="s">
        <v>127</v>
      </c>
      <c r="BN173" s="320"/>
      <c r="BO173" s="320"/>
      <c r="BP173" s="320"/>
      <c r="BQ173" s="320"/>
      <c r="BR173" s="320"/>
      <c r="BS173" s="320"/>
      <c r="BT173" s="320"/>
    </row>
    <row r="174" spans="57:90" ht="15" hidden="1" x14ac:dyDescent="0.25">
      <c r="BE174" s="434">
        <v>0.6</v>
      </c>
      <c r="BF174" s="432"/>
      <c r="BG174" s="432"/>
      <c r="BH174" s="216">
        <f>BH173*BE174</f>
        <v>1584</v>
      </c>
      <c r="BI174" s="432" t="s">
        <v>128</v>
      </c>
      <c r="BJ174" s="432"/>
      <c r="BK174" s="432"/>
      <c r="BL174" s="432"/>
      <c r="BM174" s="432"/>
      <c r="BN174" s="432" t="s">
        <v>129</v>
      </c>
      <c r="BO174" s="432"/>
      <c r="BP174" s="432"/>
      <c r="BQ174" s="432"/>
      <c r="BR174" s="432"/>
      <c r="BS174" s="432"/>
      <c r="BT174" s="432"/>
      <c r="BW174" s="432" t="s">
        <v>368</v>
      </c>
      <c r="BX174" s="443"/>
      <c r="BY174" s="443"/>
      <c r="BZ174" s="443"/>
      <c r="CA174" s="443"/>
      <c r="CB174" s="443"/>
      <c r="CE174" s="432" t="s">
        <v>366</v>
      </c>
      <c r="CF174" s="443"/>
      <c r="CG174" s="443"/>
      <c r="CH174" s="443"/>
      <c r="CI174" s="443"/>
      <c r="CJ174" s="443"/>
      <c r="CK174" s="443"/>
      <c r="CL174" s="443"/>
    </row>
    <row r="175" spans="57:90" ht="15" hidden="1" x14ac:dyDescent="0.25">
      <c r="BE175" s="432">
        <v>211</v>
      </c>
      <c r="BF175" s="432"/>
      <c r="BG175" s="432"/>
      <c r="BH175" s="216">
        <f>BH174-BH176</f>
        <v>1216.5898617511521</v>
      </c>
      <c r="BI175" s="435">
        <f>BH175*0.2</f>
        <v>243.31797235023043</v>
      </c>
      <c r="BJ175" s="435"/>
      <c r="BK175" s="435"/>
      <c r="BL175" s="435"/>
      <c r="BM175" s="435"/>
      <c r="BN175" s="436">
        <f>BH175-BI175</f>
        <v>973.27188940092162</v>
      </c>
      <c r="BO175" s="445"/>
      <c r="BP175" s="445"/>
      <c r="BQ175" s="445"/>
      <c r="BR175" s="445"/>
      <c r="BS175" s="445"/>
      <c r="BT175" s="445"/>
      <c r="BW175" s="437">
        <f>BI175*15/20+0.01</f>
        <v>182.49847926267282</v>
      </c>
      <c r="BX175" s="446"/>
      <c r="BY175" s="446"/>
      <c r="BZ175" s="446"/>
      <c r="CA175" s="446"/>
      <c r="CB175" s="446"/>
      <c r="CE175" s="437">
        <f>BI175*5/20-0.01</f>
        <v>60.819493087557603</v>
      </c>
      <c r="CF175" s="446"/>
      <c r="CG175" s="446"/>
      <c r="CH175" s="446"/>
      <c r="CI175" s="446"/>
      <c r="CJ175" s="446"/>
      <c r="CK175" s="446"/>
      <c r="CL175" s="446"/>
    </row>
    <row r="176" spans="57:90" ht="12" hidden="1" x14ac:dyDescent="0.2">
      <c r="BE176" s="432">
        <v>213</v>
      </c>
      <c r="BF176" s="432"/>
      <c r="BG176" s="432"/>
      <c r="BH176" s="216">
        <f>BH174*30.2/130.2</f>
        <v>367.41013824884794</v>
      </c>
      <c r="BI176" s="435">
        <f>BI175*30.2%</f>
        <v>73.482027649769591</v>
      </c>
      <c r="BJ176" s="435"/>
      <c r="BK176" s="435"/>
      <c r="BL176" s="435"/>
      <c r="BM176" s="435"/>
      <c r="BN176" s="435">
        <f>BN175*30.2%</f>
        <v>293.92811059907831</v>
      </c>
      <c r="BO176" s="435"/>
      <c r="BP176" s="435"/>
      <c r="BQ176" s="435"/>
      <c r="BR176" s="435"/>
      <c r="BS176" s="435"/>
      <c r="BT176" s="435"/>
    </row>
    <row r="177" spans="57:90" ht="8.25" hidden="1" customHeight="1" x14ac:dyDescent="0.2"/>
    <row r="178" spans="57:90" ht="8.25" hidden="1" customHeight="1" x14ac:dyDescent="0.2"/>
    <row r="179" spans="57:90" ht="15" hidden="1" x14ac:dyDescent="0.25">
      <c r="BE179" s="432" t="s">
        <v>570</v>
      </c>
      <c r="BF179" s="443"/>
      <c r="BG179" s="443"/>
      <c r="BH179" s="443"/>
      <c r="BI179" s="443"/>
      <c r="BJ179" s="443"/>
      <c r="BK179" s="443"/>
      <c r="BL179" s="443"/>
      <c r="BM179" s="443"/>
      <c r="BN179" s="443"/>
      <c r="BO179" s="443"/>
      <c r="BP179" s="443"/>
      <c r="BQ179" s="443"/>
      <c r="BR179" s="443"/>
      <c r="BS179" s="443"/>
      <c r="BT179" s="443"/>
      <c r="BU179" s="322"/>
      <c r="BV179" s="322"/>
      <c r="BW179" s="322"/>
      <c r="BX179" s="322"/>
      <c r="BY179" s="322"/>
      <c r="BZ179" s="322"/>
      <c r="CA179" s="322"/>
    </row>
    <row r="180" spans="57:90" ht="12" hidden="1" x14ac:dyDescent="0.2">
      <c r="BE180" s="432" t="s">
        <v>126</v>
      </c>
      <c r="BF180" s="432"/>
      <c r="BG180" s="432"/>
      <c r="BH180" s="433">
        <f>220*20</f>
        <v>4400</v>
      </c>
      <c r="BI180" s="433"/>
      <c r="BJ180" s="433"/>
      <c r="BK180" s="433"/>
      <c r="BL180" s="433"/>
      <c r="BM180" s="324" t="s">
        <v>127</v>
      </c>
      <c r="BN180" s="324"/>
      <c r="BO180" s="324"/>
      <c r="BP180" s="324"/>
      <c r="BQ180" s="324"/>
      <c r="BR180" s="324"/>
      <c r="BS180" s="324"/>
      <c r="BT180" s="324"/>
    </row>
    <row r="181" spans="57:90" ht="15" hidden="1" x14ac:dyDescent="0.25">
      <c r="BE181" s="434">
        <v>0.6</v>
      </c>
      <c r="BF181" s="432"/>
      <c r="BG181" s="432"/>
      <c r="BH181" s="216">
        <f>BH180*BE181</f>
        <v>2640</v>
      </c>
      <c r="BI181" s="432" t="s">
        <v>128</v>
      </c>
      <c r="BJ181" s="432"/>
      <c r="BK181" s="432"/>
      <c r="BL181" s="432"/>
      <c r="BM181" s="432"/>
      <c r="BN181" s="432" t="s">
        <v>129</v>
      </c>
      <c r="BO181" s="432"/>
      <c r="BP181" s="432"/>
      <c r="BQ181" s="432"/>
      <c r="BR181" s="432"/>
      <c r="BS181" s="432"/>
      <c r="BT181" s="432"/>
      <c r="BW181" s="432" t="s">
        <v>368</v>
      </c>
      <c r="BX181" s="443"/>
      <c r="BY181" s="443"/>
      <c r="BZ181" s="443"/>
      <c r="CA181" s="443"/>
      <c r="CB181" s="443"/>
      <c r="CE181" s="432" t="s">
        <v>366</v>
      </c>
      <c r="CF181" s="443"/>
      <c r="CG181" s="443"/>
      <c r="CH181" s="443"/>
      <c r="CI181" s="443"/>
      <c r="CJ181" s="443"/>
      <c r="CK181" s="443"/>
      <c r="CL181" s="443"/>
    </row>
    <row r="182" spans="57:90" ht="15" hidden="1" x14ac:dyDescent="0.25">
      <c r="BE182" s="432">
        <v>211</v>
      </c>
      <c r="BF182" s="432"/>
      <c r="BG182" s="432"/>
      <c r="BH182" s="216">
        <f>BH181-BH183</f>
        <v>2027.6497695852534</v>
      </c>
      <c r="BI182" s="435">
        <f>BH182*0.2</f>
        <v>405.5299539170507</v>
      </c>
      <c r="BJ182" s="435"/>
      <c r="BK182" s="435"/>
      <c r="BL182" s="435"/>
      <c r="BM182" s="435"/>
      <c r="BN182" s="436">
        <f>BH182-BI182</f>
        <v>1622.1198156682026</v>
      </c>
      <c r="BO182" s="445"/>
      <c r="BP182" s="445"/>
      <c r="BQ182" s="445"/>
      <c r="BR182" s="445"/>
      <c r="BS182" s="445"/>
      <c r="BT182" s="445"/>
      <c r="BW182" s="437">
        <f>BI182*15/20+0.01</f>
        <v>304.15746543778801</v>
      </c>
      <c r="BX182" s="446"/>
      <c r="BY182" s="446"/>
      <c r="BZ182" s="446"/>
      <c r="CA182" s="446"/>
      <c r="CB182" s="446"/>
      <c r="CE182" s="437">
        <f>BI182*5/20-0.01</f>
        <v>101.37248847926267</v>
      </c>
      <c r="CF182" s="446"/>
      <c r="CG182" s="446"/>
      <c r="CH182" s="446"/>
      <c r="CI182" s="446"/>
      <c r="CJ182" s="446"/>
      <c r="CK182" s="446"/>
      <c r="CL182" s="446"/>
    </row>
    <row r="183" spans="57:90" ht="12" hidden="1" x14ac:dyDescent="0.2">
      <c r="BE183" s="432">
        <v>213</v>
      </c>
      <c r="BF183" s="432"/>
      <c r="BG183" s="432"/>
      <c r="BH183" s="216">
        <f>BH181*30.2/130.2</f>
        <v>612.35023041474665</v>
      </c>
      <c r="BI183" s="435">
        <f>BI182*30.2%</f>
        <v>122.47004608294931</v>
      </c>
      <c r="BJ183" s="435"/>
      <c r="BK183" s="435"/>
      <c r="BL183" s="435"/>
      <c r="BM183" s="435"/>
      <c r="BN183" s="435">
        <f>BN182*30.2%</f>
        <v>489.88018433179718</v>
      </c>
      <c r="BO183" s="435"/>
      <c r="BP183" s="435"/>
      <c r="BQ183" s="435"/>
      <c r="BR183" s="435"/>
      <c r="BS183" s="435"/>
      <c r="BT183" s="435"/>
    </row>
    <row r="184" spans="57:90" ht="8.25" hidden="1" customHeight="1" x14ac:dyDescent="0.2"/>
    <row r="185" spans="57:90" ht="8.25" hidden="1" customHeight="1" x14ac:dyDescent="0.2"/>
    <row r="186" spans="57:90" ht="15" hidden="1" x14ac:dyDescent="0.25">
      <c r="BE186" s="432" t="s">
        <v>571</v>
      </c>
      <c r="BF186" s="443"/>
      <c r="BG186" s="443"/>
      <c r="BH186" s="443"/>
      <c r="BI186" s="443"/>
      <c r="BJ186" s="443"/>
      <c r="BK186" s="443"/>
      <c r="BL186" s="443"/>
      <c r="BM186" s="443"/>
      <c r="BN186" s="443"/>
      <c r="BO186" s="443"/>
      <c r="BP186" s="443"/>
      <c r="BQ186" s="443"/>
      <c r="BR186" s="443"/>
      <c r="BS186" s="443"/>
      <c r="BT186" s="443"/>
      <c r="BU186" s="322"/>
      <c r="BV186" s="322"/>
      <c r="BW186" s="322"/>
      <c r="BX186" s="322"/>
      <c r="BY186" s="322"/>
      <c r="BZ186" s="322"/>
      <c r="CA186" s="322"/>
    </row>
    <row r="187" spans="57:90" ht="12" hidden="1" x14ac:dyDescent="0.2">
      <c r="BE187" s="432" t="s">
        <v>126</v>
      </c>
      <c r="BF187" s="432"/>
      <c r="BG187" s="432"/>
      <c r="BH187" s="433">
        <f>220*16</f>
        <v>3520</v>
      </c>
      <c r="BI187" s="433"/>
      <c r="BJ187" s="433"/>
      <c r="BK187" s="433"/>
      <c r="BL187" s="433"/>
      <c r="BM187" s="324" t="s">
        <v>127</v>
      </c>
      <c r="BN187" s="324"/>
      <c r="BO187" s="324"/>
      <c r="BP187" s="324"/>
      <c r="BQ187" s="324"/>
      <c r="BR187" s="324"/>
      <c r="BS187" s="324"/>
      <c r="BT187" s="324"/>
    </row>
    <row r="188" spans="57:90" ht="15" hidden="1" x14ac:dyDescent="0.25">
      <c r="BE188" s="434">
        <v>0.6</v>
      </c>
      <c r="BF188" s="432"/>
      <c r="BG188" s="432"/>
      <c r="BH188" s="216">
        <f>BH187*BE188</f>
        <v>2112</v>
      </c>
      <c r="BI188" s="432" t="s">
        <v>128</v>
      </c>
      <c r="BJ188" s="432"/>
      <c r="BK188" s="432"/>
      <c r="BL188" s="432"/>
      <c r="BM188" s="432"/>
      <c r="BN188" s="432" t="s">
        <v>129</v>
      </c>
      <c r="BO188" s="432"/>
      <c r="BP188" s="432"/>
      <c r="BQ188" s="432"/>
      <c r="BR188" s="432"/>
      <c r="BS188" s="432"/>
      <c r="BT188" s="432"/>
      <c r="BW188" s="432" t="s">
        <v>368</v>
      </c>
      <c r="BX188" s="443"/>
      <c r="BY188" s="443"/>
      <c r="BZ188" s="443"/>
      <c r="CA188" s="443"/>
      <c r="CB188" s="443"/>
      <c r="CE188" s="432" t="s">
        <v>366</v>
      </c>
      <c r="CF188" s="443"/>
      <c r="CG188" s="443"/>
      <c r="CH188" s="443"/>
      <c r="CI188" s="443"/>
      <c r="CJ188" s="443"/>
      <c r="CK188" s="443"/>
      <c r="CL188" s="443"/>
    </row>
    <row r="189" spans="57:90" ht="15" hidden="1" x14ac:dyDescent="0.25">
      <c r="BE189" s="432">
        <v>211</v>
      </c>
      <c r="BF189" s="432"/>
      <c r="BG189" s="432"/>
      <c r="BH189" s="216">
        <f>BH188-BH190</f>
        <v>1622.1198156682026</v>
      </c>
      <c r="BI189" s="435">
        <f>BH189*0.2</f>
        <v>324.42396313364054</v>
      </c>
      <c r="BJ189" s="435"/>
      <c r="BK189" s="435"/>
      <c r="BL189" s="435"/>
      <c r="BM189" s="435"/>
      <c r="BN189" s="436">
        <f>BH189-BI189</f>
        <v>1297.6958525345622</v>
      </c>
      <c r="BO189" s="445"/>
      <c r="BP189" s="445"/>
      <c r="BQ189" s="445"/>
      <c r="BR189" s="445"/>
      <c r="BS189" s="445"/>
      <c r="BT189" s="445"/>
      <c r="BW189" s="437">
        <f>BI189*15/20+0.01</f>
        <v>243.3279723502304</v>
      </c>
      <c r="BX189" s="446"/>
      <c r="BY189" s="446"/>
      <c r="BZ189" s="446"/>
      <c r="CA189" s="446"/>
      <c r="CB189" s="446"/>
      <c r="CE189" s="437">
        <f>BI189*5/20-0.01</f>
        <v>81.09599078341013</v>
      </c>
      <c r="CF189" s="446"/>
      <c r="CG189" s="446"/>
      <c r="CH189" s="446"/>
      <c r="CI189" s="446"/>
      <c r="CJ189" s="446"/>
      <c r="CK189" s="446"/>
      <c r="CL189" s="446"/>
    </row>
    <row r="190" spans="57:90" ht="12" hidden="1" x14ac:dyDescent="0.2">
      <c r="BE190" s="432">
        <v>213</v>
      </c>
      <c r="BF190" s="432"/>
      <c r="BG190" s="432"/>
      <c r="BH190" s="216">
        <f>BH188*30.2/130.2</f>
        <v>489.8801843317973</v>
      </c>
      <c r="BI190" s="435">
        <f>BI189*30.2%</f>
        <v>97.976036866359436</v>
      </c>
      <c r="BJ190" s="435"/>
      <c r="BK190" s="435"/>
      <c r="BL190" s="435"/>
      <c r="BM190" s="435"/>
      <c r="BN190" s="435">
        <f>BN189*30.2%</f>
        <v>391.90414746543775</v>
      </c>
      <c r="BO190" s="435"/>
      <c r="BP190" s="435"/>
      <c r="BQ190" s="435"/>
      <c r="BR190" s="435"/>
      <c r="BS190" s="435"/>
      <c r="BT190" s="435"/>
    </row>
    <row r="191" spans="57:90" ht="8.25" hidden="1" customHeight="1" x14ac:dyDescent="0.2"/>
    <row r="192" spans="57:90" ht="8.25" hidden="1" customHeight="1" x14ac:dyDescent="0.2"/>
    <row r="193" spans="57:90" ht="15" hidden="1" x14ac:dyDescent="0.25">
      <c r="BE193" s="432" t="s">
        <v>585</v>
      </c>
      <c r="BF193" s="443"/>
      <c r="BG193" s="443"/>
      <c r="BH193" s="443"/>
      <c r="BI193" s="443"/>
      <c r="BJ193" s="443"/>
      <c r="BK193" s="443"/>
      <c r="BL193" s="443"/>
      <c r="BM193" s="443"/>
      <c r="BN193" s="443"/>
      <c r="BO193" s="443"/>
      <c r="BP193" s="443"/>
      <c r="BQ193" s="443"/>
      <c r="BR193" s="443"/>
      <c r="BS193" s="443"/>
      <c r="BT193" s="443"/>
      <c r="BU193" s="338"/>
      <c r="BV193" s="338"/>
      <c r="BW193" s="338"/>
      <c r="BX193" s="338"/>
      <c r="BY193" s="338"/>
      <c r="BZ193" s="338"/>
      <c r="CA193" s="338"/>
    </row>
    <row r="194" spans="57:90" ht="12" hidden="1" x14ac:dyDescent="0.2">
      <c r="BE194" s="432" t="s">
        <v>126</v>
      </c>
      <c r="BF194" s="432"/>
      <c r="BG194" s="432"/>
      <c r="BH194" s="433">
        <f>220*35</f>
        <v>7700</v>
      </c>
      <c r="BI194" s="433"/>
      <c r="BJ194" s="433"/>
      <c r="BK194" s="433"/>
      <c r="BL194" s="433"/>
      <c r="BM194" s="340" t="s">
        <v>127</v>
      </c>
      <c r="BN194" s="340"/>
      <c r="BO194" s="340"/>
      <c r="BP194" s="340"/>
      <c r="BQ194" s="340"/>
      <c r="BR194" s="340"/>
      <c r="BS194" s="340"/>
      <c r="BT194" s="340"/>
    </row>
    <row r="195" spans="57:90" ht="15" hidden="1" x14ac:dyDescent="0.25">
      <c r="BE195" s="434">
        <v>0.6</v>
      </c>
      <c r="BF195" s="432"/>
      <c r="BG195" s="432"/>
      <c r="BH195" s="216">
        <f>BH194*BE195</f>
        <v>4620</v>
      </c>
      <c r="BI195" s="432" t="s">
        <v>128</v>
      </c>
      <c r="BJ195" s="432"/>
      <c r="BK195" s="432"/>
      <c r="BL195" s="432"/>
      <c r="BM195" s="432"/>
      <c r="BN195" s="432" t="s">
        <v>129</v>
      </c>
      <c r="BO195" s="432"/>
      <c r="BP195" s="432"/>
      <c r="BQ195" s="432"/>
      <c r="BR195" s="432"/>
      <c r="BS195" s="432"/>
      <c r="BT195" s="432"/>
      <c r="BW195" s="432" t="s">
        <v>368</v>
      </c>
      <c r="BX195" s="443"/>
      <c r="BY195" s="443"/>
      <c r="BZ195" s="443"/>
      <c r="CA195" s="443"/>
      <c r="CB195" s="443"/>
      <c r="CE195" s="432" t="s">
        <v>366</v>
      </c>
      <c r="CF195" s="443"/>
      <c r="CG195" s="443"/>
      <c r="CH195" s="443"/>
      <c r="CI195" s="443"/>
      <c r="CJ195" s="443"/>
      <c r="CK195" s="443"/>
      <c r="CL195" s="443"/>
    </row>
    <row r="196" spans="57:90" ht="15" hidden="1" x14ac:dyDescent="0.25">
      <c r="BE196" s="432">
        <v>211</v>
      </c>
      <c r="BF196" s="432"/>
      <c r="BG196" s="432"/>
      <c r="BH196" s="216">
        <f>BH195-BH197</f>
        <v>3548.3870967741932</v>
      </c>
      <c r="BI196" s="435">
        <f>BH196*0.2</f>
        <v>709.67741935483866</v>
      </c>
      <c r="BJ196" s="435"/>
      <c r="BK196" s="435"/>
      <c r="BL196" s="435"/>
      <c r="BM196" s="435"/>
      <c r="BN196" s="436">
        <f>BH196-BI196</f>
        <v>2838.7096774193546</v>
      </c>
      <c r="BO196" s="445"/>
      <c r="BP196" s="445"/>
      <c r="BQ196" s="445"/>
      <c r="BR196" s="445"/>
      <c r="BS196" s="445"/>
      <c r="BT196" s="445"/>
      <c r="BW196" s="437">
        <f>BI196*15/20+0.01</f>
        <v>532.26806451612902</v>
      </c>
      <c r="BX196" s="446"/>
      <c r="BY196" s="446"/>
      <c r="BZ196" s="446"/>
      <c r="CA196" s="446"/>
      <c r="CB196" s="446"/>
      <c r="CE196" s="437">
        <f>BI196*5/20-0.01</f>
        <v>177.40935483870967</v>
      </c>
      <c r="CF196" s="446"/>
      <c r="CG196" s="446"/>
      <c r="CH196" s="446"/>
      <c r="CI196" s="446"/>
      <c r="CJ196" s="446"/>
      <c r="CK196" s="446"/>
      <c r="CL196" s="446"/>
    </row>
    <row r="197" spans="57:90" ht="12" hidden="1" x14ac:dyDescent="0.2">
      <c r="BE197" s="432">
        <v>213</v>
      </c>
      <c r="BF197" s="432"/>
      <c r="BG197" s="432"/>
      <c r="BH197" s="216">
        <f>BH195*30.2/130.2</f>
        <v>1071.6129032258066</v>
      </c>
      <c r="BI197" s="435">
        <f>BI196*30.2%</f>
        <v>214.32258064516128</v>
      </c>
      <c r="BJ197" s="435"/>
      <c r="BK197" s="435"/>
      <c r="BL197" s="435"/>
      <c r="BM197" s="435"/>
      <c r="BN197" s="435">
        <f>BN196*30.2%</f>
        <v>857.29032258064512</v>
      </c>
      <c r="BO197" s="435"/>
      <c r="BP197" s="435"/>
      <c r="BQ197" s="435"/>
      <c r="BR197" s="435"/>
      <c r="BS197" s="435"/>
      <c r="BT197" s="435"/>
    </row>
    <row r="198" spans="57:90" ht="8.25" hidden="1" customHeight="1" x14ac:dyDescent="0.2"/>
    <row r="199" spans="57:90" ht="8.25" hidden="1" customHeight="1" x14ac:dyDescent="0.2"/>
    <row r="200" spans="57:90" ht="15" hidden="1" x14ac:dyDescent="0.25">
      <c r="BE200" s="432" t="s">
        <v>629</v>
      </c>
      <c r="BF200" s="443"/>
      <c r="BG200" s="443"/>
      <c r="BH200" s="443"/>
      <c r="BI200" s="443"/>
      <c r="BJ200" s="443"/>
      <c r="BK200" s="443"/>
      <c r="BL200" s="443"/>
      <c r="BM200" s="443"/>
      <c r="BN200" s="443"/>
      <c r="BO200" s="443"/>
      <c r="BP200" s="443"/>
      <c r="BQ200" s="443"/>
      <c r="BR200" s="443"/>
      <c r="BS200" s="443"/>
      <c r="BT200" s="443"/>
      <c r="BU200" s="379"/>
      <c r="BV200" s="379"/>
      <c r="BW200" s="379"/>
      <c r="BX200" s="379"/>
      <c r="BY200" s="379"/>
      <c r="BZ200" s="379"/>
      <c r="CA200" s="379"/>
    </row>
    <row r="201" spans="57:90" ht="12" hidden="1" x14ac:dyDescent="0.2">
      <c r="BE201" s="432" t="s">
        <v>126</v>
      </c>
      <c r="BF201" s="432"/>
      <c r="BG201" s="432"/>
      <c r="BH201" s="433">
        <f>220*10</f>
        <v>2200</v>
      </c>
      <c r="BI201" s="433"/>
      <c r="BJ201" s="433"/>
      <c r="BK201" s="433"/>
      <c r="BL201" s="433"/>
      <c r="BM201" s="381" t="s">
        <v>127</v>
      </c>
      <c r="BN201" s="381"/>
      <c r="BO201" s="381"/>
      <c r="BP201" s="381"/>
      <c r="BQ201" s="381"/>
      <c r="BR201" s="381"/>
      <c r="BS201" s="381"/>
      <c r="BT201" s="381"/>
    </row>
    <row r="202" spans="57:90" ht="15" hidden="1" x14ac:dyDescent="0.25">
      <c r="BE202" s="434">
        <v>0.6</v>
      </c>
      <c r="BF202" s="432"/>
      <c r="BG202" s="432"/>
      <c r="BH202" s="216">
        <f>BH201*BE202</f>
        <v>1320</v>
      </c>
      <c r="BI202" s="432" t="s">
        <v>128</v>
      </c>
      <c r="BJ202" s="432"/>
      <c r="BK202" s="432"/>
      <c r="BL202" s="432"/>
      <c r="BM202" s="432"/>
      <c r="BN202" s="432" t="s">
        <v>129</v>
      </c>
      <c r="BO202" s="432"/>
      <c r="BP202" s="432"/>
      <c r="BQ202" s="432"/>
      <c r="BR202" s="432"/>
      <c r="BS202" s="432"/>
      <c r="BT202" s="432"/>
      <c r="BW202" s="432" t="s">
        <v>368</v>
      </c>
      <c r="BX202" s="443"/>
      <c r="BY202" s="443"/>
      <c r="BZ202" s="443"/>
      <c r="CA202" s="443"/>
      <c r="CB202" s="443"/>
      <c r="CE202" s="432" t="s">
        <v>366</v>
      </c>
      <c r="CF202" s="443"/>
      <c r="CG202" s="443"/>
      <c r="CH202" s="443"/>
      <c r="CI202" s="443"/>
      <c r="CJ202" s="443"/>
      <c r="CK202" s="443"/>
      <c r="CL202" s="443"/>
    </row>
    <row r="203" spans="57:90" ht="15" hidden="1" x14ac:dyDescent="0.25">
      <c r="BE203" s="432">
        <v>211</v>
      </c>
      <c r="BF203" s="432"/>
      <c r="BG203" s="432"/>
      <c r="BH203" s="216">
        <f>BH202-BH204</f>
        <v>1013.8248847926267</v>
      </c>
      <c r="BI203" s="435">
        <f>BH203*0.2</f>
        <v>202.76497695852535</v>
      </c>
      <c r="BJ203" s="435"/>
      <c r="BK203" s="435"/>
      <c r="BL203" s="435"/>
      <c r="BM203" s="435"/>
      <c r="BN203" s="436">
        <f>BH203-BI203</f>
        <v>811.0599078341013</v>
      </c>
      <c r="BO203" s="445"/>
      <c r="BP203" s="445"/>
      <c r="BQ203" s="445"/>
      <c r="BR203" s="445"/>
      <c r="BS203" s="445"/>
      <c r="BT203" s="445"/>
      <c r="BW203" s="437">
        <f>BI203*15/20+0.01</f>
        <v>152.083732718894</v>
      </c>
      <c r="BX203" s="446"/>
      <c r="BY203" s="446"/>
      <c r="BZ203" s="446"/>
      <c r="CA203" s="446"/>
      <c r="CB203" s="446"/>
      <c r="CE203" s="437">
        <f>BI203*5/20-0.01</f>
        <v>50.68124423963134</v>
      </c>
      <c r="CF203" s="446"/>
      <c r="CG203" s="446"/>
      <c r="CH203" s="446"/>
      <c r="CI203" s="446"/>
      <c r="CJ203" s="446"/>
      <c r="CK203" s="446"/>
      <c r="CL203" s="446"/>
    </row>
    <row r="204" spans="57:90" ht="12" hidden="1" x14ac:dyDescent="0.2">
      <c r="BE204" s="432">
        <v>213</v>
      </c>
      <c r="BF204" s="432"/>
      <c r="BG204" s="432"/>
      <c r="BH204" s="216">
        <f>BH202*30.2/130.2</f>
        <v>306.17511520737332</v>
      </c>
      <c r="BI204" s="435">
        <f>BI203*30.2%</f>
        <v>61.235023041474655</v>
      </c>
      <c r="BJ204" s="435"/>
      <c r="BK204" s="435"/>
      <c r="BL204" s="435"/>
      <c r="BM204" s="435"/>
      <c r="BN204" s="435">
        <f>BN203*30.2%</f>
        <v>244.94009216589859</v>
      </c>
      <c r="BO204" s="435"/>
      <c r="BP204" s="435"/>
      <c r="BQ204" s="435"/>
      <c r="BR204" s="435"/>
      <c r="BS204" s="435"/>
      <c r="BT204" s="435"/>
    </row>
    <row r="205" spans="57:90" ht="8.25" hidden="1" customHeight="1" x14ac:dyDescent="0.2"/>
    <row r="206" spans="57:90" ht="8.25" hidden="1" customHeight="1" x14ac:dyDescent="0.2"/>
    <row r="207" spans="57:90" ht="15" hidden="1" x14ac:dyDescent="0.25">
      <c r="BE207" s="432" t="s">
        <v>640</v>
      </c>
      <c r="BF207" s="443"/>
      <c r="BG207" s="443"/>
      <c r="BH207" s="443"/>
      <c r="BI207" s="443"/>
      <c r="BJ207" s="443"/>
      <c r="BK207" s="443"/>
      <c r="BL207" s="443"/>
      <c r="BM207" s="443"/>
      <c r="BN207" s="443"/>
      <c r="BO207" s="443"/>
      <c r="BP207" s="443"/>
      <c r="BQ207" s="443"/>
      <c r="BR207" s="443"/>
      <c r="BS207" s="443"/>
      <c r="BT207" s="443"/>
      <c r="BU207" s="383"/>
      <c r="BV207" s="383"/>
      <c r="BW207" s="383"/>
      <c r="BX207" s="383"/>
      <c r="BY207" s="383"/>
      <c r="BZ207" s="383"/>
      <c r="CA207" s="383"/>
    </row>
    <row r="208" spans="57:90" ht="12" hidden="1" x14ac:dyDescent="0.2">
      <c r="BE208" s="432" t="s">
        <v>126</v>
      </c>
      <c r="BF208" s="432"/>
      <c r="BG208" s="432"/>
      <c r="BH208" s="433">
        <f>220*18</f>
        <v>3960</v>
      </c>
      <c r="BI208" s="433"/>
      <c r="BJ208" s="433"/>
      <c r="BK208" s="433"/>
      <c r="BL208" s="433"/>
      <c r="BM208" s="385" t="s">
        <v>127</v>
      </c>
      <c r="BN208" s="385"/>
      <c r="BO208" s="385"/>
      <c r="BP208" s="385"/>
      <c r="BQ208" s="385"/>
      <c r="BR208" s="385"/>
      <c r="BS208" s="385"/>
      <c r="BT208" s="385"/>
    </row>
    <row r="209" spans="57:90" ht="15" hidden="1" x14ac:dyDescent="0.25">
      <c r="BE209" s="434">
        <v>0.6</v>
      </c>
      <c r="BF209" s="432"/>
      <c r="BG209" s="432"/>
      <c r="BH209" s="216">
        <f>BH208*BE209</f>
        <v>2376</v>
      </c>
      <c r="BI209" s="432" t="s">
        <v>128</v>
      </c>
      <c r="BJ209" s="432"/>
      <c r="BK209" s="432"/>
      <c r="BL209" s="432"/>
      <c r="BM209" s="432"/>
      <c r="BN209" s="432" t="s">
        <v>129</v>
      </c>
      <c r="BO209" s="432"/>
      <c r="BP209" s="432"/>
      <c r="BQ209" s="432"/>
      <c r="BR209" s="432"/>
      <c r="BS209" s="432"/>
      <c r="BT209" s="432"/>
      <c r="BW209" s="432" t="s">
        <v>368</v>
      </c>
      <c r="BX209" s="443"/>
      <c r="BY209" s="443"/>
      <c r="BZ209" s="443"/>
      <c r="CA209" s="443"/>
      <c r="CB209" s="443"/>
      <c r="CE209" s="432" t="s">
        <v>366</v>
      </c>
      <c r="CF209" s="443"/>
      <c r="CG209" s="443"/>
      <c r="CH209" s="443"/>
      <c r="CI209" s="443"/>
      <c r="CJ209" s="443"/>
      <c r="CK209" s="443"/>
      <c r="CL209" s="443"/>
    </row>
    <row r="210" spans="57:90" ht="15" hidden="1" x14ac:dyDescent="0.25">
      <c r="BE210" s="432">
        <v>211</v>
      </c>
      <c r="BF210" s="432"/>
      <c r="BG210" s="432"/>
      <c r="BH210" s="216">
        <f>BH209-BH211</f>
        <v>1824.8847926267281</v>
      </c>
      <c r="BI210" s="435">
        <f>BH210*0.2</f>
        <v>364.97695852534565</v>
      </c>
      <c r="BJ210" s="435"/>
      <c r="BK210" s="435"/>
      <c r="BL210" s="435"/>
      <c r="BM210" s="435"/>
      <c r="BN210" s="436">
        <f>BH210-BI210</f>
        <v>1459.9078341013824</v>
      </c>
      <c r="BO210" s="445"/>
      <c r="BP210" s="445"/>
      <c r="BQ210" s="445"/>
      <c r="BR210" s="445"/>
      <c r="BS210" s="445"/>
      <c r="BT210" s="445"/>
      <c r="BW210" s="437">
        <f>BI210*15/20+0.01</f>
        <v>273.74271889400927</v>
      </c>
      <c r="BX210" s="446"/>
      <c r="BY210" s="446"/>
      <c r="BZ210" s="446"/>
      <c r="CA210" s="446"/>
      <c r="CB210" s="446"/>
      <c r="CE210" s="437">
        <f>BI210*5/20-0.01</f>
        <v>91.234239631336408</v>
      </c>
      <c r="CF210" s="446"/>
      <c r="CG210" s="446"/>
      <c r="CH210" s="446"/>
      <c r="CI210" s="446"/>
      <c r="CJ210" s="446"/>
      <c r="CK210" s="446"/>
      <c r="CL210" s="446"/>
    </row>
    <row r="211" spans="57:90" ht="12" hidden="1" x14ac:dyDescent="0.2">
      <c r="BE211" s="432">
        <v>213</v>
      </c>
      <c r="BF211" s="432"/>
      <c r="BG211" s="432"/>
      <c r="BH211" s="216">
        <f>BH209*30.2/130.2</f>
        <v>551.11520737327191</v>
      </c>
      <c r="BI211" s="435">
        <f>BI210*30.2%</f>
        <v>110.22304147465438</v>
      </c>
      <c r="BJ211" s="435"/>
      <c r="BK211" s="435"/>
      <c r="BL211" s="435"/>
      <c r="BM211" s="435"/>
      <c r="BN211" s="435">
        <f>BN210*30.2%</f>
        <v>440.89216589861746</v>
      </c>
      <c r="BO211" s="435"/>
      <c r="BP211" s="435"/>
      <c r="BQ211" s="435"/>
      <c r="BR211" s="435"/>
      <c r="BS211" s="435"/>
      <c r="BT211" s="435"/>
    </row>
    <row r="212" spans="57:90" ht="12" hidden="1" x14ac:dyDescent="0.2"/>
  </sheetData>
  <mergeCells count="544">
    <mergeCell ref="BE204:BG204"/>
    <mergeCell ref="BI204:BM204"/>
    <mergeCell ref="BN204:BT204"/>
    <mergeCell ref="BE200:BT200"/>
    <mergeCell ref="BE201:BG201"/>
    <mergeCell ref="BH201:BL201"/>
    <mergeCell ref="BE202:BG202"/>
    <mergeCell ref="BI202:BM202"/>
    <mergeCell ref="BN202:BT202"/>
    <mergeCell ref="CE195:CL195"/>
    <mergeCell ref="BE196:BG196"/>
    <mergeCell ref="BI196:BM196"/>
    <mergeCell ref="BN196:BT196"/>
    <mergeCell ref="BW196:CB196"/>
    <mergeCell ref="CE196:CL196"/>
    <mergeCell ref="BW202:CB202"/>
    <mergeCell ref="CE202:CL202"/>
    <mergeCell ref="BE203:BG203"/>
    <mergeCell ref="BI203:BM203"/>
    <mergeCell ref="BN203:BT203"/>
    <mergeCell ref="BW203:CB203"/>
    <mergeCell ref="CE203:CL203"/>
    <mergeCell ref="BE197:BG197"/>
    <mergeCell ref="BI197:BM197"/>
    <mergeCell ref="BN197:BT197"/>
    <mergeCell ref="CE175:CL175"/>
    <mergeCell ref="BE158:BT158"/>
    <mergeCell ref="BE159:BG159"/>
    <mergeCell ref="BH159:BL159"/>
    <mergeCell ref="BE160:BG160"/>
    <mergeCell ref="BI160:BM160"/>
    <mergeCell ref="BN160:BT160"/>
    <mergeCell ref="CE167:CL167"/>
    <mergeCell ref="CE168:CL168"/>
    <mergeCell ref="CE174:CL174"/>
    <mergeCell ref="BW160:CB160"/>
    <mergeCell ref="CE160:CL160"/>
    <mergeCell ref="BE161:BG161"/>
    <mergeCell ref="BI161:BM161"/>
    <mergeCell ref="BN161:BT161"/>
    <mergeCell ref="BW161:CB161"/>
    <mergeCell ref="CE161:CL161"/>
    <mergeCell ref="BE162:BG162"/>
    <mergeCell ref="BI162:BM162"/>
    <mergeCell ref="BN162:BT162"/>
    <mergeCell ref="BE165:BT165"/>
    <mergeCell ref="BI169:BM169"/>
    <mergeCell ref="BN169:BT169"/>
    <mergeCell ref="BE172:BT172"/>
    <mergeCell ref="BE176:BG176"/>
    <mergeCell ref="BE166:BG166"/>
    <mergeCell ref="BH173:BL173"/>
    <mergeCell ref="BE174:BG174"/>
    <mergeCell ref="BI174:BM174"/>
    <mergeCell ref="BN174:BT174"/>
    <mergeCell ref="BW174:CB174"/>
    <mergeCell ref="BE175:BG175"/>
    <mergeCell ref="BI175:BM175"/>
    <mergeCell ref="BN175:BT175"/>
    <mergeCell ref="BW175:CB175"/>
    <mergeCell ref="BI176:BM176"/>
    <mergeCell ref="BN176:BT176"/>
    <mergeCell ref="BE173:BG173"/>
    <mergeCell ref="BH166:BL166"/>
    <mergeCell ref="BE167:BG167"/>
    <mergeCell ref="BI167:BM167"/>
    <mergeCell ref="BN167:BT167"/>
    <mergeCell ref="BW167:CB167"/>
    <mergeCell ref="BE168:BG168"/>
    <mergeCell ref="BI168:BM168"/>
    <mergeCell ref="BN168:BT168"/>
    <mergeCell ref="BW168:CB168"/>
    <mergeCell ref="BE169:BG169"/>
    <mergeCell ref="BE157:BG157"/>
    <mergeCell ref="BI157:BM157"/>
    <mergeCell ref="BN157:BT157"/>
    <mergeCell ref="BE155:BG155"/>
    <mergeCell ref="BH155:BL155"/>
    <mergeCell ref="BE156:BG156"/>
    <mergeCell ref="BI156:BM156"/>
    <mergeCell ref="BN156:BT156"/>
    <mergeCell ref="B153:S154"/>
    <mergeCell ref="AM153:BC154"/>
    <mergeCell ref="BE154:CA154"/>
    <mergeCell ref="BC151:BD151"/>
    <mergeCell ref="B152:S152"/>
    <mergeCell ref="BC152:BD152"/>
    <mergeCell ref="AY147:BB147"/>
    <mergeCell ref="A148:F148"/>
    <mergeCell ref="H148:L148"/>
    <mergeCell ref="M148:Q148"/>
    <mergeCell ref="R148:U148"/>
    <mergeCell ref="V148:Y148"/>
    <mergeCell ref="Z148:AC148"/>
    <mergeCell ref="AD148:AI148"/>
    <mergeCell ref="AJ148:AP148"/>
    <mergeCell ref="AQ148:AT148"/>
    <mergeCell ref="AU148:AX148"/>
    <mergeCell ref="AY148:BB148"/>
    <mergeCell ref="AM152:BB152"/>
    <mergeCell ref="AD149:AI149"/>
    <mergeCell ref="AJ149:AP149"/>
    <mergeCell ref="AQ149:AT149"/>
    <mergeCell ref="AU149:AX149"/>
    <mergeCell ref="AY149:BB149"/>
    <mergeCell ref="BC150:BD150"/>
    <mergeCell ref="A149:G149"/>
    <mergeCell ref="H149:L149"/>
    <mergeCell ref="M149:Q149"/>
    <mergeCell ref="R149:U149"/>
    <mergeCell ref="V149:Y149"/>
    <mergeCell ref="Z149:AC149"/>
    <mergeCell ref="AQ145:AT145"/>
    <mergeCell ref="AU145:AX145"/>
    <mergeCell ref="AY145:BB145"/>
    <mergeCell ref="AU146:AX146"/>
    <mergeCell ref="AY146:BB146"/>
    <mergeCell ref="AQ146:AT146"/>
    <mergeCell ref="AQ147:AT147"/>
    <mergeCell ref="AU147:AX147"/>
    <mergeCell ref="A147:G147"/>
    <mergeCell ref="H147:L147"/>
    <mergeCell ref="M147:Q147"/>
    <mergeCell ref="R147:U147"/>
    <mergeCell ref="V147:Y147"/>
    <mergeCell ref="Z147:AC147"/>
    <mergeCell ref="AD147:AI147"/>
    <mergeCell ref="AJ147:AP147"/>
    <mergeCell ref="A146:G146"/>
    <mergeCell ref="H146:L146"/>
    <mergeCell ref="M146:Q146"/>
    <mergeCell ref="AD146:AI146"/>
    <mergeCell ref="AJ146:AP146"/>
    <mergeCell ref="A142:G142"/>
    <mergeCell ref="H142:L142"/>
    <mergeCell ref="M142:Q142"/>
    <mergeCell ref="R142:U142"/>
    <mergeCell ref="V142:Y142"/>
    <mergeCell ref="Z142:AC142"/>
    <mergeCell ref="AD142:AI142"/>
    <mergeCell ref="AJ142:AP142"/>
    <mergeCell ref="M145:Q145"/>
    <mergeCell ref="AD145:AI145"/>
    <mergeCell ref="AJ145:AP145"/>
    <mergeCell ref="A140:G141"/>
    <mergeCell ref="AU142:AX142"/>
    <mergeCell ref="AY142:BB142"/>
    <mergeCell ref="A143:G143"/>
    <mergeCell ref="H143:L143"/>
    <mergeCell ref="M143:Q143"/>
    <mergeCell ref="R143:U146"/>
    <mergeCell ref="V143:Y146"/>
    <mergeCell ref="Z143:AC146"/>
    <mergeCell ref="AD143:AI143"/>
    <mergeCell ref="AJ143:AP143"/>
    <mergeCell ref="AQ143:AT143"/>
    <mergeCell ref="AU143:AX143"/>
    <mergeCell ref="AY143:BB143"/>
    <mergeCell ref="A144:G144"/>
    <mergeCell ref="H144:L144"/>
    <mergeCell ref="M144:Q144"/>
    <mergeCell ref="AD144:AI144"/>
    <mergeCell ref="AJ144:AP144"/>
    <mergeCell ref="AQ144:AT144"/>
    <mergeCell ref="AU144:AX144"/>
    <mergeCell ref="AY144:BB144"/>
    <mergeCell ref="A145:G145"/>
    <mergeCell ref="H145:L145"/>
    <mergeCell ref="AQ142:AT142"/>
    <mergeCell ref="AD140:AP140"/>
    <mergeCell ref="AQ140:AT140"/>
    <mergeCell ref="AU140:AX140"/>
    <mergeCell ref="AY140:BB140"/>
    <mergeCell ref="H141:L141"/>
    <mergeCell ref="M141:Q141"/>
    <mergeCell ref="AD141:AI141"/>
    <mergeCell ref="AJ141:AP141"/>
    <mergeCell ref="AQ141:AT141"/>
    <mergeCell ref="AU141:AX141"/>
    <mergeCell ref="H140:L140"/>
    <mergeCell ref="M140:Q140"/>
    <mergeCell ref="R140:U141"/>
    <mergeCell ref="V140:Y141"/>
    <mergeCell ref="Z140:AC141"/>
    <mergeCell ref="AY141:BB141"/>
    <mergeCell ref="AU130:BB130"/>
    <mergeCell ref="A131:Z131"/>
    <mergeCell ref="AA131:AF131"/>
    <mergeCell ref="AU131:BB131"/>
    <mergeCell ref="A132:Z132"/>
    <mergeCell ref="AA132:AF132"/>
    <mergeCell ref="A135:Z135"/>
    <mergeCell ref="AA135:AF135"/>
    <mergeCell ref="AU135:BB135"/>
    <mergeCell ref="A123:Z123"/>
    <mergeCell ref="AA123:AF123"/>
    <mergeCell ref="AU123:BB123"/>
    <mergeCell ref="A124:Z124"/>
    <mergeCell ref="AA124:AF124"/>
    <mergeCell ref="AG124:AL124"/>
    <mergeCell ref="AM124:AT124"/>
    <mergeCell ref="AU124:BB124"/>
    <mergeCell ref="A136:Z136"/>
    <mergeCell ref="AA136:AF136"/>
    <mergeCell ref="AG136:AL136"/>
    <mergeCell ref="AM136:AT136"/>
    <mergeCell ref="AU136:BB136"/>
    <mergeCell ref="AU132:BB132"/>
    <mergeCell ref="A133:Z133"/>
    <mergeCell ref="AA133:AF133"/>
    <mergeCell ref="AU133:BB133"/>
    <mergeCell ref="A134:Z134"/>
    <mergeCell ref="AA134:AF134"/>
    <mergeCell ref="AU134:BB134"/>
    <mergeCell ref="A130:Z130"/>
    <mergeCell ref="AA130:AF130"/>
    <mergeCell ref="AG130:AL135"/>
    <mergeCell ref="AM130:AT135"/>
    <mergeCell ref="A128:Z128"/>
    <mergeCell ref="AA128:AF128"/>
    <mergeCell ref="AG128:AL128"/>
    <mergeCell ref="AM128:AT128"/>
    <mergeCell ref="AU128:BB128"/>
    <mergeCell ref="A129:Z129"/>
    <mergeCell ref="AA129:AF129"/>
    <mergeCell ref="AG129:AL129"/>
    <mergeCell ref="AM129:AT129"/>
    <mergeCell ref="AU129:BB129"/>
    <mergeCell ref="AA112:AF112"/>
    <mergeCell ref="AU112:BB112"/>
    <mergeCell ref="A121:Z121"/>
    <mergeCell ref="AA121:AF121"/>
    <mergeCell ref="AU121:BB121"/>
    <mergeCell ref="A122:Z122"/>
    <mergeCell ref="AA122:AF122"/>
    <mergeCell ref="AU122:BB122"/>
    <mergeCell ref="A119:Z119"/>
    <mergeCell ref="AA119:AF119"/>
    <mergeCell ref="AU119:BB119"/>
    <mergeCell ref="A120:Z120"/>
    <mergeCell ref="AA120:AF120"/>
    <mergeCell ref="AU120:BB120"/>
    <mergeCell ref="A117:Z117"/>
    <mergeCell ref="AA117:AF117"/>
    <mergeCell ref="AU117:BB117"/>
    <mergeCell ref="A118:Z118"/>
    <mergeCell ref="AA118:AF118"/>
    <mergeCell ref="AU118:BB118"/>
    <mergeCell ref="A115:Z115"/>
    <mergeCell ref="AA115:AF115"/>
    <mergeCell ref="AU115:BB115"/>
    <mergeCell ref="A116:Z116"/>
    <mergeCell ref="AA116:AF116"/>
    <mergeCell ref="AU116:BB116"/>
    <mergeCell ref="A113:Z113"/>
    <mergeCell ref="AA113:AF113"/>
    <mergeCell ref="AU113:BB113"/>
    <mergeCell ref="A114:Z114"/>
    <mergeCell ref="AA114:AF114"/>
    <mergeCell ref="AU114:BB114"/>
    <mergeCell ref="AG104:AL123"/>
    <mergeCell ref="AM104:AT123"/>
    <mergeCell ref="AU104:BB104"/>
    <mergeCell ref="A105:Z105"/>
    <mergeCell ref="AA105:AF105"/>
    <mergeCell ref="AU105:BB105"/>
    <mergeCell ref="A106:Z106"/>
    <mergeCell ref="AA106:AF106"/>
    <mergeCell ref="A111:Z111"/>
    <mergeCell ref="AA111:AF111"/>
    <mergeCell ref="AU111:BB111"/>
    <mergeCell ref="A112:Z112"/>
    <mergeCell ref="A109:Z109"/>
    <mergeCell ref="AA109:AF109"/>
    <mergeCell ref="AU109:BB109"/>
    <mergeCell ref="A110:Z110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A110:AF110"/>
    <mergeCell ref="A103:Z103"/>
    <mergeCell ref="AA103:AF103"/>
    <mergeCell ref="AG103:AL103"/>
    <mergeCell ref="AM103:AT103"/>
    <mergeCell ref="AU103:BB103"/>
    <mergeCell ref="AU106:BB106"/>
    <mergeCell ref="A107:Z107"/>
    <mergeCell ref="AA107:AF107"/>
    <mergeCell ref="AU107:BB107"/>
    <mergeCell ref="AU110:BB110"/>
    <mergeCell ref="A108:Z108"/>
    <mergeCell ref="AA108:AF108"/>
    <mergeCell ref="AU108:BB108"/>
    <mergeCell ref="A104:Z104"/>
    <mergeCell ref="AA104:AF104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86:N86"/>
    <mergeCell ref="O86:AN86"/>
    <mergeCell ref="AO86:AU86"/>
    <mergeCell ref="AV86:BB86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X73:BB77"/>
    <mergeCell ref="H74:M74"/>
    <mergeCell ref="N74:P74"/>
    <mergeCell ref="R74:V74"/>
    <mergeCell ref="I76:K76"/>
    <mergeCell ref="Q76:S76"/>
    <mergeCell ref="U76:W76"/>
    <mergeCell ref="Z76:AB76"/>
    <mergeCell ref="AO84:AR84"/>
    <mergeCell ref="AS84:AW84"/>
    <mergeCell ref="AX84:BB84"/>
    <mergeCell ref="AX78:BB82"/>
    <mergeCell ref="AS83:AW83"/>
    <mergeCell ref="AX83:BB83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H79:M79"/>
    <mergeCell ref="N79:P79"/>
    <mergeCell ref="R79:V79"/>
    <mergeCell ref="I81:K81"/>
    <mergeCell ref="M81:O81"/>
    <mergeCell ref="Q81:S81"/>
    <mergeCell ref="AH73:AM77"/>
    <mergeCell ref="AN73:AR77"/>
    <mergeCell ref="AS73:AW77"/>
    <mergeCell ref="M76:O76"/>
    <mergeCell ref="R59:V59"/>
    <mergeCell ref="Z61:AB61"/>
    <mergeCell ref="M66:O66"/>
    <mergeCell ref="Q66:S66"/>
    <mergeCell ref="U66:W66"/>
    <mergeCell ref="Z66:AB66"/>
    <mergeCell ref="H61:X61"/>
    <mergeCell ref="A68:G72"/>
    <mergeCell ref="AC68:AG72"/>
    <mergeCell ref="U71:W71"/>
    <mergeCell ref="Z71:AB71"/>
    <mergeCell ref="A63:G67"/>
    <mergeCell ref="AC63:AG67"/>
    <mergeCell ref="AH63:AM67"/>
    <mergeCell ref="AN63:AR67"/>
    <mergeCell ref="AS63:AW67"/>
    <mergeCell ref="AX63:BB67"/>
    <mergeCell ref="H64:M64"/>
    <mergeCell ref="N64:P64"/>
    <mergeCell ref="R64:V64"/>
    <mergeCell ref="I66:K66"/>
    <mergeCell ref="AH68:AM72"/>
    <mergeCell ref="AN68:AR72"/>
    <mergeCell ref="AS68:AW72"/>
    <mergeCell ref="AX68:BB72"/>
    <mergeCell ref="H69:M69"/>
    <mergeCell ref="N69:P69"/>
    <mergeCell ref="R69:V69"/>
    <mergeCell ref="I71:K71"/>
    <mergeCell ref="M71:O71"/>
    <mergeCell ref="Q71:S71"/>
    <mergeCell ref="AC24:AG33"/>
    <mergeCell ref="AH24:AM33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H51:K51"/>
    <mergeCell ref="AS51:AW51"/>
    <mergeCell ref="AX51:BB51"/>
    <mergeCell ref="AO52:AR52"/>
    <mergeCell ref="AS52:AW52"/>
    <mergeCell ref="AX52:BB52"/>
    <mergeCell ref="A12:S12"/>
    <mergeCell ref="U12:W12"/>
    <mergeCell ref="A14:S14"/>
    <mergeCell ref="U14:W14"/>
    <mergeCell ref="A16:S16"/>
    <mergeCell ref="U16:W16"/>
    <mergeCell ref="A7:BA7"/>
    <mergeCell ref="A8:BA8"/>
    <mergeCell ref="C10:E10"/>
    <mergeCell ref="G10:L10"/>
    <mergeCell ref="N10:Q10"/>
    <mergeCell ref="AH10:AI10"/>
    <mergeCell ref="AJ10:AL10"/>
    <mergeCell ref="AN10:AT10"/>
    <mergeCell ref="AV10:AY10"/>
    <mergeCell ref="Y16:AA16"/>
    <mergeCell ref="U9:AG1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37:G39"/>
    <mergeCell ref="H37:AB39"/>
    <mergeCell ref="AC37:AG39"/>
    <mergeCell ref="AH37:AM39"/>
    <mergeCell ref="AN37:AR39"/>
    <mergeCell ref="AS37:AW39"/>
    <mergeCell ref="AN24:AR33"/>
    <mergeCell ref="AS24:AW33"/>
    <mergeCell ref="AX24:BB33"/>
    <mergeCell ref="A26:G33"/>
    <mergeCell ref="AX19:BB19"/>
    <mergeCell ref="A20:G22"/>
    <mergeCell ref="H20:AB22"/>
    <mergeCell ref="AX37:BB39"/>
    <mergeCell ref="A40:BB40"/>
    <mergeCell ref="A23:BB23"/>
    <mergeCell ref="AC20:AG22"/>
    <mergeCell ref="AH20:AM22"/>
    <mergeCell ref="AN20:AR22"/>
    <mergeCell ref="AS20:AW22"/>
    <mergeCell ref="AX20:BB22"/>
    <mergeCell ref="AO35:AR35"/>
    <mergeCell ref="AS35:AW35"/>
    <mergeCell ref="AX35:BB35"/>
    <mergeCell ref="H34:M34"/>
    <mergeCell ref="AS34:AW34"/>
    <mergeCell ref="AX34:BB34"/>
    <mergeCell ref="A24:G25"/>
    <mergeCell ref="H24:Y33"/>
    <mergeCell ref="Z24:AB33"/>
    <mergeCell ref="BE181:BG181"/>
    <mergeCell ref="BI181:BM181"/>
    <mergeCell ref="BN181:BT181"/>
    <mergeCell ref="BW181:CB181"/>
    <mergeCell ref="CE181:CL181"/>
    <mergeCell ref="BE182:BG182"/>
    <mergeCell ref="BI182:BM182"/>
    <mergeCell ref="BN182:BT182"/>
    <mergeCell ref="BW182:CB182"/>
    <mergeCell ref="CE182:CL182"/>
    <mergeCell ref="BW209:CB209"/>
    <mergeCell ref="CE209:CL209"/>
    <mergeCell ref="BE210:BG210"/>
    <mergeCell ref="BI210:BM210"/>
    <mergeCell ref="BN210:BT210"/>
    <mergeCell ref="BW210:CB210"/>
    <mergeCell ref="CE210:CL210"/>
    <mergeCell ref="BW188:CB188"/>
    <mergeCell ref="CE188:CL188"/>
    <mergeCell ref="BE189:BG189"/>
    <mergeCell ref="BI189:BM189"/>
    <mergeCell ref="BN189:BT189"/>
    <mergeCell ref="BW189:CB189"/>
    <mergeCell ref="CE189:CL189"/>
    <mergeCell ref="BE190:BG190"/>
    <mergeCell ref="BI190:BM190"/>
    <mergeCell ref="BN190:BT190"/>
    <mergeCell ref="BE193:BT193"/>
    <mergeCell ref="BE194:BG194"/>
    <mergeCell ref="BH194:BL194"/>
    <mergeCell ref="BE195:BG195"/>
    <mergeCell ref="BI195:BM195"/>
    <mergeCell ref="BN195:BT195"/>
    <mergeCell ref="BW195:CB195"/>
    <mergeCell ref="AQ2:AS2"/>
    <mergeCell ref="AT2:AU2"/>
    <mergeCell ref="AW2:BB2"/>
    <mergeCell ref="BE211:BG211"/>
    <mergeCell ref="BI211:BM211"/>
    <mergeCell ref="BN211:BT211"/>
    <mergeCell ref="BE207:BT207"/>
    <mergeCell ref="BE208:BG208"/>
    <mergeCell ref="BH208:BL208"/>
    <mergeCell ref="BE209:BG209"/>
    <mergeCell ref="BI209:BM209"/>
    <mergeCell ref="BN209:BT209"/>
    <mergeCell ref="BE183:BG183"/>
    <mergeCell ref="BI183:BM183"/>
    <mergeCell ref="BN183:BT183"/>
    <mergeCell ref="BE186:BT186"/>
    <mergeCell ref="BE187:BG187"/>
    <mergeCell ref="BH187:BL187"/>
    <mergeCell ref="BE188:BG188"/>
    <mergeCell ref="BI188:BM188"/>
    <mergeCell ref="BN188:BT188"/>
    <mergeCell ref="BE179:BT179"/>
    <mergeCell ref="BE180:BG180"/>
    <mergeCell ref="BH180:BL180"/>
  </mergeCells>
  <pageMargins left="0" right="0" top="0" bottom="0" header="0.31496062992125984" footer="0.31496062992125984"/>
  <pageSetup paperSize="9" scale="75" fitToHeight="0"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T377"/>
  <sheetViews>
    <sheetView topLeftCell="A153" zoomScale="90" zoomScaleNormal="90" workbookViewId="0">
      <selection sqref="A1:BD156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5" width="1.85546875" style="117"/>
    <col min="26" max="26" width="9.85546875" style="117" bestFit="1" customWidth="1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4.42578125" style="117" customWidth="1"/>
    <col min="55" max="55" width="4.5703125" style="117" customWidth="1"/>
    <col min="56" max="56" width="4.7109375" style="117" customWidth="1"/>
    <col min="57" max="57" width="10.140625" style="117" customWidth="1"/>
    <col min="58" max="58" width="5.85546875" style="117" customWidth="1"/>
    <col min="59" max="59" width="2.7109375" style="117" customWidth="1"/>
    <col min="60" max="60" width="10.42578125" style="117" customWidth="1"/>
    <col min="61" max="61" width="8.140625" style="117" customWidth="1"/>
    <col min="62" max="87" width="1.85546875" style="117" customWidth="1"/>
    <col min="88" max="16384" width="1.85546875" style="117"/>
  </cols>
  <sheetData>
    <row r="1" spans="1:55" s="100" customFormat="1" ht="15" customHeight="1" x14ac:dyDescent="0.25">
      <c r="AW1" s="100" t="s">
        <v>83</v>
      </c>
    </row>
    <row r="2" spans="1:55" s="100" customFormat="1" ht="15" x14ac:dyDescent="0.25">
      <c r="AQ2" s="1323" t="s">
        <v>217</v>
      </c>
      <c r="AR2" s="1323"/>
      <c r="AS2" s="1323"/>
      <c r="AT2" s="1300"/>
      <c r="AU2" s="1300"/>
      <c r="AV2" s="1" t="s">
        <v>218</v>
      </c>
      <c r="AW2" s="1300"/>
      <c r="AX2" s="1300"/>
      <c r="AY2" s="1300"/>
      <c r="AZ2" s="1300"/>
      <c r="BA2" s="1300"/>
      <c r="BB2" s="1300"/>
    </row>
    <row r="3" spans="1:55" s="100" customFormat="1" ht="15" customHeight="1" x14ac:dyDescent="0.25">
      <c r="AQ3" s="100" t="s">
        <v>91</v>
      </c>
    </row>
    <row r="4" spans="1:55" s="100" customFormat="1" ht="5.0999999999999996" customHeight="1" x14ac:dyDescent="0.25"/>
    <row r="5" spans="1:55" s="100" customFormat="1" ht="15" customHeight="1" x14ac:dyDescent="0.25">
      <c r="AM5" s="157"/>
      <c r="AN5" s="157"/>
      <c r="AO5" s="157"/>
      <c r="AP5" s="157"/>
      <c r="AQ5" s="156"/>
      <c r="AR5" s="156"/>
      <c r="AS5" s="156"/>
      <c r="AT5" s="156"/>
      <c r="AU5" s="156"/>
      <c r="AV5" s="1370" t="s">
        <v>515</v>
      </c>
      <c r="AW5" s="443"/>
      <c r="AX5" s="443"/>
      <c r="AY5" s="443"/>
      <c r="AZ5" s="443"/>
      <c r="BA5" s="443"/>
      <c r="BB5" s="443"/>
      <c r="BC5" s="443"/>
    </row>
    <row r="6" spans="1:55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5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5" s="100" customFormat="1" ht="15" customHeight="1" x14ac:dyDescent="0.25">
      <c r="A8" s="756" t="s">
        <v>208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5" s="100" customFormat="1" ht="5.0999999999999996" customHeight="1" x14ac:dyDescent="0.25">
      <c r="A9" s="158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</row>
    <row r="10" spans="1:55" s="100" customFormat="1" ht="15" customHeight="1" x14ac:dyDescent="0.25">
      <c r="A10" s="158"/>
      <c r="B10" s="158" t="s">
        <v>113</v>
      </c>
      <c r="C10" s="757">
        <v>1</v>
      </c>
      <c r="D10" s="757"/>
      <c r="E10" s="757"/>
      <c r="F10" s="158"/>
      <c r="G10" s="757" t="s">
        <v>309</v>
      </c>
      <c r="H10" s="757"/>
      <c r="I10" s="757"/>
      <c r="J10" s="757"/>
      <c r="K10" s="757"/>
      <c r="L10" s="757"/>
      <c r="M10" s="158"/>
      <c r="N10" s="756">
        <v>2020</v>
      </c>
      <c r="O10" s="756"/>
      <c r="P10" s="756"/>
      <c r="Q10" s="756"/>
      <c r="R10" s="158"/>
      <c r="S10" s="158" t="s">
        <v>114</v>
      </c>
      <c r="T10" s="158"/>
      <c r="U10" s="756" t="s">
        <v>115</v>
      </c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758"/>
      <c r="AI10" s="758"/>
      <c r="AJ10" s="757">
        <v>31</v>
      </c>
      <c r="AK10" s="757"/>
      <c r="AL10" s="757"/>
      <c r="AM10" s="158"/>
      <c r="AN10" s="757" t="s">
        <v>116</v>
      </c>
      <c r="AO10" s="757"/>
      <c r="AP10" s="757"/>
      <c r="AQ10" s="757"/>
      <c r="AR10" s="757"/>
      <c r="AS10" s="757"/>
      <c r="AT10" s="757"/>
      <c r="AU10" s="158"/>
      <c r="AV10" s="756">
        <v>2021</v>
      </c>
      <c r="AW10" s="756"/>
      <c r="AX10" s="756"/>
      <c r="AY10" s="756"/>
      <c r="AZ10" s="158"/>
      <c r="BA10" s="158" t="s">
        <v>114</v>
      </c>
    </row>
    <row r="11" spans="1:55" s="82" customFormat="1" ht="5.0999999999999996" customHeight="1" x14ac:dyDescent="0.2"/>
    <row r="12" spans="1:55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36</v>
      </c>
      <c r="V12" s="761"/>
      <c r="W12" s="761"/>
    </row>
    <row r="13" spans="1:55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5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1">
        <v>24</v>
      </c>
      <c r="V14" s="761"/>
      <c r="W14" s="761"/>
    </row>
    <row r="15" spans="1:55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5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2</v>
      </c>
      <c r="V16" s="761"/>
      <c r="W16" s="761"/>
      <c r="X16" s="83" t="s">
        <v>4</v>
      </c>
      <c r="Y16" s="761">
        <v>12</v>
      </c>
      <c r="Z16" s="761"/>
      <c r="AA16" s="761"/>
    </row>
    <row r="17" spans="1:54" ht="5.0999999999999996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530</v>
      </c>
      <c r="AR19" s="162"/>
      <c r="AS19" s="164"/>
      <c r="AX19" s="708">
        <v>15600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419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4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customHeight="1" x14ac:dyDescent="0.2">
      <c r="A24" s="764" t="s">
        <v>417</v>
      </c>
      <c r="B24" s="765"/>
      <c r="C24" s="765"/>
      <c r="D24" s="765"/>
      <c r="E24" s="765"/>
      <c r="F24" s="765"/>
      <c r="G24" s="766"/>
      <c r="H24" s="711" t="s">
        <v>16</v>
      </c>
      <c r="I24" s="712"/>
      <c r="J24" s="712"/>
      <c r="K24" s="712"/>
      <c r="L24" s="712"/>
      <c r="M24" s="712"/>
      <c r="N24" s="712"/>
      <c r="O24" s="712"/>
      <c r="P24" s="712"/>
      <c r="Q24" s="712"/>
      <c r="R24" s="712"/>
      <c r="S24" s="712"/>
      <c r="T24" s="712"/>
      <c r="U24" s="712"/>
      <c r="V24" s="712"/>
      <c r="W24" s="712"/>
      <c r="X24" s="712"/>
      <c r="Y24" s="712"/>
      <c r="Z24" s="723">
        <v>0.2</v>
      </c>
      <c r="AA24" s="723"/>
      <c r="AB24" s="723"/>
      <c r="AC24" s="662">
        <f>(AX51+AX83)*Z24*AH24</f>
        <v>4056</v>
      </c>
      <c r="AD24" s="662"/>
      <c r="AE24" s="662"/>
      <c r="AF24" s="662"/>
      <c r="AG24" s="662"/>
      <c r="AH24" s="663">
        <v>2</v>
      </c>
      <c r="AI24" s="663"/>
      <c r="AJ24" s="663"/>
      <c r="AK24" s="663"/>
      <c r="AL24" s="663"/>
      <c r="AM24" s="663"/>
      <c r="AN24" s="662">
        <f>AC24/U12</f>
        <v>112.66666666666667</v>
      </c>
      <c r="AO24" s="662"/>
      <c r="AP24" s="662"/>
      <c r="AQ24" s="662"/>
      <c r="AR24" s="662"/>
      <c r="AS24" s="663" t="s">
        <v>17</v>
      </c>
      <c r="AT24" s="663"/>
      <c r="AU24" s="663"/>
      <c r="AV24" s="663"/>
      <c r="AW24" s="663"/>
      <c r="AX24" s="662" t="s">
        <v>17</v>
      </c>
      <c r="AY24" s="662"/>
      <c r="AZ24" s="662"/>
      <c r="BA24" s="662"/>
      <c r="BB24" s="684"/>
    </row>
    <row r="25" spans="1:54" s="165" customFormat="1" ht="26.25" customHeight="1" x14ac:dyDescent="0.2">
      <c r="A25" s="767"/>
      <c r="B25" s="768"/>
      <c r="C25" s="768"/>
      <c r="D25" s="768"/>
      <c r="E25" s="768"/>
      <c r="F25" s="768"/>
      <c r="G25" s="769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771" t="s">
        <v>89</v>
      </c>
      <c r="B26" s="772"/>
      <c r="C26" s="772"/>
      <c r="D26" s="772"/>
      <c r="E26" s="772"/>
      <c r="F26" s="772"/>
      <c r="G26" s="773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11.25" customHeight="1" x14ac:dyDescent="0.2">
      <c r="A27" s="750"/>
      <c r="B27" s="751"/>
      <c r="C27" s="751"/>
      <c r="D27" s="751"/>
      <c r="E27" s="751"/>
      <c r="F27" s="751"/>
      <c r="G27" s="7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17.25" customHeight="1" thickBot="1" x14ac:dyDescent="0.25">
      <c r="A33" s="753"/>
      <c r="B33" s="754"/>
      <c r="C33" s="754"/>
      <c r="D33" s="754"/>
      <c r="E33" s="754"/>
      <c r="F33" s="754"/>
      <c r="G33" s="775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9"/>
      <c r="AA33" s="729"/>
      <c r="AB33" s="729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191"/>
      <c r="R34" s="187" t="s">
        <v>18</v>
      </c>
      <c r="S34" s="163"/>
      <c r="T34" s="163"/>
      <c r="U34" s="162"/>
      <c r="V34" s="162"/>
      <c r="W34" s="162"/>
      <c r="X34" s="162"/>
      <c r="Y34" s="162"/>
      <c r="Z34" s="162"/>
      <c r="AA34" s="162"/>
      <c r="AB34" s="162"/>
      <c r="AC34" s="162"/>
      <c r="AD34" s="162" t="s">
        <v>19</v>
      </c>
      <c r="AE34" s="162" t="s">
        <v>20</v>
      </c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88"/>
      <c r="AS34" s="702">
        <f>AN24</f>
        <v>112.66666666666667</v>
      </c>
      <c r="AT34" s="702"/>
      <c r="AU34" s="702"/>
      <c r="AV34" s="702"/>
      <c r="AW34" s="702"/>
      <c r="AX34" s="702">
        <f>AC24</f>
        <v>4056</v>
      </c>
      <c r="AY34" s="702"/>
      <c r="AZ34" s="702"/>
      <c r="BA34" s="702"/>
      <c r="BB34" s="703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173"/>
      <c r="I35" s="173"/>
      <c r="J35" s="173"/>
      <c r="K35" s="173"/>
      <c r="L35" s="173"/>
      <c r="M35" s="173"/>
      <c r="P35" s="168"/>
      <c r="Q35" s="174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34.025333333333336</v>
      </c>
      <c r="AT35" s="463"/>
      <c r="AU35" s="463"/>
      <c r="AV35" s="463"/>
      <c r="AW35" s="463"/>
      <c r="AX35" s="463">
        <f>AX34*AO35</f>
        <v>1224.912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173"/>
      <c r="I36" s="173"/>
      <c r="J36" s="173"/>
      <c r="K36" s="173"/>
      <c r="L36" s="173"/>
      <c r="M36" s="173"/>
      <c r="P36" s="168"/>
      <c r="Q36" s="174"/>
      <c r="R36" s="174"/>
      <c r="S36" s="174"/>
      <c r="U36" s="174"/>
      <c r="V36" s="174"/>
      <c r="W36" s="174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8"/>
      <c r="AT36" s="179"/>
      <c r="AU36" s="179"/>
      <c r="AV36" s="179"/>
      <c r="AW36" s="179"/>
      <c r="AX36" s="178"/>
      <c r="AY36" s="179"/>
      <c r="AZ36" s="179"/>
      <c r="BA36" s="179"/>
      <c r="BB36" s="179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420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660"/>
      <c r="B41" s="661"/>
      <c r="C41" s="661"/>
      <c r="D41" s="661"/>
      <c r="E41" s="661"/>
      <c r="F41" s="661"/>
      <c r="G41" s="661"/>
      <c r="H41" s="662" t="s">
        <v>16</v>
      </c>
      <c r="I41" s="662"/>
      <c r="J41" s="662"/>
      <c r="K41" s="662"/>
      <c r="L41" s="662"/>
      <c r="M41" s="662"/>
      <c r="N41" s="662"/>
      <c r="O41" s="662"/>
      <c r="P41" s="662"/>
      <c r="Q41" s="662"/>
      <c r="R41" s="662"/>
      <c r="S41" s="662"/>
      <c r="T41" s="662"/>
      <c r="U41" s="662"/>
      <c r="V41" s="662"/>
      <c r="W41" s="662"/>
      <c r="X41" s="662"/>
      <c r="Y41" s="662"/>
      <c r="Z41" s="723">
        <v>0</v>
      </c>
      <c r="AA41" s="723"/>
      <c r="AB41" s="723"/>
      <c r="AC41" s="662">
        <f>AX83*Z41*AH41</f>
        <v>0</v>
      </c>
      <c r="AD41" s="662"/>
      <c r="AE41" s="662"/>
      <c r="AF41" s="662"/>
      <c r="AG41" s="662"/>
      <c r="AH41" s="508">
        <v>1</v>
      </c>
      <c r="AI41" s="509"/>
      <c r="AJ41" s="509"/>
      <c r="AK41" s="509"/>
      <c r="AL41" s="509"/>
      <c r="AM41" s="510"/>
      <c r="AN41" s="711">
        <f>AC41/U12</f>
        <v>0</v>
      </c>
      <c r="AO41" s="712"/>
      <c r="AP41" s="712"/>
      <c r="AQ41" s="712"/>
      <c r="AR41" s="734"/>
      <c r="AS41" s="508" t="s">
        <v>17</v>
      </c>
      <c r="AT41" s="509"/>
      <c r="AU41" s="509"/>
      <c r="AV41" s="509"/>
      <c r="AW41" s="510"/>
      <c r="AX41" s="711" t="s">
        <v>17</v>
      </c>
      <c r="AY41" s="712"/>
      <c r="AZ41" s="712"/>
      <c r="BA41" s="712"/>
      <c r="BB41" s="713"/>
    </row>
    <row r="42" spans="1:54" s="165" customFormat="1" ht="0.75" hidden="1" customHeight="1" x14ac:dyDescent="0.2">
      <c r="A42" s="652"/>
      <c r="B42" s="653"/>
      <c r="C42" s="653"/>
      <c r="D42" s="653"/>
      <c r="E42" s="653"/>
      <c r="F42" s="653"/>
      <c r="G42" s="653"/>
      <c r="H42" s="601"/>
      <c r="I42" s="601"/>
      <c r="J42" s="601"/>
      <c r="K42" s="601"/>
      <c r="L42" s="601"/>
      <c r="M42" s="601"/>
      <c r="N42" s="601"/>
      <c r="O42" s="601"/>
      <c r="P42" s="601"/>
      <c r="Q42" s="601"/>
      <c r="R42" s="601"/>
      <c r="S42" s="601"/>
      <c r="T42" s="601"/>
      <c r="U42" s="601"/>
      <c r="V42" s="601"/>
      <c r="W42" s="601"/>
      <c r="X42" s="601"/>
      <c r="Y42" s="601"/>
      <c r="Z42" s="726"/>
      <c r="AA42" s="726"/>
      <c r="AB42" s="726"/>
      <c r="AC42" s="601"/>
      <c r="AD42" s="601"/>
      <c r="AE42" s="601"/>
      <c r="AF42" s="601"/>
      <c r="AG42" s="601"/>
      <c r="AH42" s="511"/>
      <c r="AI42" s="512"/>
      <c r="AJ42" s="512"/>
      <c r="AK42" s="512"/>
      <c r="AL42" s="512"/>
      <c r="AM42" s="513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714"/>
      <c r="AY42" s="704"/>
      <c r="AZ42" s="704"/>
      <c r="BA42" s="704"/>
      <c r="BB42" s="715"/>
    </row>
    <row r="43" spans="1:54" ht="18" customHeight="1" x14ac:dyDescent="0.2">
      <c r="A43" s="652"/>
      <c r="B43" s="653"/>
      <c r="C43" s="653"/>
      <c r="D43" s="653"/>
      <c r="E43" s="653"/>
      <c r="F43" s="653"/>
      <c r="G43" s="653"/>
      <c r="H43" s="601"/>
      <c r="I43" s="601"/>
      <c r="J43" s="601"/>
      <c r="K43" s="601"/>
      <c r="L43" s="601"/>
      <c r="M43" s="601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726"/>
      <c r="AA43" s="726"/>
      <c r="AB43" s="726"/>
      <c r="AC43" s="601"/>
      <c r="AD43" s="601"/>
      <c r="AE43" s="601"/>
      <c r="AF43" s="601"/>
      <c r="AG43" s="601"/>
      <c r="AH43" s="736"/>
      <c r="AI43" s="737"/>
      <c r="AJ43" s="737"/>
      <c r="AK43" s="737"/>
      <c r="AL43" s="737"/>
      <c r="AM43" s="738"/>
      <c r="AN43" s="716"/>
      <c r="AO43" s="669"/>
      <c r="AP43" s="669"/>
      <c r="AQ43" s="669"/>
      <c r="AR43" s="670"/>
      <c r="AS43" s="736"/>
      <c r="AT43" s="737"/>
      <c r="AU43" s="737"/>
      <c r="AV43" s="737"/>
      <c r="AW43" s="738"/>
      <c r="AX43" s="716"/>
      <c r="AY43" s="669"/>
      <c r="AZ43" s="669"/>
      <c r="BA43" s="669"/>
      <c r="BB43" s="717"/>
    </row>
    <row r="44" spans="1:54" s="165" customFormat="1" ht="21" hidden="1" customHeight="1" x14ac:dyDescent="0.2">
      <c r="A44" s="652"/>
      <c r="B44" s="653"/>
      <c r="C44" s="653"/>
      <c r="D44" s="653"/>
      <c r="E44" s="653"/>
      <c r="F44" s="653"/>
      <c r="G44" s="653"/>
      <c r="H44" s="601"/>
      <c r="I44" s="601"/>
      <c r="J44" s="601"/>
      <c r="K44" s="601"/>
      <c r="L44" s="601"/>
      <c r="M44" s="601"/>
      <c r="N44" s="601"/>
      <c r="O44" s="601"/>
      <c r="P44" s="601"/>
      <c r="Q44" s="601"/>
      <c r="R44" s="601"/>
      <c r="S44" s="601"/>
      <c r="T44" s="601"/>
      <c r="U44" s="601"/>
      <c r="V44" s="601"/>
      <c r="W44" s="601"/>
      <c r="X44" s="601"/>
      <c r="Y44" s="601"/>
      <c r="Z44" s="726"/>
      <c r="AA44" s="726"/>
      <c r="AB44" s="726"/>
      <c r="AC44" s="279"/>
      <c r="AD44" s="279"/>
      <c r="AE44" s="279"/>
      <c r="AF44" s="279"/>
      <c r="AG44" s="279"/>
      <c r="AH44" s="180"/>
      <c r="AI44" s="181"/>
      <c r="AJ44" s="181"/>
      <c r="AK44" s="181"/>
      <c r="AL44" s="181"/>
      <c r="AM44" s="182"/>
      <c r="AN44" s="86"/>
      <c r="AO44" s="84"/>
      <c r="AP44" s="84"/>
      <c r="AQ44" s="84"/>
      <c r="AR44" s="85"/>
      <c r="AS44" s="180"/>
      <c r="AT44" s="181"/>
      <c r="AU44" s="181"/>
      <c r="AV44" s="181"/>
      <c r="AW44" s="182"/>
      <c r="AX44" s="86"/>
      <c r="AY44" s="84"/>
      <c r="AZ44" s="84"/>
      <c r="BA44" s="84"/>
      <c r="BB44" s="255"/>
    </row>
    <row r="45" spans="1:54" s="165" customFormat="1" ht="21.75" hidden="1" customHeight="1" x14ac:dyDescent="0.2">
      <c r="A45" s="652"/>
      <c r="B45" s="653"/>
      <c r="C45" s="653"/>
      <c r="D45" s="653"/>
      <c r="E45" s="653"/>
      <c r="F45" s="653"/>
      <c r="G45" s="653"/>
      <c r="H45" s="601"/>
      <c r="I45" s="601"/>
      <c r="J45" s="601"/>
      <c r="K45" s="601"/>
      <c r="L45" s="601"/>
      <c r="M45" s="601"/>
      <c r="N45" s="601"/>
      <c r="O45" s="601"/>
      <c r="P45" s="601"/>
      <c r="Q45" s="601"/>
      <c r="R45" s="601"/>
      <c r="S45" s="601"/>
      <c r="T45" s="601"/>
      <c r="U45" s="601"/>
      <c r="V45" s="601"/>
      <c r="W45" s="601"/>
      <c r="X45" s="601"/>
      <c r="Y45" s="601"/>
      <c r="Z45" s="726"/>
      <c r="AA45" s="726"/>
      <c r="AB45" s="726"/>
      <c r="AC45" s="279"/>
      <c r="AD45" s="279"/>
      <c r="AE45" s="279"/>
      <c r="AF45" s="279"/>
      <c r="AG45" s="279"/>
      <c r="AH45" s="180"/>
      <c r="AI45" s="181"/>
      <c r="AJ45" s="181"/>
      <c r="AK45" s="181"/>
      <c r="AL45" s="181"/>
      <c r="AM45" s="182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255"/>
    </row>
    <row r="46" spans="1:54" s="165" customFormat="1" ht="24" hidden="1" customHeight="1" x14ac:dyDescent="0.2">
      <c r="A46" s="652"/>
      <c r="B46" s="653"/>
      <c r="C46" s="653"/>
      <c r="D46" s="653"/>
      <c r="E46" s="653"/>
      <c r="F46" s="653"/>
      <c r="G46" s="653"/>
      <c r="H46" s="601"/>
      <c r="I46" s="601"/>
      <c r="J46" s="601"/>
      <c r="K46" s="601"/>
      <c r="L46" s="601"/>
      <c r="M46" s="601"/>
      <c r="N46" s="601"/>
      <c r="O46" s="601"/>
      <c r="P46" s="601"/>
      <c r="Q46" s="601"/>
      <c r="R46" s="601"/>
      <c r="S46" s="601"/>
      <c r="T46" s="601"/>
      <c r="U46" s="601"/>
      <c r="V46" s="601"/>
      <c r="W46" s="601"/>
      <c r="X46" s="601"/>
      <c r="Y46" s="601"/>
      <c r="Z46" s="726"/>
      <c r="AA46" s="726"/>
      <c r="AB46" s="726"/>
      <c r="AC46" s="279"/>
      <c r="AD46" s="279"/>
      <c r="AE46" s="279"/>
      <c r="AF46" s="279"/>
      <c r="AG46" s="279"/>
      <c r="AH46" s="180"/>
      <c r="AI46" s="181"/>
      <c r="AJ46" s="181"/>
      <c r="AK46" s="181"/>
      <c r="AL46" s="181"/>
      <c r="AM46" s="182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255"/>
    </row>
    <row r="47" spans="1:54" s="165" customFormat="1" ht="18" hidden="1" customHeight="1" x14ac:dyDescent="0.2">
      <c r="A47" s="652"/>
      <c r="B47" s="653"/>
      <c r="C47" s="653"/>
      <c r="D47" s="653"/>
      <c r="E47" s="653"/>
      <c r="F47" s="653"/>
      <c r="G47" s="653"/>
      <c r="H47" s="601"/>
      <c r="I47" s="601"/>
      <c r="J47" s="601"/>
      <c r="K47" s="601"/>
      <c r="L47" s="601"/>
      <c r="M47" s="601"/>
      <c r="N47" s="601"/>
      <c r="O47" s="601"/>
      <c r="P47" s="601"/>
      <c r="Q47" s="601"/>
      <c r="R47" s="601"/>
      <c r="S47" s="601"/>
      <c r="T47" s="601"/>
      <c r="U47" s="601"/>
      <c r="V47" s="601"/>
      <c r="W47" s="601"/>
      <c r="X47" s="601"/>
      <c r="Y47" s="601"/>
      <c r="Z47" s="726"/>
      <c r="AA47" s="726"/>
      <c r="AB47" s="726"/>
      <c r="AC47" s="279"/>
      <c r="AD47" s="279"/>
      <c r="AE47" s="279"/>
      <c r="AF47" s="279"/>
      <c r="AG47" s="279"/>
      <c r="AH47" s="180"/>
      <c r="AI47" s="181"/>
      <c r="AJ47" s="181"/>
      <c r="AK47" s="181"/>
      <c r="AL47" s="181"/>
      <c r="AM47" s="182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255"/>
    </row>
    <row r="48" spans="1:54" s="165" customFormat="1" ht="17.25" hidden="1" customHeight="1" x14ac:dyDescent="0.2">
      <c r="A48" s="652"/>
      <c r="B48" s="653"/>
      <c r="C48" s="653"/>
      <c r="D48" s="653"/>
      <c r="E48" s="653"/>
      <c r="F48" s="653"/>
      <c r="G48" s="653"/>
      <c r="H48" s="601"/>
      <c r="I48" s="601"/>
      <c r="J48" s="601"/>
      <c r="K48" s="601"/>
      <c r="L48" s="601"/>
      <c r="M48" s="601"/>
      <c r="N48" s="601"/>
      <c r="O48" s="601"/>
      <c r="P48" s="601"/>
      <c r="Q48" s="601"/>
      <c r="R48" s="601"/>
      <c r="S48" s="601"/>
      <c r="T48" s="601"/>
      <c r="U48" s="601"/>
      <c r="V48" s="601"/>
      <c r="W48" s="601"/>
      <c r="X48" s="601"/>
      <c r="Y48" s="601"/>
      <c r="Z48" s="726"/>
      <c r="AA48" s="726"/>
      <c r="AB48" s="726"/>
      <c r="AC48" s="279"/>
      <c r="AD48" s="279"/>
      <c r="AE48" s="279"/>
      <c r="AF48" s="279"/>
      <c r="AG48" s="279"/>
      <c r="AH48" s="180"/>
      <c r="AI48" s="181"/>
      <c r="AJ48" s="181"/>
      <c r="AK48" s="181"/>
      <c r="AL48" s="181"/>
      <c r="AM48" s="182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255"/>
    </row>
    <row r="49" spans="1:54" s="165" customFormat="1" ht="14.25" hidden="1" customHeight="1" x14ac:dyDescent="0.2">
      <c r="A49" s="652"/>
      <c r="B49" s="653"/>
      <c r="C49" s="653"/>
      <c r="D49" s="653"/>
      <c r="E49" s="653"/>
      <c r="F49" s="653"/>
      <c r="G49" s="653"/>
      <c r="H49" s="601"/>
      <c r="I49" s="601"/>
      <c r="J49" s="601"/>
      <c r="K49" s="601"/>
      <c r="L49" s="601"/>
      <c r="M49" s="601"/>
      <c r="N49" s="601"/>
      <c r="O49" s="601"/>
      <c r="P49" s="601"/>
      <c r="Q49" s="601"/>
      <c r="R49" s="601"/>
      <c r="S49" s="601"/>
      <c r="T49" s="601"/>
      <c r="U49" s="601"/>
      <c r="V49" s="601"/>
      <c r="W49" s="601"/>
      <c r="X49" s="601"/>
      <c r="Y49" s="601"/>
      <c r="Z49" s="726"/>
      <c r="AA49" s="726"/>
      <c r="AB49" s="726"/>
      <c r="AC49" s="279"/>
      <c r="AD49" s="279"/>
      <c r="AE49" s="279"/>
      <c r="AF49" s="279"/>
      <c r="AG49" s="279"/>
      <c r="AH49" s="180"/>
      <c r="AI49" s="181"/>
      <c r="AJ49" s="181"/>
      <c r="AK49" s="181"/>
      <c r="AL49" s="181"/>
      <c r="AM49" s="182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255"/>
    </row>
    <row r="50" spans="1:54" ht="0.75" customHeight="1" thickBot="1" x14ac:dyDescent="0.25">
      <c r="A50" s="681"/>
      <c r="B50" s="682"/>
      <c r="C50" s="682"/>
      <c r="D50" s="682"/>
      <c r="E50" s="682"/>
      <c r="F50" s="682"/>
      <c r="G50" s="682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  <c r="V50" s="656"/>
      <c r="W50" s="656"/>
      <c r="X50" s="656"/>
      <c r="Y50" s="656"/>
      <c r="Z50" s="729"/>
      <c r="AA50" s="729"/>
      <c r="AB50" s="729"/>
      <c r="AC50" s="280"/>
      <c r="AD50" s="280"/>
      <c r="AE50" s="280"/>
      <c r="AF50" s="280"/>
      <c r="AG50" s="280"/>
      <c r="AH50" s="259"/>
      <c r="AI50" s="260"/>
      <c r="AJ50" s="260"/>
      <c r="AK50" s="260"/>
      <c r="AL50" s="260"/>
      <c r="AM50" s="261"/>
      <c r="AN50" s="256"/>
      <c r="AO50" s="257"/>
      <c r="AP50" s="257"/>
      <c r="AQ50" s="257"/>
      <c r="AR50" s="258"/>
      <c r="AS50" s="259"/>
      <c r="AT50" s="260"/>
      <c r="AU50" s="260"/>
      <c r="AV50" s="260"/>
      <c r="AW50" s="261"/>
      <c r="AX50" s="256"/>
      <c r="AY50" s="257"/>
      <c r="AZ50" s="257"/>
      <c r="BA50" s="257"/>
      <c r="BB50" s="262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189"/>
      <c r="I52" s="189"/>
      <c r="J52" s="189"/>
      <c r="K52" s="189"/>
      <c r="L52" s="164"/>
      <c r="M52" s="164"/>
      <c r="N52" s="164"/>
      <c r="O52" s="164"/>
      <c r="P52" s="164"/>
      <c r="Q52" s="190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660" t="s">
        <v>101</v>
      </c>
      <c r="B58" s="661"/>
      <c r="C58" s="661"/>
      <c r="D58" s="661"/>
      <c r="E58" s="661"/>
      <c r="F58" s="661"/>
      <c r="G58" s="661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96"/>
      <c r="AC58" s="662">
        <f>((R59+(R59*U61)+(R59*Q61)+(R59*M61)+(R59*I61))*Z61)</f>
        <v>40560</v>
      </c>
      <c r="AD58" s="662"/>
      <c r="AE58" s="662"/>
      <c r="AF58" s="662"/>
      <c r="AG58" s="662"/>
      <c r="AH58" s="662">
        <v>144</v>
      </c>
      <c r="AI58" s="662"/>
      <c r="AJ58" s="662"/>
      <c r="AK58" s="662"/>
      <c r="AL58" s="662"/>
      <c r="AM58" s="662"/>
      <c r="AN58" s="662">
        <f>AC58/AH58</f>
        <v>281.66666666666669</v>
      </c>
      <c r="AO58" s="662"/>
      <c r="AP58" s="662"/>
      <c r="AQ58" s="662"/>
      <c r="AR58" s="662"/>
      <c r="AS58" s="663">
        <f>U12</f>
        <v>36</v>
      </c>
      <c r="AT58" s="663"/>
      <c r="AU58" s="663"/>
      <c r="AV58" s="663"/>
      <c r="AW58" s="663"/>
      <c r="AX58" s="662">
        <f>AN58*AS58</f>
        <v>10140</v>
      </c>
      <c r="AY58" s="662"/>
      <c r="AZ58" s="662"/>
      <c r="BA58" s="662"/>
      <c r="BB58" s="684"/>
    </row>
    <row r="59" spans="1:54" s="165" customFormat="1" ht="23.45" customHeight="1" x14ac:dyDescent="0.2">
      <c r="A59" s="652"/>
      <c r="B59" s="653"/>
      <c r="C59" s="653"/>
      <c r="D59" s="653"/>
      <c r="E59" s="653"/>
      <c r="F59" s="653"/>
      <c r="G59" s="653"/>
      <c r="H59" s="685" t="s">
        <v>530</v>
      </c>
      <c r="I59" s="686"/>
      <c r="J59" s="686"/>
      <c r="K59" s="686"/>
      <c r="L59" s="686"/>
      <c r="M59" s="686"/>
      <c r="N59" s="669"/>
      <c r="O59" s="669"/>
      <c r="P59" s="669"/>
      <c r="Q59" s="84" t="s">
        <v>27</v>
      </c>
      <c r="R59" s="669">
        <v>15600</v>
      </c>
      <c r="S59" s="669"/>
      <c r="T59" s="669"/>
      <c r="U59" s="669"/>
      <c r="V59" s="669"/>
      <c r="W59" s="84" t="s">
        <v>28</v>
      </c>
      <c r="X59" s="84"/>
      <c r="Y59" s="84"/>
      <c r="Z59" s="84"/>
      <c r="AA59" s="84"/>
      <c r="AB59" s="85"/>
      <c r="AC59" s="601"/>
      <c r="AD59" s="601"/>
      <c r="AE59" s="601"/>
      <c r="AF59" s="601"/>
      <c r="AG59" s="601"/>
      <c r="AH59" s="601"/>
      <c r="AI59" s="601"/>
      <c r="AJ59" s="601"/>
      <c r="AK59" s="601"/>
      <c r="AL59" s="601"/>
      <c r="AM59" s="601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652"/>
      <c r="B60" s="653"/>
      <c r="C60" s="653"/>
      <c r="D60" s="653"/>
      <c r="E60" s="653"/>
      <c r="F60" s="653"/>
      <c r="G60" s="653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601"/>
      <c r="AD60" s="601"/>
      <c r="AE60" s="601"/>
      <c r="AF60" s="601"/>
      <c r="AG60" s="601"/>
      <c r="AH60" s="601"/>
      <c r="AI60" s="601"/>
      <c r="AJ60" s="601"/>
      <c r="AK60" s="601"/>
      <c r="AL60" s="601"/>
      <c r="AM60" s="601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1.25" customHeight="1" x14ac:dyDescent="0.2">
      <c r="A61" s="652"/>
      <c r="B61" s="653"/>
      <c r="C61" s="653"/>
      <c r="D61" s="653"/>
      <c r="E61" s="653"/>
      <c r="F61" s="653"/>
      <c r="G61" s="653"/>
      <c r="H61" s="706" t="s">
        <v>656</v>
      </c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  <c r="V61" s="707"/>
      <c r="W61" s="707"/>
      <c r="X61" s="707"/>
      <c r="Y61" s="84" t="s">
        <v>28</v>
      </c>
      <c r="Z61" s="669">
        <v>2.6</v>
      </c>
      <c r="AA61" s="669"/>
      <c r="AB61" s="670"/>
      <c r="AC61" s="601"/>
      <c r="AD61" s="601"/>
      <c r="AE61" s="601"/>
      <c r="AF61" s="601"/>
      <c r="AG61" s="601"/>
      <c r="AH61" s="601"/>
      <c r="AI61" s="601"/>
      <c r="AJ61" s="601"/>
      <c r="AK61" s="601"/>
      <c r="AL61" s="601"/>
      <c r="AM61" s="601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" customHeight="1" thickBot="1" x14ac:dyDescent="0.25">
      <c r="A62" s="681"/>
      <c r="B62" s="682"/>
      <c r="C62" s="682"/>
      <c r="D62" s="682"/>
      <c r="E62" s="682"/>
      <c r="F62" s="682"/>
      <c r="G62" s="682"/>
      <c r="H62" s="256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8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83"/>
      <c r="AT62" s="683"/>
      <c r="AU62" s="683"/>
      <c r="AV62" s="683"/>
      <c r="AW62" s="683"/>
      <c r="AX62" s="656"/>
      <c r="AY62" s="656"/>
      <c r="AZ62" s="656"/>
      <c r="BA62" s="656"/>
      <c r="BB62" s="657"/>
    </row>
    <row r="63" spans="1:54" ht="5.0999999999999996" hidden="1" customHeight="1" x14ac:dyDescent="0.2">
      <c r="A63" s="666"/>
      <c r="B63" s="667"/>
      <c r="C63" s="667"/>
      <c r="D63" s="667"/>
      <c r="E63" s="667"/>
      <c r="F63" s="667"/>
      <c r="G63" s="667"/>
      <c r="H63" s="193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94" t="e">
        <f>#REF!</f>
        <v>#REF!</v>
      </c>
      <c r="AA63" s="191"/>
      <c r="AB63" s="195"/>
      <c r="AC63" s="477">
        <f>((R64+(R64*U66)+(R64*Q66)+(R64*M66)+(R64*I66))*Z66)*1.15</f>
        <v>0</v>
      </c>
      <c r="AD63" s="477"/>
      <c r="AE63" s="477"/>
      <c r="AF63" s="477"/>
      <c r="AG63" s="477"/>
      <c r="AH63" s="477">
        <v>1</v>
      </c>
      <c r="AI63" s="477"/>
      <c r="AJ63" s="477"/>
      <c r="AK63" s="477"/>
      <c r="AL63" s="477"/>
      <c r="AM63" s="477"/>
      <c r="AN63" s="477">
        <f>AC63/AH63</f>
        <v>0</v>
      </c>
      <c r="AO63" s="477"/>
      <c r="AP63" s="477"/>
      <c r="AQ63" s="477"/>
      <c r="AR63" s="477"/>
      <c r="AS63" s="668">
        <f t="shared" ref="AS63" si="0">U17</f>
        <v>0</v>
      </c>
      <c r="AT63" s="668"/>
      <c r="AU63" s="668"/>
      <c r="AV63" s="668"/>
      <c r="AW63" s="668"/>
      <c r="AX63" s="477">
        <f>AN63*AS63</f>
        <v>0</v>
      </c>
      <c r="AY63" s="477"/>
      <c r="AZ63" s="477"/>
      <c r="BA63" s="477"/>
      <c r="BB63" s="481"/>
    </row>
    <row r="64" spans="1:54" s="165" customFormat="1" ht="11.25" hidden="1" customHeight="1" x14ac:dyDescent="0.2">
      <c r="A64" s="652"/>
      <c r="B64" s="653"/>
      <c r="C64" s="653"/>
      <c r="D64" s="653"/>
      <c r="E64" s="653"/>
      <c r="F64" s="653"/>
      <c r="G64" s="653"/>
      <c r="H64" s="658" t="s">
        <v>26</v>
      </c>
      <c r="I64" s="659"/>
      <c r="J64" s="659"/>
      <c r="K64" s="659"/>
      <c r="L64" s="659"/>
      <c r="M64" s="659"/>
      <c r="N64" s="650">
        <v>0</v>
      </c>
      <c r="O64" s="650"/>
      <c r="P64" s="650"/>
      <c r="Q64" s="191" t="s">
        <v>27</v>
      </c>
      <c r="R64" s="650">
        <f>$AX$19*N64</f>
        <v>0</v>
      </c>
      <c r="S64" s="650"/>
      <c r="T64" s="650"/>
      <c r="U64" s="650"/>
      <c r="V64" s="650"/>
      <c r="W64" s="191" t="s">
        <v>28</v>
      </c>
      <c r="X64" s="191" t="s">
        <v>29</v>
      </c>
      <c r="Y64" s="191"/>
      <c r="Z64" s="191"/>
      <c r="AA64" s="191"/>
      <c r="AB64" s="195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664"/>
      <c r="AT64" s="664"/>
      <c r="AU64" s="664"/>
      <c r="AV64" s="664"/>
      <c r="AW64" s="664"/>
      <c r="AX64" s="529"/>
      <c r="AY64" s="529"/>
      <c r="AZ64" s="529"/>
      <c r="BA64" s="529"/>
      <c r="BB64" s="665"/>
    </row>
    <row r="65" spans="1:54" s="165" customFormat="1" ht="5.0999999999999996" hidden="1" customHeight="1" x14ac:dyDescent="0.2">
      <c r="A65" s="652"/>
      <c r="B65" s="653"/>
      <c r="C65" s="653"/>
      <c r="D65" s="653"/>
      <c r="E65" s="653"/>
      <c r="F65" s="653"/>
      <c r="G65" s="653"/>
      <c r="H65" s="196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91"/>
      <c r="AA65" s="191"/>
      <c r="AB65" s="195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65" customFormat="1" ht="11.25" hidden="1" customHeight="1" x14ac:dyDescent="0.2">
      <c r="A66" s="652"/>
      <c r="B66" s="653"/>
      <c r="C66" s="653"/>
      <c r="D66" s="653"/>
      <c r="E66" s="653"/>
      <c r="F66" s="653"/>
      <c r="G66" s="653"/>
      <c r="H66" s="197" t="s">
        <v>30</v>
      </c>
      <c r="I66" s="654">
        <v>0</v>
      </c>
      <c r="J66" s="654"/>
      <c r="K66" s="654"/>
      <c r="L66" s="191" t="s">
        <v>28</v>
      </c>
      <c r="M66" s="654">
        <v>0</v>
      </c>
      <c r="N66" s="654"/>
      <c r="O66" s="654"/>
      <c r="P66" s="191" t="s">
        <v>28</v>
      </c>
      <c r="Q66" s="654"/>
      <c r="R66" s="654"/>
      <c r="S66" s="654"/>
      <c r="T66" s="191" t="s">
        <v>28</v>
      </c>
      <c r="U66" s="654"/>
      <c r="V66" s="654"/>
      <c r="W66" s="654"/>
      <c r="X66" s="191" t="s">
        <v>31</v>
      </c>
      <c r="Y66" s="191" t="s">
        <v>28</v>
      </c>
      <c r="Z66" s="650">
        <v>2.6</v>
      </c>
      <c r="AA66" s="650"/>
      <c r="AB66" s="651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65" customFormat="1" ht="5.0999999999999996" hidden="1" customHeight="1" thickBot="1" x14ac:dyDescent="0.25">
      <c r="A67" s="652"/>
      <c r="B67" s="653"/>
      <c r="C67" s="653"/>
      <c r="D67" s="653"/>
      <c r="E67" s="653"/>
      <c r="F67" s="653"/>
      <c r="G67" s="653"/>
      <c r="H67" s="198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200"/>
      <c r="AA67" s="200"/>
      <c r="AB67" s="201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65" customFormat="1" ht="5.0999999999999996" hidden="1" customHeight="1" x14ac:dyDescent="0.2">
      <c r="A68" s="652"/>
      <c r="B68" s="653"/>
      <c r="C68" s="653"/>
      <c r="D68" s="653"/>
      <c r="E68" s="653"/>
      <c r="F68" s="653"/>
      <c r="G68" s="653"/>
      <c r="H68" s="19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94" t="e">
        <f>#REF!</f>
        <v>#REF!</v>
      </c>
      <c r="AA68" s="191"/>
      <c r="AB68" s="195"/>
      <c r="AC68" s="507">
        <f>((R69+(R69*U71)+(R69*Q71)+(R69*M71)+(R69*I71))*Z71)*1.15</f>
        <v>0</v>
      </c>
      <c r="AD68" s="507"/>
      <c r="AE68" s="507"/>
      <c r="AF68" s="507"/>
      <c r="AG68" s="507"/>
      <c r="AH68" s="529">
        <v>1</v>
      </c>
      <c r="AI68" s="529"/>
      <c r="AJ68" s="529"/>
      <c r="AK68" s="529"/>
      <c r="AL68" s="529"/>
      <c r="AM68" s="529"/>
      <c r="AN68" s="529">
        <f>AC68/AH68</f>
        <v>0</v>
      </c>
      <c r="AO68" s="529"/>
      <c r="AP68" s="529"/>
      <c r="AQ68" s="529"/>
      <c r="AR68" s="529"/>
      <c r="AS68" s="663">
        <f t="shared" ref="AS68" si="1">U22</f>
        <v>0</v>
      </c>
      <c r="AT68" s="663"/>
      <c r="AU68" s="663"/>
      <c r="AV68" s="663"/>
      <c r="AW68" s="663"/>
      <c r="AX68" s="529">
        <f>AN68*AS68</f>
        <v>0</v>
      </c>
      <c r="AY68" s="529"/>
      <c r="AZ68" s="529"/>
      <c r="BA68" s="529"/>
      <c r="BB68" s="665"/>
    </row>
    <row r="69" spans="1:54" s="165" customFormat="1" ht="11.25" hidden="1" customHeight="1" x14ac:dyDescent="0.2">
      <c r="A69" s="652"/>
      <c r="B69" s="653"/>
      <c r="C69" s="653"/>
      <c r="D69" s="653"/>
      <c r="E69" s="653"/>
      <c r="F69" s="653"/>
      <c r="G69" s="653"/>
      <c r="H69" s="658" t="s">
        <v>26</v>
      </c>
      <c r="I69" s="659"/>
      <c r="J69" s="659"/>
      <c r="K69" s="659"/>
      <c r="L69" s="659"/>
      <c r="M69" s="659"/>
      <c r="N69" s="650">
        <v>0</v>
      </c>
      <c r="O69" s="650"/>
      <c r="P69" s="650"/>
      <c r="Q69" s="191" t="s">
        <v>27</v>
      </c>
      <c r="R69" s="650">
        <f>$AX$19*N69</f>
        <v>0</v>
      </c>
      <c r="S69" s="650"/>
      <c r="T69" s="650"/>
      <c r="U69" s="650"/>
      <c r="V69" s="650"/>
      <c r="W69" s="191" t="s">
        <v>28</v>
      </c>
      <c r="X69" s="191" t="s">
        <v>29</v>
      </c>
      <c r="Y69" s="191"/>
      <c r="Z69" s="191"/>
      <c r="AA69" s="191"/>
      <c r="AB69" s="195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529"/>
      <c r="AP69" s="529"/>
      <c r="AQ69" s="529"/>
      <c r="AR69" s="529"/>
      <c r="AS69" s="664"/>
      <c r="AT69" s="664"/>
      <c r="AU69" s="664"/>
      <c r="AV69" s="664"/>
      <c r="AW69" s="664"/>
      <c r="AX69" s="529"/>
      <c r="AY69" s="529"/>
      <c r="AZ69" s="529"/>
      <c r="BA69" s="529"/>
      <c r="BB69" s="665"/>
    </row>
    <row r="70" spans="1:54" ht="5.0999999999999996" hidden="1" customHeight="1" x14ac:dyDescent="0.2">
      <c r="A70" s="652"/>
      <c r="B70" s="653"/>
      <c r="C70" s="653"/>
      <c r="D70" s="653"/>
      <c r="E70" s="653"/>
      <c r="F70" s="653"/>
      <c r="G70" s="653"/>
      <c r="H70" s="19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91"/>
      <c r="AA70" s="191"/>
      <c r="AB70" s="195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s="165" customFormat="1" ht="11.25" hidden="1" customHeight="1" x14ac:dyDescent="0.2">
      <c r="A71" s="652"/>
      <c r="B71" s="653"/>
      <c r="C71" s="653"/>
      <c r="D71" s="653"/>
      <c r="E71" s="653"/>
      <c r="F71" s="653"/>
      <c r="G71" s="653"/>
      <c r="H71" s="197" t="s">
        <v>30</v>
      </c>
      <c r="I71" s="654">
        <v>0</v>
      </c>
      <c r="J71" s="654"/>
      <c r="K71" s="654"/>
      <c r="L71" s="191" t="s">
        <v>28</v>
      </c>
      <c r="M71" s="654">
        <v>0</v>
      </c>
      <c r="N71" s="654"/>
      <c r="O71" s="654"/>
      <c r="P71" s="191" t="s">
        <v>28</v>
      </c>
      <c r="Q71" s="654"/>
      <c r="R71" s="654"/>
      <c r="S71" s="654"/>
      <c r="T71" s="191" t="s">
        <v>28</v>
      </c>
      <c r="U71" s="654"/>
      <c r="V71" s="654"/>
      <c r="W71" s="654"/>
      <c r="X71" s="191" t="s">
        <v>31</v>
      </c>
      <c r="Y71" s="191" t="s">
        <v>28</v>
      </c>
      <c r="Z71" s="650">
        <v>2.6</v>
      </c>
      <c r="AA71" s="650"/>
      <c r="AB71" s="651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65" customFormat="1" ht="11.25" hidden="1" customHeight="1" thickBot="1" x14ac:dyDescent="0.25">
      <c r="A72" s="652"/>
      <c r="B72" s="653"/>
      <c r="C72" s="653"/>
      <c r="D72" s="653"/>
      <c r="E72" s="653"/>
      <c r="F72" s="653"/>
      <c r="G72" s="653"/>
      <c r="H72" s="198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200"/>
      <c r="AA72" s="200"/>
      <c r="AB72" s="201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65" customFormat="1" ht="15" hidden="1" customHeight="1" x14ac:dyDescent="0.2">
      <c r="A73" s="660" t="s">
        <v>84</v>
      </c>
      <c r="B73" s="661"/>
      <c r="C73" s="661"/>
      <c r="D73" s="661"/>
      <c r="E73" s="661"/>
      <c r="F73" s="661"/>
      <c r="G73" s="661"/>
      <c r="H73" s="19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94" t="e">
        <f>#REF!</f>
        <v>#REF!</v>
      </c>
      <c r="AA73" s="191"/>
      <c r="AB73" s="195"/>
      <c r="AC73" s="507">
        <f>((R74+(R74*U76)+(R74*Q76)+(R74*M76)+(R74*I76))*Z76)</f>
        <v>0</v>
      </c>
      <c r="AD73" s="507"/>
      <c r="AE73" s="507"/>
      <c r="AF73" s="507"/>
      <c r="AG73" s="507"/>
      <c r="AH73" s="529">
        <v>75</v>
      </c>
      <c r="AI73" s="529"/>
      <c r="AJ73" s="529"/>
      <c r="AK73" s="529"/>
      <c r="AL73" s="529"/>
      <c r="AM73" s="529"/>
      <c r="AN73" s="529">
        <f>AC73/AH73</f>
        <v>0</v>
      </c>
      <c r="AO73" s="529"/>
      <c r="AP73" s="529"/>
      <c r="AQ73" s="529"/>
      <c r="AR73" s="529"/>
      <c r="AS73" s="663">
        <f t="shared" ref="AS73" si="2">U27</f>
        <v>0</v>
      </c>
      <c r="AT73" s="663"/>
      <c r="AU73" s="663"/>
      <c r="AV73" s="663"/>
      <c r="AW73" s="663"/>
      <c r="AX73" s="529">
        <f>AN73*AS73</f>
        <v>0</v>
      </c>
      <c r="AY73" s="529"/>
      <c r="AZ73" s="529"/>
      <c r="BA73" s="529"/>
      <c r="BB73" s="665"/>
    </row>
    <row r="74" spans="1:54" s="165" customFormat="1" ht="21" hidden="1" customHeight="1" thickBot="1" x14ac:dyDescent="0.25">
      <c r="A74" s="652"/>
      <c r="B74" s="653"/>
      <c r="C74" s="653"/>
      <c r="D74" s="653"/>
      <c r="E74" s="653"/>
      <c r="F74" s="653"/>
      <c r="G74" s="653"/>
      <c r="H74" s="658" t="s">
        <v>26</v>
      </c>
      <c r="I74" s="659"/>
      <c r="J74" s="659"/>
      <c r="K74" s="659"/>
      <c r="L74" s="659"/>
      <c r="M74" s="659"/>
      <c r="N74" s="650">
        <v>0</v>
      </c>
      <c r="O74" s="650"/>
      <c r="P74" s="650"/>
      <c r="Q74" s="191" t="s">
        <v>27</v>
      </c>
      <c r="R74" s="650">
        <f>$AX$19*N74</f>
        <v>0</v>
      </c>
      <c r="S74" s="650"/>
      <c r="T74" s="650"/>
      <c r="U74" s="650"/>
      <c r="V74" s="650"/>
      <c r="W74" s="191" t="s">
        <v>28</v>
      </c>
      <c r="X74" s="191" t="s">
        <v>29</v>
      </c>
      <c r="Y74" s="191"/>
      <c r="Z74" s="191"/>
      <c r="AA74" s="191"/>
      <c r="AB74" s="195"/>
      <c r="AC74" s="529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29"/>
      <c r="AS74" s="664"/>
      <c r="AT74" s="664"/>
      <c r="AU74" s="664"/>
      <c r="AV74" s="664"/>
      <c r="AW74" s="664"/>
      <c r="AX74" s="529"/>
      <c r="AY74" s="529"/>
      <c r="AZ74" s="529"/>
      <c r="BA74" s="529"/>
      <c r="BB74" s="665"/>
    </row>
    <row r="75" spans="1:54" s="165" customFormat="1" ht="12" hidden="1" customHeight="1" thickBot="1" x14ac:dyDescent="0.25">
      <c r="A75" s="652"/>
      <c r="B75" s="653"/>
      <c r="C75" s="653"/>
      <c r="D75" s="653"/>
      <c r="E75" s="653"/>
      <c r="F75" s="653"/>
      <c r="G75" s="653"/>
      <c r="H75" s="196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91"/>
      <c r="AA75" s="191"/>
      <c r="AB75" s="195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29"/>
      <c r="AS75" s="664"/>
      <c r="AT75" s="664"/>
      <c r="AU75" s="664"/>
      <c r="AV75" s="664"/>
      <c r="AW75" s="664"/>
      <c r="AX75" s="529"/>
      <c r="AY75" s="529"/>
      <c r="AZ75" s="529"/>
      <c r="BA75" s="529"/>
      <c r="BB75" s="665"/>
    </row>
    <row r="76" spans="1:54" s="165" customFormat="1" ht="15.75" hidden="1" customHeight="1" thickBot="1" x14ac:dyDescent="0.25">
      <c r="A76" s="652"/>
      <c r="B76" s="653"/>
      <c r="C76" s="653"/>
      <c r="D76" s="653"/>
      <c r="E76" s="653"/>
      <c r="F76" s="653"/>
      <c r="G76" s="653"/>
      <c r="H76" s="197" t="s">
        <v>30</v>
      </c>
      <c r="I76" s="654">
        <v>0.2</v>
      </c>
      <c r="J76" s="654"/>
      <c r="K76" s="654"/>
      <c r="L76" s="191" t="s">
        <v>28</v>
      </c>
      <c r="M76" s="654">
        <v>0.15</v>
      </c>
      <c r="N76" s="654"/>
      <c r="O76" s="654"/>
      <c r="P76" s="191" t="s">
        <v>28</v>
      </c>
      <c r="Q76" s="654">
        <v>0.5</v>
      </c>
      <c r="R76" s="654"/>
      <c r="S76" s="654"/>
      <c r="T76" s="191" t="s">
        <v>28</v>
      </c>
      <c r="U76" s="654">
        <v>0</v>
      </c>
      <c r="V76" s="654"/>
      <c r="W76" s="654"/>
      <c r="X76" s="191" t="s">
        <v>31</v>
      </c>
      <c r="Y76" s="191" t="s">
        <v>28</v>
      </c>
      <c r="Z76" s="650">
        <v>2.6</v>
      </c>
      <c r="AA76" s="650"/>
      <c r="AB76" s="651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29"/>
      <c r="AS76" s="664"/>
      <c r="AT76" s="664"/>
      <c r="AU76" s="664"/>
      <c r="AV76" s="664"/>
      <c r="AW76" s="664"/>
      <c r="AX76" s="529"/>
      <c r="AY76" s="529"/>
      <c r="AZ76" s="529"/>
      <c r="BA76" s="529"/>
      <c r="BB76" s="665"/>
    </row>
    <row r="77" spans="1:54" ht="13.5" hidden="1" customHeight="1" thickBot="1" x14ac:dyDescent="0.25">
      <c r="A77" s="652"/>
      <c r="B77" s="653"/>
      <c r="C77" s="653"/>
      <c r="D77" s="653"/>
      <c r="E77" s="653"/>
      <c r="F77" s="653"/>
      <c r="G77" s="653"/>
      <c r="H77" s="198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200"/>
      <c r="AA77" s="200"/>
      <c r="AB77" s="201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29"/>
      <c r="AS77" s="664"/>
      <c r="AT77" s="664"/>
      <c r="AU77" s="664"/>
      <c r="AV77" s="664"/>
      <c r="AW77" s="664"/>
      <c r="AX77" s="529"/>
      <c r="AY77" s="529"/>
      <c r="AZ77" s="529"/>
      <c r="BA77" s="529"/>
      <c r="BB77" s="665"/>
    </row>
    <row r="78" spans="1:54" s="165" customFormat="1" ht="8.25" hidden="1" customHeight="1" x14ac:dyDescent="0.2">
      <c r="A78" s="660" t="s">
        <v>86</v>
      </c>
      <c r="B78" s="661"/>
      <c r="C78" s="661"/>
      <c r="D78" s="661"/>
      <c r="E78" s="661"/>
      <c r="F78" s="661"/>
      <c r="G78" s="661"/>
      <c r="H78" s="19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94" t="e">
        <f>#REF!</f>
        <v>#REF!</v>
      </c>
      <c r="AA78" s="191"/>
      <c r="AB78" s="195"/>
      <c r="AC78" s="662">
        <f>((R79+(R79*U81)+(R79*Q81)+(R79*M81)+(R79*I81))*Z81)*1.15</f>
        <v>0</v>
      </c>
      <c r="AD78" s="662"/>
      <c r="AE78" s="662"/>
      <c r="AF78" s="662"/>
      <c r="AG78" s="662"/>
      <c r="AH78" s="601">
        <v>144</v>
      </c>
      <c r="AI78" s="601"/>
      <c r="AJ78" s="601"/>
      <c r="AK78" s="601"/>
      <c r="AL78" s="601"/>
      <c r="AM78" s="601"/>
      <c r="AN78" s="601">
        <f>AC78/AH78</f>
        <v>0</v>
      </c>
      <c r="AO78" s="601"/>
      <c r="AP78" s="601"/>
      <c r="AQ78" s="601"/>
      <c r="AR78" s="601"/>
      <c r="AS78" s="663">
        <v>72</v>
      </c>
      <c r="AT78" s="663"/>
      <c r="AU78" s="663"/>
      <c r="AV78" s="663"/>
      <c r="AW78" s="663"/>
      <c r="AX78" s="601">
        <f>AN78*AS78</f>
        <v>0</v>
      </c>
      <c r="AY78" s="601"/>
      <c r="AZ78" s="601"/>
      <c r="BA78" s="601"/>
      <c r="BB78" s="655"/>
    </row>
    <row r="79" spans="1:54" s="165" customFormat="1" ht="27" hidden="1" customHeight="1" thickBot="1" x14ac:dyDescent="0.25">
      <c r="A79" s="652"/>
      <c r="B79" s="653"/>
      <c r="C79" s="653"/>
      <c r="D79" s="653"/>
      <c r="E79" s="653"/>
      <c r="F79" s="653"/>
      <c r="G79" s="653"/>
      <c r="H79" s="658" t="s">
        <v>26</v>
      </c>
      <c r="I79" s="659"/>
      <c r="J79" s="659"/>
      <c r="K79" s="659"/>
      <c r="L79" s="659"/>
      <c r="M79" s="659"/>
      <c r="N79" s="650">
        <v>0</v>
      </c>
      <c r="O79" s="650"/>
      <c r="P79" s="650"/>
      <c r="Q79" s="191" t="s">
        <v>27</v>
      </c>
      <c r="R79" s="650">
        <f>$AX$19*N79</f>
        <v>0</v>
      </c>
      <c r="S79" s="650"/>
      <c r="T79" s="650"/>
      <c r="U79" s="650"/>
      <c r="V79" s="650"/>
      <c r="W79" s="191" t="s">
        <v>28</v>
      </c>
      <c r="X79" s="191" t="s">
        <v>29</v>
      </c>
      <c r="Y79" s="191"/>
      <c r="Z79" s="191"/>
      <c r="AA79" s="191"/>
      <c r="AB79" s="195"/>
      <c r="AC79" s="601"/>
      <c r="AD79" s="601"/>
      <c r="AE79" s="601"/>
      <c r="AF79" s="601"/>
      <c r="AG79" s="601"/>
      <c r="AH79" s="601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64"/>
      <c r="AT79" s="664"/>
      <c r="AU79" s="664"/>
      <c r="AV79" s="664"/>
      <c r="AW79" s="664"/>
      <c r="AX79" s="601"/>
      <c r="AY79" s="601"/>
      <c r="AZ79" s="601"/>
      <c r="BA79" s="601"/>
      <c r="BB79" s="655"/>
    </row>
    <row r="80" spans="1:54" s="165" customFormat="1" ht="6.75" hidden="1" customHeight="1" thickBot="1" x14ac:dyDescent="0.25">
      <c r="A80" s="652"/>
      <c r="B80" s="653"/>
      <c r="C80" s="653"/>
      <c r="D80" s="653"/>
      <c r="E80" s="653"/>
      <c r="F80" s="653"/>
      <c r="G80" s="653"/>
      <c r="H80" s="19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91"/>
      <c r="AA80" s="191"/>
      <c r="AB80" s="195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ht="12" hidden="1" customHeight="1" thickBot="1" x14ac:dyDescent="0.25">
      <c r="A81" s="652"/>
      <c r="B81" s="653"/>
      <c r="C81" s="653"/>
      <c r="D81" s="653"/>
      <c r="E81" s="653"/>
      <c r="F81" s="653"/>
      <c r="G81" s="653"/>
      <c r="H81" s="197" t="s">
        <v>30</v>
      </c>
      <c r="I81" s="654">
        <v>0.2</v>
      </c>
      <c r="J81" s="654"/>
      <c r="K81" s="654"/>
      <c r="L81" s="191" t="s">
        <v>28</v>
      </c>
      <c r="M81" s="654">
        <v>0</v>
      </c>
      <c r="N81" s="654"/>
      <c r="O81" s="654"/>
      <c r="P81" s="191" t="s">
        <v>28</v>
      </c>
      <c r="Q81" s="654">
        <v>0</v>
      </c>
      <c r="R81" s="654"/>
      <c r="S81" s="654"/>
      <c r="T81" s="191" t="s">
        <v>28</v>
      </c>
      <c r="U81" s="654">
        <v>0</v>
      </c>
      <c r="V81" s="654"/>
      <c r="W81" s="654"/>
      <c r="X81" s="191" t="s">
        <v>31</v>
      </c>
      <c r="Y81" s="191" t="s">
        <v>28</v>
      </c>
      <c r="Z81" s="650">
        <v>2.6</v>
      </c>
      <c r="AA81" s="650"/>
      <c r="AB81" s="651"/>
      <c r="AC81" s="601"/>
      <c r="AD81" s="601"/>
      <c r="AE81" s="601"/>
      <c r="AF81" s="601"/>
      <c r="AG81" s="601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3.5" hidden="1" customHeight="1" thickBot="1" x14ac:dyDescent="0.25">
      <c r="A82" s="652"/>
      <c r="B82" s="653"/>
      <c r="C82" s="653"/>
      <c r="D82" s="653"/>
      <c r="E82" s="653"/>
      <c r="F82" s="653"/>
      <c r="G82" s="653"/>
      <c r="H82" s="202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4"/>
      <c r="AA82" s="204"/>
      <c r="AB82" s="205"/>
      <c r="AC82" s="601"/>
      <c r="AD82" s="601"/>
      <c r="AE82" s="601"/>
      <c r="AF82" s="601"/>
      <c r="AG82" s="601"/>
      <c r="AH82" s="656"/>
      <c r="AI82" s="656"/>
      <c r="AJ82" s="656"/>
      <c r="AK82" s="656"/>
      <c r="AL82" s="656"/>
      <c r="AM82" s="656"/>
      <c r="AN82" s="656"/>
      <c r="AO82" s="656"/>
      <c r="AP82" s="656"/>
      <c r="AQ82" s="656"/>
      <c r="AR82" s="656"/>
      <c r="AS82" s="664"/>
      <c r="AT82" s="664"/>
      <c r="AU82" s="664"/>
      <c r="AV82" s="664"/>
      <c r="AW82" s="664"/>
      <c r="AX82" s="656"/>
      <c r="AY82" s="656"/>
      <c r="AZ82" s="656"/>
      <c r="BA82" s="656"/>
      <c r="BB82" s="657"/>
    </row>
    <row r="83" spans="1:54" ht="11.25" customHeight="1" x14ac:dyDescent="0.2">
      <c r="R83" s="169" t="s">
        <v>18</v>
      </c>
      <c r="S83" s="170"/>
      <c r="T83" s="170"/>
      <c r="U83" s="171"/>
      <c r="V83" s="171"/>
      <c r="W83" s="171"/>
      <c r="X83" s="171"/>
      <c r="Y83" s="171"/>
      <c r="Z83" s="171"/>
      <c r="AA83" s="171"/>
      <c r="AB83" s="171"/>
      <c r="AC83" s="171"/>
      <c r="AD83" s="171" t="s">
        <v>19</v>
      </c>
      <c r="AE83" s="171" t="s">
        <v>20</v>
      </c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2"/>
      <c r="AS83" s="453">
        <f>AX83/U12</f>
        <v>281.66666666666669</v>
      </c>
      <c r="AT83" s="453"/>
      <c r="AU83" s="453"/>
      <c r="AV83" s="453"/>
      <c r="AW83" s="453"/>
      <c r="AX83" s="453">
        <f>SUM(AX58:BB82)</f>
        <v>10140</v>
      </c>
      <c r="AY83" s="453"/>
      <c r="AZ83" s="453"/>
      <c r="BA83" s="453"/>
      <c r="BB83" s="454"/>
    </row>
    <row r="84" spans="1:54" ht="11.25" customHeight="1" thickBot="1" x14ac:dyDescent="0.25">
      <c r="R84" s="175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 t="s">
        <v>19</v>
      </c>
      <c r="AE84" s="176" t="s">
        <v>21</v>
      </c>
      <c r="AF84" s="176"/>
      <c r="AG84" s="176"/>
      <c r="AH84" s="176"/>
      <c r="AI84" s="176"/>
      <c r="AJ84" s="176"/>
      <c r="AK84" s="176"/>
      <c r="AL84" s="176"/>
      <c r="AM84" s="176"/>
      <c r="AN84" s="176"/>
      <c r="AO84" s="630">
        <v>0.30199999999999999</v>
      </c>
      <c r="AP84" s="631"/>
      <c r="AQ84" s="631"/>
      <c r="AR84" s="632"/>
      <c r="AS84" s="463">
        <f>AX84/U12</f>
        <v>85.063333333333333</v>
      </c>
      <c r="AT84" s="463"/>
      <c r="AU84" s="463"/>
      <c r="AV84" s="463"/>
      <c r="AW84" s="463"/>
      <c r="AX84" s="463">
        <f>AX83*AO84</f>
        <v>3062.2799999999997</v>
      </c>
      <c r="AY84" s="463"/>
      <c r="AZ84" s="463"/>
      <c r="BA84" s="463"/>
      <c r="BB84" s="633"/>
    </row>
    <row r="85" spans="1:54" ht="11.25" customHeight="1" thickBot="1" x14ac:dyDescent="0.25">
      <c r="M85" s="164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206"/>
      <c r="AP85" s="179"/>
      <c r="AQ85" s="179"/>
      <c r="AR85" s="179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</row>
    <row r="86" spans="1:54" ht="12" customHeight="1" x14ac:dyDescent="0.2">
      <c r="A86" s="634" t="s">
        <v>32</v>
      </c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34"/>
      <c r="O86" s="635" t="s">
        <v>33</v>
      </c>
      <c r="P86" s="636"/>
      <c r="Q86" s="636"/>
      <c r="R86" s="636"/>
      <c r="S86" s="636"/>
      <c r="T86" s="636"/>
      <c r="U86" s="636"/>
      <c r="V86" s="636"/>
      <c r="W86" s="636"/>
      <c r="X86" s="636"/>
      <c r="Y86" s="636"/>
      <c r="Z86" s="636"/>
      <c r="AA86" s="636"/>
      <c r="AB86" s="636"/>
      <c r="AC86" s="636"/>
      <c r="AD86" s="636"/>
      <c r="AE86" s="636"/>
      <c r="AF86" s="636"/>
      <c r="AG86" s="636"/>
      <c r="AH86" s="636"/>
      <c r="AI86" s="636"/>
      <c r="AJ86" s="636"/>
      <c r="AK86" s="636"/>
      <c r="AL86" s="636"/>
      <c r="AM86" s="636"/>
      <c r="AN86" s="636"/>
      <c r="AO86" s="637">
        <f>AS34+AS51+AS83</f>
        <v>394.33333333333337</v>
      </c>
      <c r="AP86" s="637"/>
      <c r="AQ86" s="637"/>
      <c r="AR86" s="637"/>
      <c r="AS86" s="637"/>
      <c r="AT86" s="637"/>
      <c r="AU86" s="637"/>
      <c r="AV86" s="637">
        <f>AX34+AX51+AX83</f>
        <v>14196</v>
      </c>
      <c r="AW86" s="637"/>
      <c r="AX86" s="637"/>
      <c r="AY86" s="637"/>
      <c r="AZ86" s="637"/>
      <c r="BA86" s="637"/>
      <c r="BB86" s="638"/>
    </row>
    <row r="87" spans="1:54" ht="12" customHeight="1" thickBot="1" x14ac:dyDescent="0.25">
      <c r="M87" s="163"/>
      <c r="O87" s="643" t="s">
        <v>34</v>
      </c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4"/>
      <c r="AI87" s="644"/>
      <c r="AJ87" s="644"/>
      <c r="AK87" s="644"/>
      <c r="AL87" s="644"/>
      <c r="AM87" s="644"/>
      <c r="AN87" s="644"/>
      <c r="AO87" s="645">
        <f>AS35+AS52+AS84</f>
        <v>119.08866666666667</v>
      </c>
      <c r="AP87" s="645"/>
      <c r="AQ87" s="645"/>
      <c r="AR87" s="645"/>
      <c r="AS87" s="645"/>
      <c r="AT87" s="645"/>
      <c r="AU87" s="645"/>
      <c r="AV87" s="645">
        <f>AX35+AX52+AX84</f>
        <v>4287.192</v>
      </c>
      <c r="AW87" s="645"/>
      <c r="AX87" s="645"/>
      <c r="AY87" s="645"/>
      <c r="AZ87" s="645"/>
      <c r="BA87" s="645"/>
      <c r="BB87" s="646"/>
    </row>
    <row r="88" spans="1:54" ht="12" customHeight="1" thickBot="1" x14ac:dyDescent="0.25">
      <c r="M88" s="208" t="s">
        <v>35</v>
      </c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10"/>
      <c r="AO88" s="647">
        <f>AO87+AO86</f>
        <v>513.42200000000003</v>
      </c>
      <c r="AP88" s="648"/>
      <c r="AQ88" s="648"/>
      <c r="AR88" s="648"/>
      <c r="AS88" s="648"/>
      <c r="AT88" s="648"/>
      <c r="AU88" s="648"/>
      <c r="AV88" s="648">
        <f>AV86+AV87</f>
        <v>18483.191999999999</v>
      </c>
      <c r="AW88" s="648"/>
      <c r="AX88" s="648"/>
      <c r="AY88" s="648"/>
      <c r="AZ88" s="648"/>
      <c r="BA88" s="648"/>
      <c r="BB88" s="649"/>
    </row>
    <row r="89" spans="1:54" ht="10.5" customHeight="1" x14ac:dyDescent="0.2"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</row>
    <row r="90" spans="1:54" s="159" customFormat="1" ht="15" customHeight="1" x14ac:dyDescent="0.2">
      <c r="A90" s="159" t="s">
        <v>36</v>
      </c>
      <c r="C90" s="159" t="s">
        <v>37</v>
      </c>
      <c r="AX90" s="160"/>
      <c r="AY90" s="160"/>
      <c r="AZ90" s="160"/>
      <c r="BA90" s="160"/>
      <c r="BB90" s="160"/>
    </row>
    <row r="91" spans="1:54" ht="12" customHeight="1" thickBot="1" x14ac:dyDescent="0.25"/>
    <row r="92" spans="1:54" s="163" customFormat="1" ht="39" customHeight="1" x14ac:dyDescent="0.2">
      <c r="A92" s="499" t="s">
        <v>38</v>
      </c>
      <c r="B92" s="500"/>
      <c r="C92" s="500"/>
      <c r="D92" s="500"/>
      <c r="E92" s="500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35" t="s">
        <v>39</v>
      </c>
      <c r="R92" s="535"/>
      <c r="S92" s="535"/>
      <c r="T92" s="535"/>
      <c r="U92" s="535"/>
      <c r="V92" s="535"/>
      <c r="W92" s="535"/>
      <c r="X92" s="535" t="s">
        <v>40</v>
      </c>
      <c r="Y92" s="535"/>
      <c r="Z92" s="535"/>
      <c r="AA92" s="535"/>
      <c r="AB92" s="535"/>
      <c r="AC92" s="535"/>
      <c r="AD92" s="535"/>
      <c r="AE92" s="535" t="s">
        <v>41</v>
      </c>
      <c r="AF92" s="535"/>
      <c r="AG92" s="535"/>
      <c r="AH92" s="535"/>
      <c r="AI92" s="535"/>
      <c r="AJ92" s="535"/>
      <c r="AK92" s="535"/>
      <c r="AL92" s="535"/>
      <c r="AM92" s="500" t="s">
        <v>42</v>
      </c>
      <c r="AN92" s="500"/>
      <c r="AO92" s="500"/>
      <c r="AP92" s="500"/>
      <c r="AQ92" s="500"/>
      <c r="AR92" s="500"/>
      <c r="AS92" s="500"/>
      <c r="AT92" s="500"/>
      <c r="AU92" s="500"/>
      <c r="AV92" s="500" t="s">
        <v>43</v>
      </c>
      <c r="AW92" s="500"/>
      <c r="AX92" s="500"/>
      <c r="AY92" s="500"/>
      <c r="AZ92" s="500"/>
      <c r="BA92" s="500"/>
      <c r="BB92" s="639"/>
    </row>
    <row r="93" spans="1:54" s="163" customFormat="1" ht="12" customHeight="1" thickBot="1" x14ac:dyDescent="0.25">
      <c r="A93" s="640">
        <v>1</v>
      </c>
      <c r="B93" s="641"/>
      <c r="C93" s="641"/>
      <c r="D93" s="641"/>
      <c r="E93" s="641"/>
      <c r="F93" s="641"/>
      <c r="G93" s="641"/>
      <c r="H93" s="641"/>
      <c r="I93" s="641"/>
      <c r="J93" s="641"/>
      <c r="K93" s="641"/>
      <c r="L93" s="641"/>
      <c r="M93" s="641"/>
      <c r="N93" s="641"/>
      <c r="O93" s="641"/>
      <c r="P93" s="641"/>
      <c r="Q93" s="641">
        <v>2</v>
      </c>
      <c r="R93" s="641"/>
      <c r="S93" s="641"/>
      <c r="T93" s="641"/>
      <c r="U93" s="641"/>
      <c r="V93" s="641"/>
      <c r="W93" s="641"/>
      <c r="X93" s="641">
        <v>3</v>
      </c>
      <c r="Y93" s="641"/>
      <c r="Z93" s="641"/>
      <c r="AA93" s="641"/>
      <c r="AB93" s="641"/>
      <c r="AC93" s="641"/>
      <c r="AD93" s="641"/>
      <c r="AE93" s="641">
        <v>4</v>
      </c>
      <c r="AF93" s="641"/>
      <c r="AG93" s="641"/>
      <c r="AH93" s="641"/>
      <c r="AI93" s="641"/>
      <c r="AJ93" s="641"/>
      <c r="AK93" s="641"/>
      <c r="AL93" s="641"/>
      <c r="AM93" s="641">
        <v>5</v>
      </c>
      <c r="AN93" s="641"/>
      <c r="AO93" s="641"/>
      <c r="AP93" s="641"/>
      <c r="AQ93" s="641"/>
      <c r="AR93" s="641"/>
      <c r="AS93" s="641"/>
      <c r="AT93" s="641"/>
      <c r="AU93" s="641"/>
      <c r="AV93" s="641">
        <v>6</v>
      </c>
      <c r="AW93" s="641"/>
      <c r="AX93" s="641"/>
      <c r="AY93" s="641"/>
      <c r="AZ93" s="641"/>
      <c r="BA93" s="641"/>
      <c r="BB93" s="642"/>
    </row>
    <row r="94" spans="1:54" ht="15" customHeight="1" x14ac:dyDescent="0.2">
      <c r="A94" s="618" t="s">
        <v>44</v>
      </c>
      <c r="B94" s="619"/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9"/>
      <c r="Q94" s="572">
        <v>5014.7</v>
      </c>
      <c r="R94" s="573"/>
      <c r="S94" s="573"/>
      <c r="T94" s="573"/>
      <c r="U94" s="573"/>
      <c r="V94" s="573"/>
      <c r="W94" s="574"/>
      <c r="X94" s="572">
        <v>53.8</v>
      </c>
      <c r="Y94" s="573"/>
      <c r="Z94" s="573"/>
      <c r="AA94" s="573"/>
      <c r="AB94" s="573"/>
      <c r="AC94" s="573"/>
      <c r="AD94" s="574"/>
      <c r="AE94" s="477">
        <v>1543273.99</v>
      </c>
      <c r="AF94" s="477"/>
      <c r="AG94" s="477"/>
      <c r="AH94" s="477"/>
      <c r="AI94" s="477"/>
      <c r="AJ94" s="477"/>
      <c r="AK94" s="477"/>
      <c r="AL94" s="477"/>
      <c r="AM94" s="620" t="s">
        <v>45</v>
      </c>
      <c r="AN94" s="621"/>
      <c r="AO94" s="621"/>
      <c r="AP94" s="621"/>
      <c r="AQ94" s="621"/>
      <c r="AR94" s="621"/>
      <c r="AS94" s="621"/>
      <c r="AT94" s="621"/>
      <c r="AU94" s="622"/>
      <c r="AV94" s="615">
        <f>AE94/$Q$94*$X$94/($AN$95*$AN$96)</f>
        <v>5.5860157548413607</v>
      </c>
      <c r="AW94" s="615"/>
      <c r="AX94" s="615"/>
      <c r="AY94" s="615"/>
      <c r="AZ94" s="615"/>
      <c r="BA94" s="615"/>
      <c r="BB94" s="616"/>
    </row>
    <row r="95" spans="1:54" ht="15" customHeight="1" x14ac:dyDescent="0.2">
      <c r="A95" s="618" t="s">
        <v>46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/>
      <c r="R95" s="573"/>
      <c r="S95" s="573"/>
      <c r="T95" s="573"/>
      <c r="U95" s="573"/>
      <c r="V95" s="573"/>
      <c r="W95" s="574"/>
      <c r="X95" s="572"/>
      <c r="Y95" s="573"/>
      <c r="Z95" s="573"/>
      <c r="AA95" s="573"/>
      <c r="AB95" s="573"/>
      <c r="AC95" s="573"/>
      <c r="AD95" s="574"/>
      <c r="AE95" s="529">
        <v>2640483.81</v>
      </c>
      <c r="AF95" s="529"/>
      <c r="AG95" s="529"/>
      <c r="AH95" s="529"/>
      <c r="AI95" s="529"/>
      <c r="AJ95" s="529"/>
      <c r="AK95" s="529"/>
      <c r="AL95" s="529"/>
      <c r="AM95" s="213"/>
      <c r="AN95" s="623">
        <v>247</v>
      </c>
      <c r="AO95" s="623"/>
      <c r="AP95" s="623"/>
      <c r="AQ95" s="617" t="s">
        <v>47</v>
      </c>
      <c r="AR95" s="617"/>
      <c r="AS95" s="617"/>
      <c r="AT95" s="617"/>
      <c r="AU95" s="214"/>
      <c r="AV95" s="615">
        <f>AE95/$Q$94*$X$94/($AN$95*$AN$96)</f>
        <v>9.5574630678921384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449" t="s">
        <v>48</v>
      </c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  <c r="M96" s="450"/>
      <c r="N96" s="450"/>
      <c r="O96" s="450"/>
      <c r="P96" s="451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529">
        <v>4214618.8899999997</v>
      </c>
      <c r="AF96" s="529"/>
      <c r="AG96" s="529"/>
      <c r="AH96" s="529"/>
      <c r="AI96" s="529"/>
      <c r="AJ96" s="529"/>
      <c r="AK96" s="529"/>
      <c r="AL96" s="529"/>
      <c r="AM96" s="213"/>
      <c r="AN96" s="562">
        <v>12</v>
      </c>
      <c r="AO96" s="562"/>
      <c r="AP96" s="562"/>
      <c r="AQ96" s="617" t="s">
        <v>49</v>
      </c>
      <c r="AR96" s="617"/>
      <c r="AS96" s="617"/>
      <c r="AT96" s="617"/>
      <c r="AU96" s="214"/>
      <c r="AV96" s="615">
        <f>AE96/$Q$94*$X$94/($AN$95*$AN$96)</f>
        <v>15.255183248563661</v>
      </c>
      <c r="AW96" s="615"/>
      <c r="AX96" s="615"/>
      <c r="AY96" s="615"/>
      <c r="AZ96" s="615"/>
      <c r="BA96" s="615"/>
      <c r="BB96" s="616"/>
    </row>
    <row r="97" spans="1:57" ht="15" customHeight="1" thickBot="1" x14ac:dyDescent="0.25">
      <c r="A97" s="624" t="s">
        <v>50</v>
      </c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6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627">
        <v>1852856.09</v>
      </c>
      <c r="AF97" s="627"/>
      <c r="AG97" s="627"/>
      <c r="AH97" s="627"/>
      <c r="AI97" s="627"/>
      <c r="AJ97" s="627"/>
      <c r="AK97" s="627"/>
      <c r="AL97" s="627"/>
      <c r="AM97" s="213"/>
      <c r="AN97" s="186"/>
      <c r="AO97" s="186"/>
      <c r="AP97" s="186"/>
      <c r="AQ97" s="186"/>
      <c r="AR97" s="186"/>
      <c r="AS97" s="186"/>
      <c r="AT97" s="186"/>
      <c r="AU97" s="214"/>
      <c r="AV97" s="628">
        <f>AE97/$Q$94*$X$94/($AN$95*$AN$96)</f>
        <v>6.7065753568449384</v>
      </c>
      <c r="AW97" s="628"/>
      <c r="AX97" s="628"/>
      <c r="AY97" s="628"/>
      <c r="AZ97" s="628"/>
      <c r="BA97" s="628"/>
      <c r="BB97" s="629"/>
    </row>
    <row r="98" spans="1:57" s="161" customFormat="1" ht="15" customHeight="1" thickBot="1" x14ac:dyDescent="0.25">
      <c r="A98" s="610" t="s">
        <v>51</v>
      </c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531">
        <f>Q94</f>
        <v>5014.7</v>
      </c>
      <c r="R98" s="533"/>
      <c r="S98" s="533"/>
      <c r="T98" s="533"/>
      <c r="U98" s="533"/>
      <c r="V98" s="533"/>
      <c r="W98" s="534"/>
      <c r="X98" s="531">
        <f>X94</f>
        <v>53.8</v>
      </c>
      <c r="Y98" s="533"/>
      <c r="Z98" s="533"/>
      <c r="AA98" s="533"/>
      <c r="AB98" s="533"/>
      <c r="AC98" s="533"/>
      <c r="AD98" s="534"/>
      <c r="AE98" s="612">
        <f>SUM(AE94:AL97)</f>
        <v>10251232.779999999</v>
      </c>
      <c r="AF98" s="612"/>
      <c r="AG98" s="612"/>
      <c r="AH98" s="612"/>
      <c r="AI98" s="612"/>
      <c r="AJ98" s="612"/>
      <c r="AK98" s="612"/>
      <c r="AL98" s="612"/>
      <c r="AM98" s="531" t="s">
        <v>17</v>
      </c>
      <c r="AN98" s="533"/>
      <c r="AO98" s="533"/>
      <c r="AP98" s="533"/>
      <c r="AQ98" s="533"/>
      <c r="AR98" s="533"/>
      <c r="AS98" s="533"/>
      <c r="AT98" s="533"/>
      <c r="AU98" s="534"/>
      <c r="AV98" s="613">
        <f>SUM(AV94:BB97)</f>
        <v>37.105237428142097</v>
      </c>
      <c r="AW98" s="613"/>
      <c r="AX98" s="613"/>
      <c r="AY98" s="613"/>
      <c r="AZ98" s="613"/>
      <c r="BA98" s="613"/>
      <c r="BB98" s="614"/>
    </row>
    <row r="99" spans="1:57" ht="12" customHeight="1" x14ac:dyDescent="0.2"/>
    <row r="100" spans="1:57" s="159" customFormat="1" ht="15" customHeight="1" x14ac:dyDescent="0.2">
      <c r="A100" s="159" t="s">
        <v>52</v>
      </c>
      <c r="C100" s="159" t="s">
        <v>53</v>
      </c>
      <c r="AX100" s="160"/>
      <c r="AY100" s="160"/>
      <c r="AZ100" s="160"/>
      <c r="BA100" s="160"/>
      <c r="BB100" s="160"/>
    </row>
    <row r="101" spans="1:57" ht="12" customHeight="1" thickBot="1" x14ac:dyDescent="0.25"/>
    <row r="102" spans="1:57" ht="39" customHeight="1" x14ac:dyDescent="0.2">
      <c r="A102" s="585" t="s">
        <v>54</v>
      </c>
      <c r="B102" s="586"/>
      <c r="C102" s="586"/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7"/>
      <c r="AA102" s="536" t="s">
        <v>55</v>
      </c>
      <c r="AB102" s="537"/>
      <c r="AC102" s="537"/>
      <c r="AD102" s="537"/>
      <c r="AE102" s="537"/>
      <c r="AF102" s="538"/>
      <c r="AG102" s="536" t="s">
        <v>56</v>
      </c>
      <c r="AH102" s="537"/>
      <c r="AI102" s="537"/>
      <c r="AJ102" s="537"/>
      <c r="AK102" s="537"/>
      <c r="AL102" s="538"/>
      <c r="AM102" s="588" t="s">
        <v>57</v>
      </c>
      <c r="AN102" s="586"/>
      <c r="AO102" s="586"/>
      <c r="AP102" s="586"/>
      <c r="AQ102" s="586"/>
      <c r="AR102" s="586"/>
      <c r="AS102" s="586"/>
      <c r="AT102" s="587"/>
      <c r="AU102" s="588" t="s">
        <v>43</v>
      </c>
      <c r="AV102" s="586"/>
      <c r="AW102" s="586"/>
      <c r="AX102" s="586"/>
      <c r="AY102" s="586"/>
      <c r="AZ102" s="586"/>
      <c r="BA102" s="586"/>
      <c r="BB102" s="589"/>
    </row>
    <row r="103" spans="1:57" ht="15.75" customHeight="1" thickBot="1" x14ac:dyDescent="0.25">
      <c r="A103" s="564">
        <v>1</v>
      </c>
      <c r="B103" s="475"/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5"/>
      <c r="O103" s="475"/>
      <c r="P103" s="475"/>
      <c r="Q103" s="475"/>
      <c r="R103" s="475"/>
      <c r="S103" s="475"/>
      <c r="T103" s="475"/>
      <c r="U103" s="475"/>
      <c r="V103" s="475"/>
      <c r="W103" s="475"/>
      <c r="X103" s="475"/>
      <c r="Y103" s="475"/>
      <c r="Z103" s="476"/>
      <c r="AA103" s="474">
        <v>2</v>
      </c>
      <c r="AB103" s="475"/>
      <c r="AC103" s="475"/>
      <c r="AD103" s="475"/>
      <c r="AE103" s="475"/>
      <c r="AF103" s="476"/>
      <c r="AG103" s="474">
        <v>3</v>
      </c>
      <c r="AH103" s="475"/>
      <c r="AI103" s="475"/>
      <c r="AJ103" s="475"/>
      <c r="AK103" s="475"/>
      <c r="AL103" s="476"/>
      <c r="AM103" s="474">
        <v>4</v>
      </c>
      <c r="AN103" s="475"/>
      <c r="AO103" s="475"/>
      <c r="AP103" s="475"/>
      <c r="AQ103" s="475"/>
      <c r="AR103" s="475"/>
      <c r="AS103" s="475"/>
      <c r="AT103" s="476"/>
      <c r="AU103" s="474">
        <v>5</v>
      </c>
      <c r="AV103" s="475"/>
      <c r="AW103" s="475"/>
      <c r="AX103" s="475"/>
      <c r="AY103" s="475"/>
      <c r="AZ103" s="475"/>
      <c r="BA103" s="475"/>
      <c r="BB103" s="565"/>
    </row>
    <row r="104" spans="1:57" ht="1.5" hidden="1" customHeight="1" x14ac:dyDescent="0.2">
      <c r="A104" s="566" t="s">
        <v>77</v>
      </c>
      <c r="B104" s="567"/>
      <c r="C104" s="567"/>
      <c r="D104" s="567"/>
      <c r="E104" s="567"/>
      <c r="F104" s="567"/>
      <c r="G104" s="567"/>
      <c r="H104" s="567"/>
      <c r="I104" s="567"/>
      <c r="J104" s="567"/>
      <c r="K104" s="567"/>
      <c r="L104" s="567"/>
      <c r="M104" s="567"/>
      <c r="N104" s="567"/>
      <c r="O104" s="567"/>
      <c r="P104" s="567"/>
      <c r="Q104" s="567"/>
      <c r="R104" s="567"/>
      <c r="S104" s="567"/>
      <c r="T104" s="567"/>
      <c r="U104" s="567"/>
      <c r="V104" s="567"/>
      <c r="W104" s="567"/>
      <c r="X104" s="567"/>
      <c r="Y104" s="567"/>
      <c r="Z104" s="568"/>
      <c r="AA104" s="604"/>
      <c r="AB104" s="605"/>
      <c r="AC104" s="605"/>
      <c r="AD104" s="605"/>
      <c r="AE104" s="605"/>
      <c r="AF104" s="606"/>
      <c r="AG104" s="569">
        <f>U12</f>
        <v>36</v>
      </c>
      <c r="AH104" s="570"/>
      <c r="AI104" s="570"/>
      <c r="AJ104" s="570"/>
      <c r="AK104" s="570"/>
      <c r="AL104" s="571"/>
      <c r="AM104" s="569" t="s">
        <v>58</v>
      </c>
      <c r="AN104" s="570"/>
      <c r="AO104" s="570"/>
      <c r="AP104" s="570"/>
      <c r="AQ104" s="570"/>
      <c r="AR104" s="570"/>
      <c r="AS104" s="570"/>
      <c r="AT104" s="571"/>
      <c r="AU104" s="607">
        <f>AA104/AG104</f>
        <v>0</v>
      </c>
      <c r="AV104" s="608"/>
      <c r="AW104" s="608"/>
      <c r="AX104" s="608"/>
      <c r="AY104" s="608"/>
      <c r="AZ104" s="608"/>
      <c r="BA104" s="608"/>
      <c r="BB104" s="609"/>
    </row>
    <row r="105" spans="1:57" ht="20.25" customHeight="1" x14ac:dyDescent="0.2">
      <c r="A105" s="853" t="s">
        <v>90</v>
      </c>
      <c r="B105" s="854"/>
      <c r="C105" s="854"/>
      <c r="D105" s="854"/>
      <c r="E105" s="854"/>
      <c r="F105" s="854"/>
      <c r="G105" s="854"/>
      <c r="H105" s="854"/>
      <c r="I105" s="854"/>
      <c r="J105" s="854"/>
      <c r="K105" s="854"/>
      <c r="L105" s="854"/>
      <c r="M105" s="854"/>
      <c r="N105" s="854"/>
      <c r="O105" s="854"/>
      <c r="P105" s="854"/>
      <c r="Q105" s="854"/>
      <c r="R105" s="854"/>
      <c r="S105" s="854"/>
      <c r="T105" s="854"/>
      <c r="U105" s="854"/>
      <c r="V105" s="854"/>
      <c r="W105" s="854"/>
      <c r="X105" s="854"/>
      <c r="Y105" s="854"/>
      <c r="Z105" s="855"/>
      <c r="AA105" s="596">
        <v>300</v>
      </c>
      <c r="AB105" s="597"/>
      <c r="AC105" s="597"/>
      <c r="AD105" s="597"/>
      <c r="AE105" s="597"/>
      <c r="AF105" s="59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590">
        <f>AA105/AG104</f>
        <v>8.3333333333333339</v>
      </c>
      <c r="AV105" s="591"/>
      <c r="AW105" s="591"/>
      <c r="AX105" s="591"/>
      <c r="AY105" s="591"/>
      <c r="AZ105" s="591"/>
      <c r="BA105" s="591"/>
      <c r="BB105" s="592"/>
    </row>
    <row r="106" spans="1:57" ht="20.25" customHeight="1" x14ac:dyDescent="0.2">
      <c r="A106" s="853" t="s">
        <v>105</v>
      </c>
      <c r="B106" s="854"/>
      <c r="C106" s="854"/>
      <c r="D106" s="854"/>
      <c r="E106" s="854"/>
      <c r="F106" s="854"/>
      <c r="G106" s="854"/>
      <c r="H106" s="854"/>
      <c r="I106" s="854"/>
      <c r="J106" s="854"/>
      <c r="K106" s="854"/>
      <c r="L106" s="854"/>
      <c r="M106" s="854"/>
      <c r="N106" s="854"/>
      <c r="O106" s="854"/>
      <c r="P106" s="854"/>
      <c r="Q106" s="854"/>
      <c r="R106" s="854"/>
      <c r="S106" s="854"/>
      <c r="T106" s="854"/>
      <c r="U106" s="854"/>
      <c r="V106" s="854"/>
      <c r="W106" s="854"/>
      <c r="X106" s="854"/>
      <c r="Y106" s="854"/>
      <c r="Z106" s="855"/>
      <c r="AA106" s="596">
        <v>100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AA106/AG104</f>
        <v>2.7777777777777777</v>
      </c>
      <c r="AV106" s="591"/>
      <c r="AW106" s="591"/>
      <c r="AX106" s="591"/>
      <c r="AY106" s="591"/>
      <c r="AZ106" s="591"/>
      <c r="BA106" s="591"/>
      <c r="BB106" s="592"/>
      <c r="BE106" s="117">
        <f>AU106*12*4</f>
        <v>133.33333333333331</v>
      </c>
    </row>
    <row r="107" spans="1:57" ht="22.5" customHeight="1" x14ac:dyDescent="0.2">
      <c r="A107" s="853" t="s">
        <v>96</v>
      </c>
      <c r="B107" s="854"/>
      <c r="C107" s="854"/>
      <c r="D107" s="854"/>
      <c r="E107" s="854"/>
      <c r="F107" s="854"/>
      <c r="G107" s="854"/>
      <c r="H107" s="854"/>
      <c r="I107" s="854"/>
      <c r="J107" s="854"/>
      <c r="K107" s="854"/>
      <c r="L107" s="854"/>
      <c r="M107" s="854"/>
      <c r="N107" s="854"/>
      <c r="O107" s="854"/>
      <c r="P107" s="854"/>
      <c r="Q107" s="854"/>
      <c r="R107" s="854"/>
      <c r="S107" s="854"/>
      <c r="T107" s="854"/>
      <c r="U107" s="854"/>
      <c r="V107" s="854"/>
      <c r="W107" s="854"/>
      <c r="X107" s="854"/>
      <c r="Y107" s="854"/>
      <c r="Z107" s="855"/>
      <c r="AA107" s="596">
        <v>25</v>
      </c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AA107/AG104</f>
        <v>0.69444444444444442</v>
      </c>
      <c r="AV107" s="591"/>
      <c r="AW107" s="591"/>
      <c r="AX107" s="591"/>
      <c r="AY107" s="591"/>
      <c r="AZ107" s="591"/>
      <c r="BA107" s="591"/>
      <c r="BB107" s="592"/>
    </row>
    <row r="108" spans="1:57" ht="26.25" customHeight="1" x14ac:dyDescent="0.2">
      <c r="A108" s="833" t="s">
        <v>197</v>
      </c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3"/>
      <c r="AA108" s="596">
        <v>1000</v>
      </c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>
        <f>AA108/AG104</f>
        <v>27.777777777777779</v>
      </c>
      <c r="AV108" s="591"/>
      <c r="AW108" s="591"/>
      <c r="AX108" s="591"/>
      <c r="AY108" s="591"/>
      <c r="AZ108" s="591"/>
      <c r="BA108" s="591"/>
      <c r="BB108" s="592"/>
    </row>
    <row r="109" spans="1:57" ht="19.5" customHeight="1" x14ac:dyDescent="0.2">
      <c r="A109" s="853" t="s">
        <v>198</v>
      </c>
      <c r="B109" s="854"/>
      <c r="C109" s="854"/>
      <c r="D109" s="854"/>
      <c r="E109" s="854"/>
      <c r="F109" s="854"/>
      <c r="G109" s="854"/>
      <c r="H109" s="854"/>
      <c r="I109" s="854"/>
      <c r="J109" s="854"/>
      <c r="K109" s="854"/>
      <c r="L109" s="854"/>
      <c r="M109" s="854"/>
      <c r="N109" s="854"/>
      <c r="O109" s="854"/>
      <c r="P109" s="854"/>
      <c r="Q109" s="854"/>
      <c r="R109" s="854"/>
      <c r="S109" s="854"/>
      <c r="T109" s="854"/>
      <c r="U109" s="854"/>
      <c r="V109" s="854"/>
      <c r="W109" s="854"/>
      <c r="X109" s="854"/>
      <c r="Y109" s="854"/>
      <c r="Z109" s="855"/>
      <c r="AA109" s="596">
        <v>700</v>
      </c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590">
        <f>AA109/AG104</f>
        <v>19.444444444444443</v>
      </c>
      <c r="AV109" s="591"/>
      <c r="AW109" s="591"/>
      <c r="AX109" s="591"/>
      <c r="AY109" s="591"/>
      <c r="AZ109" s="591"/>
      <c r="BA109" s="591"/>
      <c r="BB109" s="592"/>
    </row>
    <row r="110" spans="1:57" ht="21.75" customHeight="1" x14ac:dyDescent="0.2">
      <c r="A110" s="853" t="s">
        <v>199</v>
      </c>
      <c r="B110" s="854"/>
      <c r="C110" s="854"/>
      <c r="D110" s="854"/>
      <c r="E110" s="854"/>
      <c r="F110" s="854"/>
      <c r="G110" s="854"/>
      <c r="H110" s="854"/>
      <c r="I110" s="854"/>
      <c r="J110" s="854"/>
      <c r="K110" s="854"/>
      <c r="L110" s="854"/>
      <c r="M110" s="854"/>
      <c r="N110" s="854"/>
      <c r="O110" s="854"/>
      <c r="P110" s="854"/>
      <c r="Q110" s="854"/>
      <c r="R110" s="854"/>
      <c r="S110" s="854"/>
      <c r="T110" s="854"/>
      <c r="U110" s="854"/>
      <c r="V110" s="854"/>
      <c r="W110" s="854"/>
      <c r="X110" s="854"/>
      <c r="Y110" s="854"/>
      <c r="Z110" s="855"/>
      <c r="AA110" s="596">
        <v>1922.02</v>
      </c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590">
        <f>AA110/AG104</f>
        <v>53.389444444444443</v>
      </c>
      <c r="AV110" s="591"/>
      <c r="AW110" s="591"/>
      <c r="AX110" s="591"/>
      <c r="AY110" s="591"/>
      <c r="AZ110" s="591"/>
      <c r="BA110" s="591"/>
      <c r="BB110" s="592"/>
    </row>
    <row r="111" spans="1:57" ht="19.5" hidden="1" customHeight="1" x14ac:dyDescent="0.2">
      <c r="A111" s="593"/>
      <c r="B111" s="594"/>
      <c r="C111" s="594"/>
      <c r="D111" s="594"/>
      <c r="E111" s="594"/>
      <c r="F111" s="594"/>
      <c r="G111" s="594"/>
      <c r="H111" s="594"/>
      <c r="I111" s="594"/>
      <c r="J111" s="594"/>
      <c r="K111" s="594"/>
      <c r="L111" s="594"/>
      <c r="M111" s="594"/>
      <c r="N111" s="594"/>
      <c r="O111" s="594"/>
      <c r="P111" s="594"/>
      <c r="Q111" s="594"/>
      <c r="R111" s="594"/>
      <c r="S111" s="594"/>
      <c r="T111" s="594"/>
      <c r="U111" s="594"/>
      <c r="V111" s="594"/>
      <c r="W111" s="594"/>
      <c r="X111" s="594"/>
      <c r="Y111" s="594"/>
      <c r="Z111" s="595"/>
      <c r="AA111" s="596"/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AA111/AG104</f>
        <v>0</v>
      </c>
      <c r="AV111" s="591"/>
      <c r="AW111" s="591"/>
      <c r="AX111" s="591"/>
      <c r="AY111" s="591"/>
      <c r="AZ111" s="591"/>
      <c r="BA111" s="591"/>
      <c r="BB111" s="592"/>
    </row>
    <row r="112" spans="1:57" ht="20.25" hidden="1" customHeight="1" x14ac:dyDescent="0.2">
      <c r="A112" s="593"/>
      <c r="B112" s="594"/>
      <c r="C112" s="594"/>
      <c r="D112" s="594"/>
      <c r="E112" s="594"/>
      <c r="F112" s="594"/>
      <c r="G112" s="594"/>
      <c r="H112" s="594"/>
      <c r="I112" s="594"/>
      <c r="J112" s="594"/>
      <c r="K112" s="594"/>
      <c r="L112" s="594"/>
      <c r="M112" s="594"/>
      <c r="N112" s="594"/>
      <c r="O112" s="594"/>
      <c r="P112" s="594"/>
      <c r="Q112" s="594"/>
      <c r="R112" s="594"/>
      <c r="S112" s="594"/>
      <c r="T112" s="594"/>
      <c r="U112" s="594"/>
      <c r="V112" s="594"/>
      <c r="W112" s="594"/>
      <c r="X112" s="594"/>
      <c r="Y112" s="594"/>
      <c r="Z112" s="595"/>
      <c r="AA112" s="596"/>
      <c r="AB112" s="597"/>
      <c r="AC112" s="597"/>
      <c r="AD112" s="597"/>
      <c r="AE112" s="597"/>
      <c r="AF112" s="598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AA112/AG104</f>
        <v>0</v>
      </c>
      <c r="AV112" s="591"/>
      <c r="AW112" s="591"/>
      <c r="AX112" s="591"/>
      <c r="AY112" s="591"/>
      <c r="AZ112" s="591"/>
      <c r="BA112" s="591"/>
      <c r="BB112" s="592"/>
    </row>
    <row r="113" spans="1:54" ht="16.5" hidden="1" customHeight="1" x14ac:dyDescent="0.2">
      <c r="A113" s="593"/>
      <c r="B113" s="594"/>
      <c r="C113" s="594"/>
      <c r="D113" s="594"/>
      <c r="E113" s="594"/>
      <c r="F113" s="594"/>
      <c r="G113" s="594"/>
      <c r="H113" s="594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4"/>
      <c r="Z113" s="595"/>
      <c r="AA113" s="596"/>
      <c r="AB113" s="597"/>
      <c r="AC113" s="597"/>
      <c r="AD113" s="597"/>
      <c r="AE113" s="597"/>
      <c r="AF113" s="598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AA113/AG104</f>
        <v>0</v>
      </c>
      <c r="AV113" s="591"/>
      <c r="AW113" s="591"/>
      <c r="AX113" s="591"/>
      <c r="AY113" s="591"/>
      <c r="AZ113" s="591"/>
      <c r="BA113" s="591"/>
      <c r="BB113" s="592"/>
    </row>
    <row r="114" spans="1:54" s="161" customFormat="1" ht="19.5" hidden="1" customHeight="1" x14ac:dyDescent="0.2">
      <c r="A114" s="593"/>
      <c r="B114" s="594"/>
      <c r="C114" s="594"/>
      <c r="D114" s="594"/>
      <c r="E114" s="594"/>
      <c r="F114" s="594"/>
      <c r="G114" s="594"/>
      <c r="H114" s="594"/>
      <c r="I114" s="594"/>
      <c r="J114" s="594"/>
      <c r="K114" s="594"/>
      <c r="L114" s="594"/>
      <c r="M114" s="594"/>
      <c r="N114" s="594"/>
      <c r="O114" s="594"/>
      <c r="P114" s="594"/>
      <c r="Q114" s="594"/>
      <c r="R114" s="594"/>
      <c r="S114" s="594"/>
      <c r="T114" s="594"/>
      <c r="U114" s="594"/>
      <c r="V114" s="594"/>
      <c r="W114" s="594"/>
      <c r="X114" s="594"/>
      <c r="Y114" s="594"/>
      <c r="Z114" s="595"/>
      <c r="AA114" s="596"/>
      <c r="AB114" s="597"/>
      <c r="AC114" s="597"/>
      <c r="AD114" s="597"/>
      <c r="AE114" s="597"/>
      <c r="AF114" s="598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AA114/AG104</f>
        <v>0</v>
      </c>
      <c r="AV114" s="591"/>
      <c r="AW114" s="591"/>
      <c r="AX114" s="591"/>
      <c r="AY114" s="591"/>
      <c r="AZ114" s="591"/>
      <c r="BA114" s="591"/>
      <c r="BB114" s="592"/>
    </row>
    <row r="115" spans="1:54" ht="1.5" hidden="1" customHeight="1" x14ac:dyDescent="0.2">
      <c r="A115" s="593"/>
      <c r="B115" s="594"/>
      <c r="C115" s="594"/>
      <c r="D115" s="594"/>
      <c r="E115" s="594"/>
      <c r="F115" s="594"/>
      <c r="G115" s="594"/>
      <c r="H115" s="594"/>
      <c r="I115" s="594"/>
      <c r="J115" s="594"/>
      <c r="K115" s="594"/>
      <c r="L115" s="594"/>
      <c r="M115" s="594"/>
      <c r="N115" s="594"/>
      <c r="O115" s="594"/>
      <c r="P115" s="594"/>
      <c r="Q115" s="594"/>
      <c r="R115" s="594"/>
      <c r="S115" s="594"/>
      <c r="T115" s="594"/>
      <c r="U115" s="594"/>
      <c r="V115" s="594"/>
      <c r="W115" s="594"/>
      <c r="X115" s="594"/>
      <c r="Y115" s="594"/>
      <c r="Z115" s="595"/>
      <c r="AA115" s="596"/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AA115/AG104</f>
        <v>0</v>
      </c>
      <c r="AV115" s="591"/>
      <c r="AW115" s="591"/>
      <c r="AX115" s="591"/>
      <c r="AY115" s="591"/>
      <c r="AZ115" s="591"/>
      <c r="BA115" s="591"/>
      <c r="BB115" s="592"/>
    </row>
    <row r="116" spans="1:54" s="159" customFormat="1" ht="17.25" hidden="1" customHeight="1" x14ac:dyDescent="0.2">
      <c r="A116" s="593"/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5"/>
      <c r="AA116" s="596"/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AA116/AG104</f>
        <v>0</v>
      </c>
      <c r="AV116" s="591"/>
      <c r="AW116" s="591"/>
      <c r="AX116" s="591"/>
      <c r="AY116" s="591"/>
      <c r="AZ116" s="591"/>
      <c r="BA116" s="591"/>
      <c r="BB116" s="592"/>
    </row>
    <row r="117" spans="1:54" ht="20.25" hidden="1" customHeight="1" x14ac:dyDescent="0.2">
      <c r="A117" s="593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AA117/AG104</f>
        <v>0</v>
      </c>
      <c r="AV117" s="591"/>
      <c r="AW117" s="591"/>
      <c r="AX117" s="591"/>
      <c r="AY117" s="591"/>
      <c r="AZ117" s="591"/>
      <c r="BA117" s="591"/>
      <c r="BB117" s="592"/>
    </row>
    <row r="118" spans="1:54" ht="18.75" hidden="1" customHeight="1" x14ac:dyDescent="0.2">
      <c r="A118" s="593"/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596"/>
      <c r="AB118" s="597"/>
      <c r="AC118" s="597"/>
      <c r="AD118" s="597"/>
      <c r="AE118" s="597"/>
      <c r="AF118" s="59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AA118/AG104</f>
        <v>0</v>
      </c>
      <c r="AV118" s="591"/>
      <c r="AW118" s="591"/>
      <c r="AX118" s="591"/>
      <c r="AY118" s="591"/>
      <c r="AZ118" s="591"/>
      <c r="BA118" s="591"/>
      <c r="BB118" s="592"/>
    </row>
    <row r="119" spans="1:54" ht="37.5" hidden="1" customHeight="1" x14ac:dyDescent="0.2">
      <c r="A119" s="593"/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596"/>
      <c r="AB119" s="597"/>
      <c r="AC119" s="597"/>
      <c r="AD119" s="597"/>
      <c r="AE119" s="597"/>
      <c r="AF119" s="59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AA119/AG104</f>
        <v>0</v>
      </c>
      <c r="AV119" s="591"/>
      <c r="AW119" s="591"/>
      <c r="AX119" s="591"/>
      <c r="AY119" s="591"/>
      <c r="AZ119" s="591"/>
      <c r="BA119" s="591"/>
      <c r="BB119" s="592"/>
    </row>
    <row r="120" spans="1:54" ht="28.5" hidden="1" customHeight="1" x14ac:dyDescent="0.2">
      <c r="A120" s="593"/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5"/>
      <c r="AA120" s="596"/>
      <c r="AB120" s="597"/>
      <c r="AC120" s="597"/>
      <c r="AD120" s="597"/>
      <c r="AE120" s="597"/>
      <c r="AF120" s="598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90">
        <f>AA120/AG104</f>
        <v>0</v>
      </c>
      <c r="AV120" s="591"/>
      <c r="AW120" s="591"/>
      <c r="AX120" s="591"/>
      <c r="AY120" s="591"/>
      <c r="AZ120" s="591"/>
      <c r="BA120" s="591"/>
      <c r="BB120" s="592"/>
    </row>
    <row r="121" spans="1:54" ht="21" hidden="1" customHeight="1" x14ac:dyDescent="0.2">
      <c r="A121" s="593"/>
      <c r="B121" s="594"/>
      <c r="C121" s="594"/>
      <c r="D121" s="594"/>
      <c r="E121" s="594"/>
      <c r="F121" s="594"/>
      <c r="G121" s="594"/>
      <c r="H121" s="594"/>
      <c r="I121" s="594"/>
      <c r="J121" s="594"/>
      <c r="K121" s="594"/>
      <c r="L121" s="594"/>
      <c r="M121" s="594"/>
      <c r="N121" s="594"/>
      <c r="O121" s="594"/>
      <c r="P121" s="594"/>
      <c r="Q121" s="594"/>
      <c r="R121" s="594"/>
      <c r="S121" s="594"/>
      <c r="T121" s="594"/>
      <c r="U121" s="594"/>
      <c r="V121" s="594"/>
      <c r="W121" s="594"/>
      <c r="X121" s="594"/>
      <c r="Y121" s="594"/>
      <c r="Z121" s="595"/>
      <c r="AA121" s="596"/>
      <c r="AB121" s="597"/>
      <c r="AC121" s="597"/>
      <c r="AD121" s="597"/>
      <c r="AE121" s="597"/>
      <c r="AF121" s="598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590">
        <f>AA121/AG104</f>
        <v>0</v>
      </c>
      <c r="AV121" s="591"/>
      <c r="AW121" s="591"/>
      <c r="AX121" s="591"/>
      <c r="AY121" s="591"/>
      <c r="AZ121" s="591"/>
      <c r="BA121" s="591"/>
      <c r="BB121" s="592"/>
    </row>
    <row r="122" spans="1:54" ht="21" hidden="1" customHeight="1" x14ac:dyDescent="0.2">
      <c r="A122" s="599"/>
      <c r="B122" s="600"/>
      <c r="C122" s="600"/>
      <c r="D122" s="600"/>
      <c r="E122" s="600"/>
      <c r="F122" s="600"/>
      <c r="G122" s="600"/>
      <c r="H122" s="600"/>
      <c r="I122" s="600"/>
      <c r="J122" s="600"/>
      <c r="K122" s="600"/>
      <c r="L122" s="600"/>
      <c r="M122" s="600"/>
      <c r="N122" s="600"/>
      <c r="O122" s="600"/>
      <c r="P122" s="600"/>
      <c r="Q122" s="600"/>
      <c r="R122" s="600"/>
      <c r="S122" s="600"/>
      <c r="T122" s="600"/>
      <c r="U122" s="600"/>
      <c r="V122" s="600"/>
      <c r="W122" s="600"/>
      <c r="X122" s="600"/>
      <c r="Y122" s="600"/>
      <c r="Z122" s="600"/>
      <c r="AA122" s="601"/>
      <c r="AB122" s="601"/>
      <c r="AC122" s="601"/>
      <c r="AD122" s="601"/>
      <c r="AE122" s="601"/>
      <c r="AF122" s="601"/>
      <c r="AG122" s="572"/>
      <c r="AH122" s="573"/>
      <c r="AI122" s="573"/>
      <c r="AJ122" s="573"/>
      <c r="AK122" s="573"/>
      <c r="AL122" s="574"/>
      <c r="AM122" s="572"/>
      <c r="AN122" s="573"/>
      <c r="AO122" s="573"/>
      <c r="AP122" s="573"/>
      <c r="AQ122" s="573"/>
      <c r="AR122" s="573"/>
      <c r="AS122" s="573"/>
      <c r="AT122" s="574"/>
      <c r="AU122" s="602">
        <f>AA122/AG104</f>
        <v>0</v>
      </c>
      <c r="AV122" s="602"/>
      <c r="AW122" s="602"/>
      <c r="AX122" s="602"/>
      <c r="AY122" s="602"/>
      <c r="AZ122" s="602"/>
      <c r="BA122" s="602"/>
      <c r="BB122" s="603"/>
    </row>
    <row r="123" spans="1:54" ht="0.75" customHeight="1" thickBot="1" x14ac:dyDescent="0.25">
      <c r="A123" s="864"/>
      <c r="B123" s="865"/>
      <c r="C123" s="865"/>
      <c r="D123" s="865"/>
      <c r="E123" s="865"/>
      <c r="F123" s="865"/>
      <c r="G123" s="865"/>
      <c r="H123" s="865"/>
      <c r="I123" s="865"/>
      <c r="J123" s="865"/>
      <c r="K123" s="865"/>
      <c r="L123" s="865"/>
      <c r="M123" s="865"/>
      <c r="N123" s="865"/>
      <c r="O123" s="865"/>
      <c r="P123" s="865"/>
      <c r="Q123" s="865"/>
      <c r="R123" s="865"/>
      <c r="S123" s="865"/>
      <c r="T123" s="865"/>
      <c r="U123" s="865"/>
      <c r="V123" s="865"/>
      <c r="W123" s="865"/>
      <c r="X123" s="865"/>
      <c r="Y123" s="865"/>
      <c r="Z123" s="865"/>
      <c r="AA123" s="656"/>
      <c r="AB123" s="656"/>
      <c r="AC123" s="656"/>
      <c r="AD123" s="656"/>
      <c r="AE123" s="656"/>
      <c r="AF123" s="656"/>
      <c r="AG123" s="859"/>
      <c r="AH123" s="860"/>
      <c r="AI123" s="860"/>
      <c r="AJ123" s="860"/>
      <c r="AK123" s="860"/>
      <c r="AL123" s="861"/>
      <c r="AM123" s="859"/>
      <c r="AN123" s="860"/>
      <c r="AO123" s="860"/>
      <c r="AP123" s="860"/>
      <c r="AQ123" s="860"/>
      <c r="AR123" s="860"/>
      <c r="AS123" s="860"/>
      <c r="AT123" s="861"/>
      <c r="AU123" s="866">
        <f>AA123/AG104</f>
        <v>0</v>
      </c>
      <c r="AV123" s="866"/>
      <c r="AW123" s="866"/>
      <c r="AX123" s="866"/>
      <c r="AY123" s="866"/>
      <c r="AZ123" s="866"/>
      <c r="BA123" s="866"/>
      <c r="BB123" s="867"/>
    </row>
    <row r="124" spans="1:54" ht="16.5" customHeight="1" thickBot="1" x14ac:dyDescent="0.25">
      <c r="A124" s="545" t="s">
        <v>51</v>
      </c>
      <c r="B124" s="546"/>
      <c r="C124" s="546"/>
      <c r="D124" s="546"/>
      <c r="E124" s="546"/>
      <c r="F124" s="546"/>
      <c r="G124" s="546"/>
      <c r="H124" s="546"/>
      <c r="I124" s="546"/>
      <c r="J124" s="546"/>
      <c r="K124" s="546"/>
      <c r="L124" s="546"/>
      <c r="M124" s="546"/>
      <c r="N124" s="546"/>
      <c r="O124" s="546"/>
      <c r="P124" s="546"/>
      <c r="Q124" s="546"/>
      <c r="R124" s="546"/>
      <c r="S124" s="546"/>
      <c r="T124" s="546"/>
      <c r="U124" s="546"/>
      <c r="V124" s="546"/>
      <c r="W124" s="546"/>
      <c r="X124" s="546"/>
      <c r="Y124" s="546"/>
      <c r="Z124" s="547"/>
      <c r="AA124" s="582">
        <f>SUM(AA104:AF123)</f>
        <v>4047.02</v>
      </c>
      <c r="AB124" s="583"/>
      <c r="AC124" s="583"/>
      <c r="AD124" s="583"/>
      <c r="AE124" s="583"/>
      <c r="AF124" s="583"/>
      <c r="AG124" s="532">
        <f>AG104</f>
        <v>36</v>
      </c>
      <c r="AH124" s="533"/>
      <c r="AI124" s="533"/>
      <c r="AJ124" s="533"/>
      <c r="AK124" s="533"/>
      <c r="AL124" s="534"/>
      <c r="AM124" s="551" t="s">
        <v>17</v>
      </c>
      <c r="AN124" s="552"/>
      <c r="AO124" s="552"/>
      <c r="AP124" s="552"/>
      <c r="AQ124" s="552"/>
      <c r="AR124" s="552"/>
      <c r="AS124" s="552"/>
      <c r="AT124" s="584"/>
      <c r="AU124" s="555">
        <f>SUM(AU104:BB123)</f>
        <v>112.41722222222222</v>
      </c>
      <c r="AV124" s="555"/>
      <c r="AW124" s="555"/>
      <c r="AX124" s="555"/>
      <c r="AY124" s="555"/>
      <c r="AZ124" s="555"/>
      <c r="BA124" s="555"/>
      <c r="BB124" s="556"/>
    </row>
    <row r="125" spans="1:54" ht="48" customHeight="1" x14ac:dyDescent="0.2"/>
    <row r="126" spans="1:54" s="161" customFormat="1" ht="15" customHeight="1" x14ac:dyDescent="0.2">
      <c r="A126" s="159" t="s">
        <v>59</v>
      </c>
      <c r="B126" s="159"/>
      <c r="C126" s="159" t="s">
        <v>60</v>
      </c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60"/>
      <c r="AY126" s="160"/>
      <c r="AZ126" s="160"/>
      <c r="BA126" s="160"/>
      <c r="BB126" s="160"/>
    </row>
    <row r="127" spans="1:54" ht="12" customHeight="1" thickBot="1" x14ac:dyDescent="0.25"/>
    <row r="128" spans="1:54" s="159" customFormat="1" ht="12" customHeight="1" x14ac:dyDescent="0.2">
      <c r="A128" s="585" t="s">
        <v>54</v>
      </c>
      <c r="B128" s="586"/>
      <c r="C128" s="586"/>
      <c r="D128" s="586"/>
      <c r="E128" s="586"/>
      <c r="F128" s="586"/>
      <c r="G128" s="586"/>
      <c r="H128" s="586"/>
      <c r="I128" s="586"/>
      <c r="J128" s="586"/>
      <c r="K128" s="586"/>
      <c r="L128" s="586"/>
      <c r="M128" s="586"/>
      <c r="N128" s="586"/>
      <c r="O128" s="586"/>
      <c r="P128" s="586"/>
      <c r="Q128" s="586"/>
      <c r="R128" s="586"/>
      <c r="S128" s="586"/>
      <c r="T128" s="586"/>
      <c r="U128" s="586"/>
      <c r="V128" s="586"/>
      <c r="W128" s="586"/>
      <c r="X128" s="586"/>
      <c r="Y128" s="586"/>
      <c r="Z128" s="587"/>
      <c r="AA128" s="536" t="s">
        <v>55</v>
      </c>
      <c r="AB128" s="537"/>
      <c r="AC128" s="537"/>
      <c r="AD128" s="537"/>
      <c r="AE128" s="537"/>
      <c r="AF128" s="538"/>
      <c r="AG128" s="536" t="s">
        <v>56</v>
      </c>
      <c r="AH128" s="537"/>
      <c r="AI128" s="537"/>
      <c r="AJ128" s="537"/>
      <c r="AK128" s="537"/>
      <c r="AL128" s="538"/>
      <c r="AM128" s="588" t="s">
        <v>57</v>
      </c>
      <c r="AN128" s="586"/>
      <c r="AO128" s="586"/>
      <c r="AP128" s="586"/>
      <c r="AQ128" s="586"/>
      <c r="AR128" s="586"/>
      <c r="AS128" s="586"/>
      <c r="AT128" s="587"/>
      <c r="AU128" s="588" t="s">
        <v>43</v>
      </c>
      <c r="AV128" s="586"/>
      <c r="AW128" s="586"/>
      <c r="AX128" s="586"/>
      <c r="AY128" s="586"/>
      <c r="AZ128" s="586"/>
      <c r="BA128" s="586"/>
      <c r="BB128" s="589"/>
    </row>
    <row r="129" spans="1:54" ht="11.25" customHeight="1" thickBot="1" x14ac:dyDescent="0.25">
      <c r="A129" s="564">
        <v>1</v>
      </c>
      <c r="B129" s="475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5"/>
      <c r="O129" s="475"/>
      <c r="P129" s="475"/>
      <c r="Q129" s="475"/>
      <c r="R129" s="475"/>
      <c r="S129" s="475"/>
      <c r="T129" s="475"/>
      <c r="U129" s="475"/>
      <c r="V129" s="475"/>
      <c r="W129" s="475"/>
      <c r="X129" s="475"/>
      <c r="Y129" s="475"/>
      <c r="Z129" s="476"/>
      <c r="AA129" s="474">
        <v>2</v>
      </c>
      <c r="AB129" s="475"/>
      <c r="AC129" s="475"/>
      <c r="AD129" s="475"/>
      <c r="AE129" s="475"/>
      <c r="AF129" s="476"/>
      <c r="AG129" s="474">
        <v>3</v>
      </c>
      <c r="AH129" s="475"/>
      <c r="AI129" s="475"/>
      <c r="AJ129" s="475"/>
      <c r="AK129" s="475"/>
      <c r="AL129" s="476"/>
      <c r="AM129" s="474">
        <v>4</v>
      </c>
      <c r="AN129" s="475"/>
      <c r="AO129" s="475"/>
      <c r="AP129" s="475"/>
      <c r="AQ129" s="475"/>
      <c r="AR129" s="475"/>
      <c r="AS129" s="475"/>
      <c r="AT129" s="476"/>
      <c r="AU129" s="474">
        <v>5</v>
      </c>
      <c r="AV129" s="475"/>
      <c r="AW129" s="475"/>
      <c r="AX129" s="475"/>
      <c r="AY129" s="475"/>
      <c r="AZ129" s="475"/>
      <c r="BA129" s="475"/>
      <c r="BB129" s="565"/>
    </row>
    <row r="130" spans="1:54" ht="31.5" hidden="1" customHeight="1" x14ac:dyDescent="0.2">
      <c r="A130" s="566"/>
      <c r="B130" s="567"/>
      <c r="C130" s="567"/>
      <c r="D130" s="567"/>
      <c r="E130" s="567"/>
      <c r="F130" s="567"/>
      <c r="G130" s="567"/>
      <c r="H130" s="567"/>
      <c r="I130" s="567"/>
      <c r="J130" s="567"/>
      <c r="K130" s="567"/>
      <c r="L130" s="567"/>
      <c r="M130" s="567"/>
      <c r="N130" s="567"/>
      <c r="O130" s="567"/>
      <c r="P130" s="567"/>
      <c r="Q130" s="567"/>
      <c r="R130" s="567"/>
      <c r="S130" s="567"/>
      <c r="T130" s="567"/>
      <c r="U130" s="567"/>
      <c r="V130" s="567"/>
      <c r="W130" s="567"/>
      <c r="X130" s="567"/>
      <c r="Y130" s="567"/>
      <c r="Z130" s="568"/>
      <c r="AA130" s="569">
        <v>0</v>
      </c>
      <c r="AB130" s="570"/>
      <c r="AC130" s="570"/>
      <c r="AD130" s="570"/>
      <c r="AE130" s="570"/>
      <c r="AF130" s="571"/>
      <c r="AG130" s="569">
        <f>U12</f>
        <v>36</v>
      </c>
      <c r="AH130" s="570"/>
      <c r="AI130" s="570"/>
      <c r="AJ130" s="570"/>
      <c r="AK130" s="570"/>
      <c r="AL130" s="571"/>
      <c r="AM130" s="569" t="s">
        <v>61</v>
      </c>
      <c r="AN130" s="570"/>
      <c r="AO130" s="570"/>
      <c r="AP130" s="570"/>
      <c r="AQ130" s="570"/>
      <c r="AR130" s="570"/>
      <c r="AS130" s="570"/>
      <c r="AT130" s="571"/>
      <c r="AU130" s="558">
        <f>AA130/AG130</f>
        <v>0</v>
      </c>
      <c r="AV130" s="559"/>
      <c r="AW130" s="559"/>
      <c r="AX130" s="559"/>
      <c r="AY130" s="559"/>
      <c r="AZ130" s="559"/>
      <c r="BA130" s="559"/>
      <c r="BB130" s="560"/>
    </row>
    <row r="131" spans="1:54" ht="4.5" hidden="1" customHeight="1" x14ac:dyDescent="0.2">
      <c r="A131" s="561"/>
      <c r="B131" s="562"/>
      <c r="C131" s="562"/>
      <c r="D131" s="562"/>
      <c r="E131" s="562"/>
      <c r="F131" s="562"/>
      <c r="G131" s="562"/>
      <c r="H131" s="562"/>
      <c r="I131" s="562"/>
      <c r="J131" s="562"/>
      <c r="K131" s="562"/>
      <c r="L131" s="562"/>
      <c r="M131" s="562"/>
      <c r="N131" s="562"/>
      <c r="O131" s="562"/>
      <c r="P131" s="562"/>
      <c r="Q131" s="562"/>
      <c r="R131" s="562"/>
      <c r="S131" s="562"/>
      <c r="T131" s="562"/>
      <c r="U131" s="562"/>
      <c r="V131" s="562"/>
      <c r="W131" s="562"/>
      <c r="X131" s="562"/>
      <c r="Y131" s="562"/>
      <c r="Z131" s="563"/>
      <c r="AA131" s="518"/>
      <c r="AB131" s="518"/>
      <c r="AC131" s="518"/>
      <c r="AD131" s="518"/>
      <c r="AE131" s="518"/>
      <c r="AF131" s="518"/>
      <c r="AG131" s="572"/>
      <c r="AH131" s="573"/>
      <c r="AI131" s="573"/>
      <c r="AJ131" s="573"/>
      <c r="AK131" s="573"/>
      <c r="AL131" s="574"/>
      <c r="AM131" s="572"/>
      <c r="AN131" s="573"/>
      <c r="AO131" s="573"/>
      <c r="AP131" s="573"/>
      <c r="AQ131" s="573"/>
      <c r="AR131" s="573"/>
      <c r="AS131" s="573"/>
      <c r="AT131" s="574"/>
      <c r="AU131" s="558">
        <f>AA131/AG130</f>
        <v>0</v>
      </c>
      <c r="AV131" s="559"/>
      <c r="AW131" s="559"/>
      <c r="AX131" s="559"/>
      <c r="AY131" s="559"/>
      <c r="AZ131" s="559"/>
      <c r="BA131" s="559"/>
      <c r="BB131" s="560"/>
    </row>
    <row r="132" spans="1:54" ht="21" customHeight="1" x14ac:dyDescent="0.2">
      <c r="A132" s="449"/>
      <c r="B132" s="450"/>
      <c r="C132" s="450"/>
      <c r="D132" s="450"/>
      <c r="E132" s="450"/>
      <c r="F132" s="450"/>
      <c r="G132" s="450"/>
      <c r="H132" s="450"/>
      <c r="I132" s="450"/>
      <c r="J132" s="450"/>
      <c r="K132" s="450"/>
      <c r="L132" s="450"/>
      <c r="M132" s="450"/>
      <c r="N132" s="450"/>
      <c r="O132" s="450"/>
      <c r="P132" s="450"/>
      <c r="Q132" s="450"/>
      <c r="R132" s="450"/>
      <c r="S132" s="450"/>
      <c r="T132" s="450"/>
      <c r="U132" s="450"/>
      <c r="V132" s="450"/>
      <c r="W132" s="450"/>
      <c r="X132" s="450"/>
      <c r="Y132" s="450"/>
      <c r="Z132" s="451"/>
      <c r="AA132" s="557"/>
      <c r="AB132" s="557"/>
      <c r="AC132" s="557"/>
      <c r="AD132" s="557"/>
      <c r="AE132" s="557"/>
      <c r="AF132" s="557"/>
      <c r="AG132" s="572"/>
      <c r="AH132" s="573"/>
      <c r="AI132" s="573"/>
      <c r="AJ132" s="573"/>
      <c r="AK132" s="573"/>
      <c r="AL132" s="574"/>
      <c r="AM132" s="572"/>
      <c r="AN132" s="573"/>
      <c r="AO132" s="573"/>
      <c r="AP132" s="573"/>
      <c r="AQ132" s="573"/>
      <c r="AR132" s="573"/>
      <c r="AS132" s="573"/>
      <c r="AT132" s="574"/>
      <c r="AU132" s="558">
        <f>AA132/AG130</f>
        <v>0</v>
      </c>
      <c r="AV132" s="559"/>
      <c r="AW132" s="559"/>
      <c r="AX132" s="559"/>
      <c r="AY132" s="559"/>
      <c r="AZ132" s="559"/>
      <c r="BA132" s="559"/>
      <c r="BB132" s="560"/>
    </row>
    <row r="133" spans="1:54" ht="21" customHeight="1" x14ac:dyDescent="0.2">
      <c r="A133" s="449"/>
      <c r="B133" s="450"/>
      <c r="C133" s="450"/>
      <c r="D133" s="450"/>
      <c r="E133" s="450"/>
      <c r="F133" s="450"/>
      <c r="G133" s="450"/>
      <c r="H133" s="450"/>
      <c r="I133" s="450"/>
      <c r="J133" s="450"/>
      <c r="K133" s="450"/>
      <c r="L133" s="450"/>
      <c r="M133" s="450"/>
      <c r="N133" s="450"/>
      <c r="O133" s="450"/>
      <c r="P133" s="450"/>
      <c r="Q133" s="450"/>
      <c r="R133" s="450"/>
      <c r="S133" s="450"/>
      <c r="T133" s="450"/>
      <c r="U133" s="450"/>
      <c r="V133" s="450"/>
      <c r="W133" s="450"/>
      <c r="X133" s="450"/>
      <c r="Y133" s="450"/>
      <c r="Z133" s="451"/>
      <c r="AA133" s="557"/>
      <c r="AB133" s="557"/>
      <c r="AC133" s="557"/>
      <c r="AD133" s="557"/>
      <c r="AE133" s="557"/>
      <c r="AF133" s="557"/>
      <c r="AG133" s="572"/>
      <c r="AH133" s="573"/>
      <c r="AI133" s="573"/>
      <c r="AJ133" s="573"/>
      <c r="AK133" s="573"/>
      <c r="AL133" s="574"/>
      <c r="AM133" s="572"/>
      <c r="AN133" s="573"/>
      <c r="AO133" s="573"/>
      <c r="AP133" s="573"/>
      <c r="AQ133" s="573"/>
      <c r="AR133" s="573"/>
      <c r="AS133" s="573"/>
      <c r="AT133" s="574"/>
      <c r="AU133" s="558">
        <f>AA133/AG130</f>
        <v>0</v>
      </c>
      <c r="AV133" s="559"/>
      <c r="AW133" s="559"/>
      <c r="AX133" s="559"/>
      <c r="AY133" s="559"/>
      <c r="AZ133" s="559"/>
      <c r="BA133" s="559"/>
      <c r="BB133" s="560"/>
    </row>
    <row r="134" spans="1:54" ht="6" hidden="1" customHeight="1" x14ac:dyDescent="0.2">
      <c r="A134" s="449"/>
      <c r="B134" s="450"/>
      <c r="C134" s="450"/>
      <c r="D134" s="450"/>
      <c r="E134" s="450"/>
      <c r="F134" s="450"/>
      <c r="G134" s="450"/>
      <c r="H134" s="450"/>
      <c r="I134" s="450"/>
      <c r="J134" s="450"/>
      <c r="K134" s="450"/>
      <c r="L134" s="450"/>
      <c r="M134" s="450"/>
      <c r="N134" s="450"/>
      <c r="O134" s="450"/>
      <c r="P134" s="450"/>
      <c r="Q134" s="450"/>
      <c r="R134" s="450"/>
      <c r="S134" s="450"/>
      <c r="T134" s="450"/>
      <c r="U134" s="450"/>
      <c r="V134" s="450"/>
      <c r="W134" s="450"/>
      <c r="X134" s="450"/>
      <c r="Y134" s="450"/>
      <c r="Z134" s="451"/>
      <c r="AA134" s="557"/>
      <c r="AB134" s="557"/>
      <c r="AC134" s="557"/>
      <c r="AD134" s="557"/>
      <c r="AE134" s="557"/>
      <c r="AF134" s="557"/>
      <c r="AG134" s="572"/>
      <c r="AH134" s="573"/>
      <c r="AI134" s="573"/>
      <c r="AJ134" s="573"/>
      <c r="AK134" s="573"/>
      <c r="AL134" s="574"/>
      <c r="AM134" s="572"/>
      <c r="AN134" s="573"/>
      <c r="AO134" s="573"/>
      <c r="AP134" s="573"/>
      <c r="AQ134" s="573"/>
      <c r="AR134" s="573"/>
      <c r="AS134" s="573"/>
      <c r="AT134" s="574"/>
      <c r="AU134" s="558">
        <f>AA134/AG130</f>
        <v>0</v>
      </c>
      <c r="AV134" s="559"/>
      <c r="AW134" s="559"/>
      <c r="AX134" s="559"/>
      <c r="AY134" s="559"/>
      <c r="AZ134" s="559"/>
      <c r="BA134" s="559"/>
      <c r="BB134" s="560"/>
    </row>
    <row r="135" spans="1:54" ht="0.75" customHeight="1" thickBot="1" x14ac:dyDescent="0.25">
      <c r="A135" s="575"/>
      <c r="B135" s="576"/>
      <c r="C135" s="576"/>
      <c r="D135" s="576"/>
      <c r="E135" s="576"/>
      <c r="F135" s="576"/>
      <c r="G135" s="576"/>
      <c r="H135" s="576"/>
      <c r="I135" s="576"/>
      <c r="J135" s="576"/>
      <c r="K135" s="576"/>
      <c r="L135" s="576"/>
      <c r="M135" s="576"/>
      <c r="N135" s="576"/>
      <c r="O135" s="576"/>
      <c r="P135" s="576"/>
      <c r="Q135" s="576"/>
      <c r="R135" s="576"/>
      <c r="S135" s="576"/>
      <c r="T135" s="576"/>
      <c r="U135" s="576"/>
      <c r="V135" s="576"/>
      <c r="W135" s="576"/>
      <c r="X135" s="576"/>
      <c r="Y135" s="576"/>
      <c r="Z135" s="577"/>
      <c r="AA135" s="578">
        <v>0</v>
      </c>
      <c r="AB135" s="578"/>
      <c r="AC135" s="578"/>
      <c r="AD135" s="578"/>
      <c r="AE135" s="578"/>
      <c r="AF135" s="578"/>
      <c r="AG135" s="572"/>
      <c r="AH135" s="573"/>
      <c r="AI135" s="573"/>
      <c r="AJ135" s="573"/>
      <c r="AK135" s="573"/>
      <c r="AL135" s="574"/>
      <c r="AM135" s="572"/>
      <c r="AN135" s="573"/>
      <c r="AO135" s="573"/>
      <c r="AP135" s="573"/>
      <c r="AQ135" s="573"/>
      <c r="AR135" s="573"/>
      <c r="AS135" s="573"/>
      <c r="AT135" s="574"/>
      <c r="AU135" s="579">
        <f>AA135/AG130</f>
        <v>0</v>
      </c>
      <c r="AV135" s="580"/>
      <c r="AW135" s="580"/>
      <c r="AX135" s="580"/>
      <c r="AY135" s="580"/>
      <c r="AZ135" s="580"/>
      <c r="BA135" s="580"/>
      <c r="BB135" s="581"/>
    </row>
    <row r="136" spans="1:54" ht="15" customHeight="1" thickBot="1" x14ac:dyDescent="0.25">
      <c r="A136" s="545" t="s">
        <v>51</v>
      </c>
      <c r="B136" s="546"/>
      <c r="C136" s="546"/>
      <c r="D136" s="546"/>
      <c r="E136" s="546"/>
      <c r="F136" s="546"/>
      <c r="G136" s="546"/>
      <c r="H136" s="546"/>
      <c r="I136" s="546"/>
      <c r="J136" s="546"/>
      <c r="K136" s="546"/>
      <c r="L136" s="546"/>
      <c r="M136" s="546"/>
      <c r="N136" s="546"/>
      <c r="O136" s="546"/>
      <c r="P136" s="546"/>
      <c r="Q136" s="546"/>
      <c r="R136" s="546"/>
      <c r="S136" s="546"/>
      <c r="T136" s="546"/>
      <c r="U136" s="546"/>
      <c r="V136" s="546"/>
      <c r="W136" s="546"/>
      <c r="X136" s="546"/>
      <c r="Y136" s="546"/>
      <c r="Z136" s="547"/>
      <c r="AA136" s="548">
        <f>SUM(AA130:AF133)</f>
        <v>0</v>
      </c>
      <c r="AB136" s="549"/>
      <c r="AC136" s="549"/>
      <c r="AD136" s="549"/>
      <c r="AE136" s="549"/>
      <c r="AF136" s="550"/>
      <c r="AG136" s="531">
        <f>AG130</f>
        <v>36</v>
      </c>
      <c r="AH136" s="533"/>
      <c r="AI136" s="533"/>
      <c r="AJ136" s="533"/>
      <c r="AK136" s="533"/>
      <c r="AL136" s="534"/>
      <c r="AM136" s="551" t="s">
        <v>17</v>
      </c>
      <c r="AN136" s="552"/>
      <c r="AO136" s="552"/>
      <c r="AP136" s="552"/>
      <c r="AQ136" s="552"/>
      <c r="AR136" s="552"/>
      <c r="AS136" s="552"/>
      <c r="AT136" s="553"/>
      <c r="AU136" s="554">
        <f>SUM(AU130:BB135)</f>
        <v>0</v>
      </c>
      <c r="AV136" s="555"/>
      <c r="AW136" s="555"/>
      <c r="AX136" s="555"/>
      <c r="AY136" s="555"/>
      <c r="AZ136" s="555"/>
      <c r="BA136" s="555"/>
      <c r="BB136" s="556"/>
    </row>
    <row r="137" spans="1:54" s="161" customFormat="1" ht="15" customHeight="1" x14ac:dyDescent="0.2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</row>
    <row r="138" spans="1:54" ht="27" customHeight="1" x14ac:dyDescent="0.2">
      <c r="A138" s="159" t="s">
        <v>62</v>
      </c>
      <c r="B138" s="159"/>
      <c r="C138" s="159" t="s">
        <v>63</v>
      </c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159"/>
      <c r="AX138" s="160"/>
      <c r="AY138" s="160"/>
      <c r="AZ138" s="160"/>
      <c r="BA138" s="160"/>
      <c r="BB138" s="160"/>
    </row>
    <row r="139" spans="1:54" ht="21.75" customHeight="1" thickBot="1" x14ac:dyDescent="0.25"/>
    <row r="140" spans="1:54" ht="63" customHeight="1" x14ac:dyDescent="0.2">
      <c r="A140" s="499" t="s">
        <v>54</v>
      </c>
      <c r="B140" s="500"/>
      <c r="C140" s="500"/>
      <c r="D140" s="500"/>
      <c r="E140" s="500"/>
      <c r="F140" s="500"/>
      <c r="G140" s="500"/>
      <c r="H140" s="535" t="s">
        <v>64</v>
      </c>
      <c r="I140" s="535"/>
      <c r="J140" s="535"/>
      <c r="K140" s="535"/>
      <c r="L140" s="535"/>
      <c r="M140" s="535" t="s">
        <v>94</v>
      </c>
      <c r="N140" s="535"/>
      <c r="O140" s="535"/>
      <c r="P140" s="535"/>
      <c r="Q140" s="535"/>
      <c r="R140" s="535" t="s">
        <v>82</v>
      </c>
      <c r="S140" s="535"/>
      <c r="T140" s="535"/>
      <c r="U140" s="535"/>
      <c r="V140" s="535" t="s">
        <v>65</v>
      </c>
      <c r="W140" s="535"/>
      <c r="X140" s="535"/>
      <c r="Y140" s="535"/>
      <c r="Z140" s="535" t="s">
        <v>66</v>
      </c>
      <c r="AA140" s="535"/>
      <c r="AB140" s="535"/>
      <c r="AC140" s="535"/>
      <c r="AD140" s="535" t="s">
        <v>67</v>
      </c>
      <c r="AE140" s="535"/>
      <c r="AF140" s="535"/>
      <c r="AG140" s="535"/>
      <c r="AH140" s="535"/>
      <c r="AI140" s="535"/>
      <c r="AJ140" s="535"/>
      <c r="AK140" s="535"/>
      <c r="AL140" s="535"/>
      <c r="AM140" s="535"/>
      <c r="AN140" s="535"/>
      <c r="AO140" s="535"/>
      <c r="AP140" s="535"/>
      <c r="AQ140" s="535" t="s">
        <v>663</v>
      </c>
      <c r="AR140" s="535"/>
      <c r="AS140" s="535"/>
      <c r="AT140" s="535"/>
      <c r="AU140" s="536" t="s">
        <v>664</v>
      </c>
      <c r="AV140" s="537"/>
      <c r="AW140" s="537"/>
      <c r="AX140" s="538"/>
      <c r="AY140" s="536" t="s">
        <v>87</v>
      </c>
      <c r="AZ140" s="537"/>
      <c r="BA140" s="537"/>
      <c r="BB140" s="539"/>
    </row>
    <row r="141" spans="1:54" ht="71.25" customHeight="1" thickBot="1" x14ac:dyDescent="0.25">
      <c r="A141" s="888"/>
      <c r="B141" s="889"/>
      <c r="C141" s="889"/>
      <c r="D141" s="889"/>
      <c r="E141" s="889"/>
      <c r="F141" s="889"/>
      <c r="G141" s="889"/>
      <c r="H141" s="894" t="s">
        <v>68</v>
      </c>
      <c r="I141" s="894"/>
      <c r="J141" s="894"/>
      <c r="K141" s="894"/>
      <c r="L141" s="894"/>
      <c r="M141" s="894" t="s">
        <v>68</v>
      </c>
      <c r="N141" s="894"/>
      <c r="O141" s="894"/>
      <c r="P141" s="894"/>
      <c r="Q141" s="894"/>
      <c r="R141" s="894"/>
      <c r="S141" s="894"/>
      <c r="T141" s="894"/>
      <c r="U141" s="894"/>
      <c r="V141" s="894"/>
      <c r="W141" s="894"/>
      <c r="X141" s="894"/>
      <c r="Y141" s="894"/>
      <c r="Z141" s="894"/>
      <c r="AA141" s="894"/>
      <c r="AB141" s="894"/>
      <c r="AC141" s="894"/>
      <c r="AD141" s="894" t="s">
        <v>68</v>
      </c>
      <c r="AE141" s="894"/>
      <c r="AF141" s="894"/>
      <c r="AG141" s="894"/>
      <c r="AH141" s="894"/>
      <c r="AI141" s="894"/>
      <c r="AJ141" s="895" t="s">
        <v>69</v>
      </c>
      <c r="AK141" s="896"/>
      <c r="AL141" s="896"/>
      <c r="AM141" s="896"/>
      <c r="AN141" s="896"/>
      <c r="AO141" s="896"/>
      <c r="AP141" s="897"/>
      <c r="AQ141" s="894" t="s">
        <v>68</v>
      </c>
      <c r="AR141" s="894"/>
      <c r="AS141" s="894"/>
      <c r="AT141" s="894"/>
      <c r="AU141" s="894" t="s">
        <v>68</v>
      </c>
      <c r="AV141" s="894"/>
      <c r="AW141" s="894"/>
      <c r="AX141" s="894"/>
      <c r="AY141" s="894" t="s">
        <v>68</v>
      </c>
      <c r="AZ141" s="894"/>
      <c r="BA141" s="894"/>
      <c r="BB141" s="898"/>
    </row>
    <row r="142" spans="1:54" ht="22.5" customHeight="1" thickBot="1" x14ac:dyDescent="0.25">
      <c r="A142" s="530">
        <v>1</v>
      </c>
      <c r="B142" s="503"/>
      <c r="C142" s="503"/>
      <c r="D142" s="503"/>
      <c r="E142" s="503"/>
      <c r="F142" s="503"/>
      <c r="G142" s="503"/>
      <c r="H142" s="503">
        <v>2</v>
      </c>
      <c r="I142" s="503"/>
      <c r="J142" s="503"/>
      <c r="K142" s="503"/>
      <c r="L142" s="503"/>
      <c r="M142" s="503">
        <v>3</v>
      </c>
      <c r="N142" s="503"/>
      <c r="O142" s="503"/>
      <c r="P142" s="503"/>
      <c r="Q142" s="503"/>
      <c r="R142" s="503">
        <v>4</v>
      </c>
      <c r="S142" s="503"/>
      <c r="T142" s="503"/>
      <c r="U142" s="503"/>
      <c r="V142" s="503">
        <v>5</v>
      </c>
      <c r="W142" s="503"/>
      <c r="X142" s="503"/>
      <c r="Y142" s="503"/>
      <c r="Z142" s="503">
        <v>6</v>
      </c>
      <c r="AA142" s="503"/>
      <c r="AB142" s="503"/>
      <c r="AC142" s="531"/>
      <c r="AD142" s="503">
        <v>7</v>
      </c>
      <c r="AE142" s="503"/>
      <c r="AF142" s="503"/>
      <c r="AG142" s="503"/>
      <c r="AH142" s="503"/>
      <c r="AI142" s="503"/>
      <c r="AJ142" s="533">
        <v>8</v>
      </c>
      <c r="AK142" s="533"/>
      <c r="AL142" s="533"/>
      <c r="AM142" s="533"/>
      <c r="AN142" s="533"/>
      <c r="AO142" s="533"/>
      <c r="AP142" s="534"/>
      <c r="AQ142" s="503">
        <v>9</v>
      </c>
      <c r="AR142" s="503"/>
      <c r="AS142" s="503"/>
      <c r="AT142" s="503"/>
      <c r="AU142" s="503">
        <v>10</v>
      </c>
      <c r="AV142" s="503"/>
      <c r="AW142" s="503"/>
      <c r="AX142" s="503"/>
      <c r="AY142" s="503">
        <v>11</v>
      </c>
      <c r="AZ142" s="503"/>
      <c r="BA142" s="503"/>
      <c r="BB142" s="504"/>
    </row>
    <row r="143" spans="1:54" ht="24.75" customHeight="1" x14ac:dyDescent="0.2">
      <c r="A143" s="505" t="s">
        <v>70</v>
      </c>
      <c r="B143" s="506"/>
      <c r="C143" s="506"/>
      <c r="D143" s="506"/>
      <c r="E143" s="506"/>
      <c r="F143" s="506"/>
      <c r="G143" s="506"/>
      <c r="H143" s="507">
        <f>AO88/V143</f>
        <v>42.785166666666669</v>
      </c>
      <c r="I143" s="507"/>
      <c r="J143" s="507"/>
      <c r="K143" s="507"/>
      <c r="L143" s="507"/>
      <c r="M143" s="507">
        <f>H143</f>
        <v>42.785166666666669</v>
      </c>
      <c r="N143" s="507"/>
      <c r="O143" s="507"/>
      <c r="P143" s="507"/>
      <c r="Q143" s="507"/>
      <c r="R143" s="508">
        <f>U12</f>
        <v>36</v>
      </c>
      <c r="S143" s="509"/>
      <c r="T143" s="509"/>
      <c r="U143" s="510"/>
      <c r="V143" s="517">
        <f>Y16</f>
        <v>12</v>
      </c>
      <c r="W143" s="517"/>
      <c r="X143" s="517"/>
      <c r="Y143" s="517"/>
      <c r="Z143" s="517">
        <f>U16</f>
        <v>2</v>
      </c>
      <c r="AA143" s="517"/>
      <c r="AB143" s="517"/>
      <c r="AC143" s="517"/>
      <c r="AD143" s="520" t="s">
        <v>71</v>
      </c>
      <c r="AE143" s="521"/>
      <c r="AF143" s="521"/>
      <c r="AG143" s="521"/>
      <c r="AH143" s="521"/>
      <c r="AI143" s="522"/>
      <c r="AJ143" s="523"/>
      <c r="AK143" s="524"/>
      <c r="AL143" s="524"/>
      <c r="AM143" s="524"/>
      <c r="AN143" s="524"/>
      <c r="AO143" s="524"/>
      <c r="AP143" s="525"/>
      <c r="AQ143" s="507">
        <f>H143*4</f>
        <v>171.14066666666668</v>
      </c>
      <c r="AR143" s="507"/>
      <c r="AS143" s="507"/>
      <c r="AT143" s="507"/>
      <c r="AU143" s="507">
        <f>M143*1</f>
        <v>42.785166666666669</v>
      </c>
      <c r="AV143" s="507"/>
      <c r="AW143" s="507"/>
      <c r="AX143" s="507"/>
      <c r="AY143" s="507">
        <f>H143*R143</f>
        <v>1540.2660000000001</v>
      </c>
      <c r="AZ143" s="507"/>
      <c r="BA143" s="507"/>
      <c r="BB143" s="526"/>
    </row>
    <row r="144" spans="1:54" ht="21.75" customHeight="1" x14ac:dyDescent="0.2">
      <c r="A144" s="527" t="s">
        <v>72</v>
      </c>
      <c r="B144" s="528"/>
      <c r="C144" s="528"/>
      <c r="D144" s="528"/>
      <c r="E144" s="528"/>
      <c r="F144" s="528"/>
      <c r="G144" s="528"/>
      <c r="H144" s="529">
        <f>AV98</f>
        <v>37.105237428142097</v>
      </c>
      <c r="I144" s="529"/>
      <c r="J144" s="529"/>
      <c r="K144" s="529"/>
      <c r="L144" s="529"/>
      <c r="M144" s="477">
        <f t="shared" ref="M144:M146" si="3">H144</f>
        <v>37.105237428142097</v>
      </c>
      <c r="N144" s="477"/>
      <c r="O144" s="477"/>
      <c r="P144" s="477"/>
      <c r="Q144" s="477"/>
      <c r="R144" s="511"/>
      <c r="S144" s="512"/>
      <c r="T144" s="512"/>
      <c r="U144" s="513"/>
      <c r="V144" s="518"/>
      <c r="W144" s="518"/>
      <c r="X144" s="518"/>
      <c r="Y144" s="518"/>
      <c r="Z144" s="518"/>
      <c r="AA144" s="518"/>
      <c r="AB144" s="518"/>
      <c r="AC144" s="518"/>
      <c r="AD144" s="477" t="s">
        <v>71</v>
      </c>
      <c r="AE144" s="477"/>
      <c r="AF144" s="477"/>
      <c r="AG144" s="477"/>
      <c r="AH144" s="477"/>
      <c r="AI144" s="477"/>
      <c r="AJ144" s="478"/>
      <c r="AK144" s="479"/>
      <c r="AL144" s="479"/>
      <c r="AM144" s="479"/>
      <c r="AN144" s="479"/>
      <c r="AO144" s="479"/>
      <c r="AP144" s="480"/>
      <c r="AQ144" s="477">
        <f>H144*4</f>
        <v>148.42094971256839</v>
      </c>
      <c r="AR144" s="477"/>
      <c r="AS144" s="477"/>
      <c r="AT144" s="477"/>
      <c r="AU144" s="529">
        <f t="shared" ref="AU144:AU146" si="4">M144*1</f>
        <v>37.105237428142097</v>
      </c>
      <c r="AV144" s="529"/>
      <c r="AW144" s="529"/>
      <c r="AX144" s="529"/>
      <c r="AY144" s="477">
        <f>H144*R143</f>
        <v>1335.7885474131156</v>
      </c>
      <c r="AZ144" s="477"/>
      <c r="BA144" s="477"/>
      <c r="BB144" s="481"/>
    </row>
    <row r="145" spans="1:79" ht="15" customHeight="1" x14ac:dyDescent="0.2">
      <c r="A145" s="527" t="s">
        <v>73</v>
      </c>
      <c r="B145" s="528"/>
      <c r="C145" s="528"/>
      <c r="D145" s="528"/>
      <c r="E145" s="528"/>
      <c r="F145" s="528"/>
      <c r="G145" s="528"/>
      <c r="H145" s="529">
        <f>AU124</f>
        <v>112.41722222222222</v>
      </c>
      <c r="I145" s="529"/>
      <c r="J145" s="529"/>
      <c r="K145" s="529"/>
      <c r="L145" s="529"/>
      <c r="M145" s="477">
        <f t="shared" si="3"/>
        <v>112.41722222222222</v>
      </c>
      <c r="N145" s="477"/>
      <c r="O145" s="477"/>
      <c r="P145" s="477"/>
      <c r="Q145" s="477"/>
      <c r="R145" s="511"/>
      <c r="S145" s="512"/>
      <c r="T145" s="512"/>
      <c r="U145" s="513"/>
      <c r="V145" s="518"/>
      <c r="W145" s="518"/>
      <c r="X145" s="518"/>
      <c r="Y145" s="518"/>
      <c r="Z145" s="518"/>
      <c r="AA145" s="518"/>
      <c r="AB145" s="518"/>
      <c r="AC145" s="518"/>
      <c r="AD145" s="477" t="s">
        <v>71</v>
      </c>
      <c r="AE145" s="477"/>
      <c r="AF145" s="477"/>
      <c r="AG145" s="477"/>
      <c r="AH145" s="477"/>
      <c r="AI145" s="477"/>
      <c r="AJ145" s="478"/>
      <c r="AK145" s="479"/>
      <c r="AL145" s="479"/>
      <c r="AM145" s="479"/>
      <c r="AN145" s="479"/>
      <c r="AO145" s="479"/>
      <c r="AP145" s="480"/>
      <c r="AQ145" s="477">
        <f t="shared" ref="AQ145:AQ146" si="5">H145*4</f>
        <v>449.66888888888889</v>
      </c>
      <c r="AR145" s="477"/>
      <c r="AS145" s="477"/>
      <c r="AT145" s="477"/>
      <c r="AU145" s="529">
        <f t="shared" si="4"/>
        <v>112.41722222222222</v>
      </c>
      <c r="AV145" s="529"/>
      <c r="AW145" s="529"/>
      <c r="AX145" s="529"/>
      <c r="AY145" s="477">
        <f>H145*R143</f>
        <v>4047.02</v>
      </c>
      <c r="AZ145" s="477"/>
      <c r="BA145" s="477"/>
      <c r="BB145" s="481"/>
    </row>
    <row r="146" spans="1:79" ht="18" customHeight="1" thickBot="1" x14ac:dyDescent="0.25">
      <c r="A146" s="494" t="s">
        <v>74</v>
      </c>
      <c r="B146" s="495"/>
      <c r="C146" s="495"/>
      <c r="D146" s="495"/>
      <c r="E146" s="495"/>
      <c r="F146" s="495"/>
      <c r="G146" s="495"/>
      <c r="H146" s="483">
        <f>AU136</f>
        <v>0</v>
      </c>
      <c r="I146" s="483"/>
      <c r="J146" s="483"/>
      <c r="K146" s="483"/>
      <c r="L146" s="483"/>
      <c r="M146" s="482">
        <f t="shared" si="3"/>
        <v>0</v>
      </c>
      <c r="N146" s="482"/>
      <c r="O146" s="482"/>
      <c r="P146" s="482"/>
      <c r="Q146" s="482"/>
      <c r="R146" s="514"/>
      <c r="S146" s="515"/>
      <c r="T146" s="515"/>
      <c r="U146" s="516"/>
      <c r="V146" s="519"/>
      <c r="W146" s="519"/>
      <c r="X146" s="519"/>
      <c r="Y146" s="519"/>
      <c r="Z146" s="519"/>
      <c r="AA146" s="519"/>
      <c r="AB146" s="519"/>
      <c r="AC146" s="519"/>
      <c r="AD146" s="482" t="s">
        <v>71</v>
      </c>
      <c r="AE146" s="482"/>
      <c r="AF146" s="482"/>
      <c r="AG146" s="482"/>
      <c r="AH146" s="482"/>
      <c r="AI146" s="482"/>
      <c r="AJ146" s="496" t="s">
        <v>17</v>
      </c>
      <c r="AK146" s="497"/>
      <c r="AL146" s="497"/>
      <c r="AM146" s="497"/>
      <c r="AN146" s="497"/>
      <c r="AO146" s="497"/>
      <c r="AP146" s="498"/>
      <c r="AQ146" s="477">
        <f t="shared" si="5"/>
        <v>0</v>
      </c>
      <c r="AR146" s="477"/>
      <c r="AS146" s="477"/>
      <c r="AT146" s="477"/>
      <c r="AU146" s="483">
        <f t="shared" si="4"/>
        <v>0</v>
      </c>
      <c r="AV146" s="483"/>
      <c r="AW146" s="483"/>
      <c r="AX146" s="483"/>
      <c r="AY146" s="483">
        <f>H146*R143</f>
        <v>0</v>
      </c>
      <c r="AZ146" s="483"/>
      <c r="BA146" s="483"/>
      <c r="BB146" s="484"/>
    </row>
    <row r="147" spans="1:79" ht="25.5" customHeight="1" x14ac:dyDescent="0.2">
      <c r="A147" s="485" t="s">
        <v>80</v>
      </c>
      <c r="B147" s="486"/>
      <c r="C147" s="486"/>
      <c r="D147" s="486"/>
      <c r="E147" s="486"/>
      <c r="F147" s="486"/>
      <c r="G147" s="487"/>
      <c r="H147" s="488">
        <f>SUM(H143:L146)</f>
        <v>192.30762631703098</v>
      </c>
      <c r="I147" s="488"/>
      <c r="J147" s="488"/>
      <c r="K147" s="488"/>
      <c r="L147" s="488"/>
      <c r="M147" s="488">
        <f>SUM(M143:Q146)</f>
        <v>192.30762631703098</v>
      </c>
      <c r="N147" s="488"/>
      <c r="O147" s="488"/>
      <c r="P147" s="488"/>
      <c r="Q147" s="488"/>
      <c r="R147" s="489">
        <f>R143</f>
        <v>36</v>
      </c>
      <c r="S147" s="489"/>
      <c r="T147" s="489"/>
      <c r="U147" s="489"/>
      <c r="V147" s="490">
        <f>V143</f>
        <v>12</v>
      </c>
      <c r="W147" s="490"/>
      <c r="X147" s="490"/>
      <c r="Y147" s="490"/>
      <c r="Z147" s="490">
        <f>Z143</f>
        <v>2</v>
      </c>
      <c r="AA147" s="490"/>
      <c r="AB147" s="490"/>
      <c r="AC147" s="490"/>
      <c r="AD147" s="488" t="s">
        <v>17</v>
      </c>
      <c r="AE147" s="488"/>
      <c r="AF147" s="488"/>
      <c r="AG147" s="488"/>
      <c r="AH147" s="488"/>
      <c r="AI147" s="488"/>
      <c r="AJ147" s="491" t="s">
        <v>17</v>
      </c>
      <c r="AK147" s="492"/>
      <c r="AL147" s="492"/>
      <c r="AM147" s="492"/>
      <c r="AN147" s="492"/>
      <c r="AO147" s="492"/>
      <c r="AP147" s="493"/>
      <c r="AQ147" s="453">
        <f>SUM(AQ143:AT146)</f>
        <v>769.23050526812392</v>
      </c>
      <c r="AR147" s="453"/>
      <c r="AS147" s="453"/>
      <c r="AT147" s="453"/>
      <c r="AU147" s="453">
        <f>SUM(AU143:AX146)</f>
        <v>192.30762631703098</v>
      </c>
      <c r="AV147" s="453"/>
      <c r="AW147" s="453"/>
      <c r="AX147" s="453"/>
      <c r="AY147" s="453">
        <f>SUM(AY143:BB146)</f>
        <v>6923.0745474131163</v>
      </c>
      <c r="AZ147" s="453"/>
      <c r="BA147" s="453"/>
      <c r="BB147" s="454"/>
    </row>
    <row r="148" spans="1:79" ht="30.75" customHeight="1" x14ac:dyDescent="0.2">
      <c r="A148" s="455" t="s">
        <v>75</v>
      </c>
      <c r="B148" s="456"/>
      <c r="C148" s="456"/>
      <c r="D148" s="456"/>
      <c r="E148" s="456"/>
      <c r="F148" s="456"/>
      <c r="G148" s="215">
        <v>0.3</v>
      </c>
      <c r="H148" s="457">
        <f>H147*G148</f>
        <v>57.692287895109288</v>
      </c>
      <c r="I148" s="457"/>
      <c r="J148" s="457"/>
      <c r="K148" s="457"/>
      <c r="L148" s="457"/>
      <c r="M148" s="457">
        <f>M147*G148</f>
        <v>57.692287895109288</v>
      </c>
      <c r="N148" s="457"/>
      <c r="O148" s="457"/>
      <c r="P148" s="457"/>
      <c r="Q148" s="457"/>
      <c r="R148" s="818">
        <f>R143</f>
        <v>36</v>
      </c>
      <c r="S148" s="819"/>
      <c r="T148" s="819"/>
      <c r="U148" s="820"/>
      <c r="V148" s="821">
        <f>V143</f>
        <v>12</v>
      </c>
      <c r="W148" s="819"/>
      <c r="X148" s="819"/>
      <c r="Y148" s="820"/>
      <c r="Z148" s="821">
        <f>Z143</f>
        <v>2</v>
      </c>
      <c r="AA148" s="819"/>
      <c r="AB148" s="819"/>
      <c r="AC148" s="820"/>
      <c r="AD148" s="462" t="s">
        <v>17</v>
      </c>
      <c r="AE148" s="462"/>
      <c r="AF148" s="462"/>
      <c r="AG148" s="462"/>
      <c r="AH148" s="462"/>
      <c r="AI148" s="462"/>
      <c r="AJ148" s="462" t="s">
        <v>17</v>
      </c>
      <c r="AK148" s="462"/>
      <c r="AL148" s="462"/>
      <c r="AM148" s="462"/>
      <c r="AN148" s="462"/>
      <c r="AO148" s="462"/>
      <c r="AP148" s="462"/>
      <c r="AQ148" s="466">
        <f>AQ147*G148</f>
        <v>230.76915158043715</v>
      </c>
      <c r="AR148" s="466"/>
      <c r="AS148" s="466"/>
      <c r="AT148" s="466"/>
      <c r="AU148" s="466">
        <f>AU147*G148</f>
        <v>57.692287895109288</v>
      </c>
      <c r="AV148" s="466"/>
      <c r="AW148" s="466"/>
      <c r="AX148" s="466"/>
      <c r="AY148" s="466">
        <f>AY147*G148</f>
        <v>2076.9223642239349</v>
      </c>
      <c r="AZ148" s="466"/>
      <c r="BA148" s="466"/>
      <c r="BB148" s="467"/>
    </row>
    <row r="149" spans="1:79" ht="30.75" customHeight="1" thickBot="1" x14ac:dyDescent="0.25">
      <c r="A149" s="468" t="s">
        <v>81</v>
      </c>
      <c r="B149" s="469"/>
      <c r="C149" s="469"/>
      <c r="D149" s="469"/>
      <c r="E149" s="469"/>
      <c r="F149" s="469"/>
      <c r="G149" s="470"/>
      <c r="H149" s="464">
        <f>H147+H148</f>
        <v>249.99991421214025</v>
      </c>
      <c r="I149" s="464"/>
      <c r="J149" s="464"/>
      <c r="K149" s="464"/>
      <c r="L149" s="464"/>
      <c r="M149" s="471">
        <f>M147+M148</f>
        <v>249.99991421214025</v>
      </c>
      <c r="N149" s="472"/>
      <c r="O149" s="472"/>
      <c r="P149" s="472"/>
      <c r="Q149" s="473"/>
      <c r="R149" s="825">
        <f>R143</f>
        <v>36</v>
      </c>
      <c r="S149" s="826"/>
      <c r="T149" s="826"/>
      <c r="U149" s="827"/>
      <c r="V149" s="828">
        <f>V143</f>
        <v>12</v>
      </c>
      <c r="W149" s="829"/>
      <c r="X149" s="829"/>
      <c r="Y149" s="830"/>
      <c r="Z149" s="828">
        <f>Z143</f>
        <v>2</v>
      </c>
      <c r="AA149" s="829"/>
      <c r="AB149" s="829"/>
      <c r="AC149" s="830"/>
      <c r="AD149" s="463" t="s">
        <v>17</v>
      </c>
      <c r="AE149" s="463"/>
      <c r="AF149" s="463"/>
      <c r="AG149" s="463"/>
      <c r="AH149" s="463"/>
      <c r="AI149" s="463"/>
      <c r="AJ149" s="463" t="s">
        <v>17</v>
      </c>
      <c r="AK149" s="463"/>
      <c r="AL149" s="463"/>
      <c r="AM149" s="463"/>
      <c r="AN149" s="463"/>
      <c r="AO149" s="463"/>
      <c r="AP149" s="463"/>
      <c r="AQ149" s="464">
        <f>AQ147+AQ148</f>
        <v>999.99965684856102</v>
      </c>
      <c r="AR149" s="464"/>
      <c r="AS149" s="464"/>
      <c r="AT149" s="464"/>
      <c r="AU149" s="464">
        <f>AU147+AU148</f>
        <v>249.99991421214025</v>
      </c>
      <c r="AV149" s="464"/>
      <c r="AW149" s="464"/>
      <c r="AX149" s="464"/>
      <c r="AY149" s="464">
        <f>AY147+AY148</f>
        <v>8999.9969116370521</v>
      </c>
      <c r="AZ149" s="464"/>
      <c r="BA149" s="464"/>
      <c r="BB149" s="465"/>
      <c r="BE149" s="216"/>
      <c r="BF149" s="216"/>
    </row>
    <row r="150" spans="1:79" ht="16.5" customHeight="1" x14ac:dyDescent="0.2">
      <c r="BC150" s="432"/>
      <c r="BD150" s="432"/>
      <c r="BE150" s="216"/>
      <c r="BF150" s="216"/>
      <c r="BG150" s="216"/>
      <c r="BH150" s="216"/>
      <c r="BI150" s="216"/>
    </row>
    <row r="151" spans="1:79" ht="12" customHeight="1" x14ac:dyDescent="0.2">
      <c r="BC151" s="432"/>
      <c r="BD151" s="432"/>
      <c r="BE151" s="216"/>
      <c r="BF151" s="216"/>
    </row>
    <row r="152" spans="1:79" ht="14.25" customHeight="1" x14ac:dyDescent="0.2">
      <c r="B152" s="452" t="s">
        <v>658</v>
      </c>
      <c r="C152" s="452"/>
      <c r="D152" s="452"/>
      <c r="E152" s="452"/>
      <c r="F152" s="452"/>
      <c r="G152" s="452"/>
      <c r="H152" s="452"/>
      <c r="I152" s="452"/>
      <c r="J152" s="452"/>
      <c r="K152" s="452"/>
      <c r="L152" s="452"/>
      <c r="M152" s="452"/>
      <c r="N152" s="452"/>
      <c r="O152" s="452"/>
      <c r="P152" s="452"/>
      <c r="Q152" s="452"/>
      <c r="R152" s="452"/>
      <c r="S152" s="452"/>
      <c r="U152" s="164"/>
      <c r="V152" s="164"/>
      <c r="W152" s="164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M152" s="442" t="s">
        <v>515</v>
      </c>
      <c r="AN152" s="763"/>
      <c r="AO152" s="763"/>
      <c r="AP152" s="763"/>
      <c r="AQ152" s="763"/>
      <c r="AR152" s="763"/>
      <c r="AS152" s="763"/>
      <c r="AT152" s="763"/>
      <c r="AU152" s="763"/>
      <c r="AV152" s="763"/>
      <c r="AW152" s="763"/>
      <c r="AX152" s="763"/>
      <c r="AY152" s="763"/>
      <c r="AZ152" s="763"/>
      <c r="BA152" s="763"/>
      <c r="BB152" s="763"/>
      <c r="BC152" s="442"/>
      <c r="BD152" s="442"/>
      <c r="BE152" s="216"/>
      <c r="BF152" s="216"/>
    </row>
    <row r="153" spans="1:79" ht="8.25" customHeight="1" x14ac:dyDescent="0.2">
      <c r="B153" s="452" t="s">
        <v>78</v>
      </c>
      <c r="C153" s="452"/>
      <c r="D153" s="452"/>
      <c r="E153" s="452"/>
      <c r="F153" s="452"/>
      <c r="G153" s="452"/>
      <c r="H153" s="452"/>
      <c r="I153" s="452"/>
      <c r="J153" s="452"/>
      <c r="K153" s="452"/>
      <c r="L153" s="452"/>
      <c r="M153" s="452"/>
      <c r="N153" s="452"/>
      <c r="O153" s="452"/>
      <c r="P153" s="452"/>
      <c r="Q153" s="452"/>
      <c r="R153" s="452"/>
      <c r="S153" s="452"/>
      <c r="AM153" s="442" t="s">
        <v>418</v>
      </c>
      <c r="AN153" s="442"/>
      <c r="AO153" s="442"/>
      <c r="AP153" s="442"/>
      <c r="AQ153" s="442"/>
      <c r="AR153" s="442"/>
      <c r="AS153" s="442"/>
      <c r="AT153" s="442"/>
      <c r="AU153" s="442"/>
      <c r="AV153" s="442"/>
      <c r="AW153" s="442"/>
      <c r="AX153" s="442"/>
      <c r="AY153" s="442"/>
      <c r="AZ153" s="442"/>
      <c r="BA153" s="442"/>
      <c r="BB153" s="442"/>
      <c r="BC153" s="442"/>
      <c r="BD153" s="219"/>
    </row>
    <row r="154" spans="1:79" ht="19.5" customHeight="1" x14ac:dyDescent="0.2">
      <c r="B154" s="452"/>
      <c r="C154" s="452"/>
      <c r="D154" s="452"/>
      <c r="E154" s="452"/>
      <c r="F154" s="452"/>
      <c r="G154" s="452"/>
      <c r="H154" s="452"/>
      <c r="I154" s="452"/>
      <c r="J154" s="452"/>
      <c r="K154" s="452"/>
      <c r="L154" s="452"/>
      <c r="M154" s="452"/>
      <c r="N154" s="452"/>
      <c r="O154" s="452"/>
      <c r="P154" s="452"/>
      <c r="Q154" s="452"/>
      <c r="R154" s="452"/>
      <c r="S154" s="452"/>
      <c r="U154" s="164"/>
      <c r="V154" s="164"/>
      <c r="W154" s="164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M154" s="442"/>
      <c r="AN154" s="442"/>
      <c r="AO154" s="442"/>
      <c r="AP154" s="442"/>
      <c r="AQ154" s="442"/>
      <c r="AR154" s="442"/>
      <c r="AS154" s="442"/>
      <c r="AT154" s="442"/>
      <c r="AU154" s="442"/>
      <c r="AV154" s="442"/>
      <c r="AW154" s="442"/>
      <c r="AX154" s="442"/>
      <c r="AY154" s="442"/>
      <c r="AZ154" s="442"/>
      <c r="BA154" s="442"/>
      <c r="BB154" s="442"/>
      <c r="BC154" s="442"/>
      <c r="BD154" s="219"/>
      <c r="BE154" s="432"/>
      <c r="BF154" s="432"/>
      <c r="BG154" s="432"/>
      <c r="BH154" s="432"/>
      <c r="BI154" s="432"/>
      <c r="BJ154" s="432"/>
      <c r="BK154" s="432"/>
      <c r="BL154" s="432"/>
      <c r="BM154" s="432"/>
      <c r="BN154" s="432"/>
      <c r="BO154" s="432"/>
      <c r="BP154" s="432"/>
      <c r="BQ154" s="432"/>
      <c r="BR154" s="432"/>
      <c r="BS154" s="432"/>
      <c r="BT154" s="432"/>
      <c r="BU154" s="432"/>
      <c r="BV154" s="432"/>
      <c r="BW154" s="432"/>
      <c r="BX154" s="432"/>
      <c r="BY154" s="432"/>
      <c r="BZ154" s="432"/>
      <c r="CA154" s="432"/>
    </row>
    <row r="155" spans="1:79" ht="15.75" customHeight="1" x14ac:dyDescent="0.2">
      <c r="BE155" s="432"/>
      <c r="BF155" s="432"/>
      <c r="BG155" s="432"/>
      <c r="BH155" s="433"/>
      <c r="BI155" s="433"/>
      <c r="BJ155" s="433"/>
      <c r="BK155" s="433"/>
      <c r="BL155" s="433"/>
      <c r="BM155" s="220"/>
      <c r="BN155" s="220"/>
      <c r="BO155" s="220"/>
      <c r="BP155" s="220"/>
      <c r="BQ155" s="220"/>
      <c r="BR155" s="220"/>
      <c r="BS155" s="220"/>
      <c r="BT155" s="220"/>
    </row>
    <row r="156" spans="1:79" ht="13.5" customHeight="1" x14ac:dyDescent="0.2">
      <c r="A156" s="219" t="s">
        <v>125</v>
      </c>
      <c r="B156" s="219"/>
      <c r="C156" s="219"/>
      <c r="D156" s="219"/>
      <c r="BE156" s="434"/>
      <c r="BF156" s="432"/>
      <c r="BG156" s="432"/>
      <c r="BH156" s="216"/>
      <c r="BI156" s="432"/>
      <c r="BJ156" s="432"/>
      <c r="BK156" s="432"/>
      <c r="BL156" s="432"/>
      <c r="BM156" s="432"/>
      <c r="BN156" s="432"/>
      <c r="BO156" s="432"/>
      <c r="BP156" s="432"/>
      <c r="BQ156" s="432"/>
      <c r="BR156" s="432"/>
      <c r="BS156" s="432"/>
      <c r="BT156" s="432"/>
    </row>
    <row r="157" spans="1:79" ht="20.25" hidden="1" customHeight="1" x14ac:dyDescent="0.2">
      <c r="A157" s="221"/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BE157" s="432"/>
      <c r="BF157" s="432"/>
      <c r="BG157" s="432"/>
      <c r="BH157" s="216"/>
      <c r="BI157" s="435"/>
      <c r="BJ157" s="435"/>
      <c r="BK157" s="435"/>
      <c r="BL157" s="435"/>
      <c r="BM157" s="435"/>
      <c r="BN157" s="435"/>
      <c r="BO157" s="432"/>
      <c r="BP157" s="432"/>
      <c r="BQ157" s="432"/>
      <c r="BR157" s="432"/>
      <c r="BS157" s="432"/>
      <c r="BT157" s="432"/>
    </row>
    <row r="158" spans="1:79" ht="24" hidden="1" customHeight="1" x14ac:dyDescent="0.25">
      <c r="A158" s="222"/>
      <c r="B158" s="222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22"/>
      <c r="AD158" s="222"/>
      <c r="AE158" s="222"/>
      <c r="AF158" s="222"/>
      <c r="AG158" s="222"/>
      <c r="AH158" s="222"/>
      <c r="AI158" s="222"/>
      <c r="AJ158" s="222"/>
      <c r="AK158" s="222"/>
      <c r="AL158" s="222"/>
      <c r="AM158" s="222"/>
      <c r="AN158" s="222"/>
      <c r="AO158" s="222"/>
      <c r="AP158" s="222"/>
      <c r="AQ158" s="222"/>
      <c r="AR158" s="222"/>
      <c r="AS158" s="222"/>
      <c r="BE158" s="432"/>
      <c r="BF158" s="432"/>
      <c r="BG158" s="432"/>
      <c r="BH158" s="216"/>
      <c r="BI158" s="435"/>
      <c r="BJ158" s="435"/>
      <c r="BK158" s="435"/>
      <c r="BL158" s="435"/>
      <c r="BM158" s="435"/>
      <c r="BN158" s="435"/>
      <c r="BO158" s="435"/>
      <c r="BP158" s="435"/>
      <c r="BQ158" s="435"/>
      <c r="BR158" s="435"/>
      <c r="BS158" s="435"/>
      <c r="BT158" s="435"/>
    </row>
    <row r="159" spans="1:79" ht="8.25" hidden="1" customHeight="1" x14ac:dyDescent="0.2"/>
    <row r="160" spans="1:79" ht="8.25" hidden="1" customHeight="1" x14ac:dyDescent="0.2"/>
    <row r="161" spans="26:79" ht="6.75" hidden="1" customHeight="1" x14ac:dyDescent="0.2"/>
    <row r="162" spans="26:79" ht="21" hidden="1" customHeight="1" x14ac:dyDescent="0.2">
      <c r="Z162" s="223"/>
      <c r="AA162" s="223"/>
      <c r="AB162" s="223"/>
      <c r="AC162" s="223"/>
      <c r="AD162" s="223"/>
      <c r="AE162" s="223"/>
      <c r="AF162" s="223"/>
      <c r="AG162" s="223"/>
      <c r="BE162" s="432" t="s">
        <v>233</v>
      </c>
      <c r="BF162" s="432"/>
      <c r="BG162" s="432"/>
      <c r="BH162" s="432"/>
      <c r="BI162" s="432"/>
      <c r="BJ162" s="432"/>
      <c r="BK162" s="432"/>
      <c r="BL162" s="432"/>
      <c r="BM162" s="432"/>
      <c r="BN162" s="432"/>
      <c r="BO162" s="432"/>
      <c r="BP162" s="432"/>
      <c r="BQ162" s="432"/>
      <c r="BR162" s="432"/>
      <c r="BS162" s="432"/>
      <c r="BT162" s="432"/>
      <c r="BU162" s="432"/>
      <c r="BV162" s="432"/>
      <c r="BW162" s="432"/>
      <c r="BX162" s="432"/>
      <c r="BY162" s="432"/>
      <c r="BZ162" s="432"/>
      <c r="CA162" s="432"/>
    </row>
    <row r="163" spans="26:79" ht="16.5" hidden="1" customHeight="1" x14ac:dyDescent="0.2">
      <c r="BE163" s="432" t="s">
        <v>126</v>
      </c>
      <c r="BF163" s="432"/>
      <c r="BG163" s="432"/>
      <c r="BH163" s="433">
        <f>250*53</f>
        <v>13250</v>
      </c>
      <c r="BI163" s="433"/>
      <c r="BJ163" s="433"/>
      <c r="BK163" s="433"/>
      <c r="BL163" s="433"/>
      <c r="BM163" s="220" t="s">
        <v>127</v>
      </c>
      <c r="BN163" s="220"/>
      <c r="BO163" s="220"/>
      <c r="BP163" s="220"/>
      <c r="BQ163" s="220"/>
      <c r="BR163" s="220"/>
      <c r="BS163" s="220"/>
      <c r="BT163" s="220"/>
    </row>
    <row r="164" spans="26:79" ht="18" hidden="1" customHeight="1" x14ac:dyDescent="0.2">
      <c r="BE164" s="434">
        <v>0.6</v>
      </c>
      <c r="BF164" s="432"/>
      <c r="BG164" s="432"/>
      <c r="BH164" s="216">
        <f>BH163*BE164</f>
        <v>7950</v>
      </c>
      <c r="BI164" s="432" t="s">
        <v>128</v>
      </c>
      <c r="BJ164" s="432"/>
      <c r="BK164" s="432"/>
      <c r="BL164" s="432"/>
      <c r="BM164" s="432"/>
      <c r="BN164" s="432" t="s">
        <v>129</v>
      </c>
      <c r="BO164" s="432"/>
      <c r="BP164" s="432"/>
      <c r="BQ164" s="432"/>
      <c r="BR164" s="432"/>
      <c r="BS164" s="432"/>
      <c r="BT164" s="432"/>
    </row>
    <row r="165" spans="26:79" ht="17.25" hidden="1" customHeight="1" x14ac:dyDescent="0.2">
      <c r="BE165" s="432">
        <v>211</v>
      </c>
      <c r="BF165" s="432"/>
      <c r="BG165" s="432"/>
      <c r="BH165" s="216">
        <f>BH164-BH166</f>
        <v>6105.9907834101377</v>
      </c>
      <c r="BI165" s="435">
        <f>BH165*0.1</f>
        <v>610.59907834101375</v>
      </c>
      <c r="BJ165" s="435"/>
      <c r="BK165" s="435"/>
      <c r="BL165" s="435"/>
      <c r="BM165" s="435"/>
      <c r="BN165" s="435">
        <f>BH165-BI165</f>
        <v>5495.3917050691243</v>
      </c>
      <c r="BO165" s="432"/>
      <c r="BP165" s="432"/>
      <c r="BQ165" s="432"/>
      <c r="BR165" s="432"/>
      <c r="BS165" s="432"/>
      <c r="BT165" s="432"/>
    </row>
    <row r="166" spans="26:79" ht="15.75" hidden="1" customHeight="1" x14ac:dyDescent="0.2">
      <c r="BE166" s="432">
        <v>213</v>
      </c>
      <c r="BF166" s="432"/>
      <c r="BG166" s="432"/>
      <c r="BH166" s="216">
        <f>BH164*30.2/130.2</f>
        <v>1844.0092165898618</v>
      </c>
      <c r="BI166" s="435">
        <f>BI165*30.2%</f>
        <v>184.40092165898614</v>
      </c>
      <c r="BJ166" s="435"/>
      <c r="BK166" s="435"/>
      <c r="BL166" s="435"/>
      <c r="BM166" s="435"/>
      <c r="BN166" s="435">
        <f>BN165*30.2%</f>
        <v>1659.6082949308754</v>
      </c>
      <c r="BO166" s="435"/>
      <c r="BP166" s="435"/>
      <c r="BQ166" s="435"/>
      <c r="BR166" s="435"/>
      <c r="BS166" s="435"/>
      <c r="BT166" s="435"/>
    </row>
    <row r="167" spans="26:79" ht="8.25" hidden="1" customHeight="1" x14ac:dyDescent="0.2"/>
    <row r="168" spans="26:79" ht="8.25" hidden="1" customHeight="1" x14ac:dyDescent="0.2"/>
    <row r="169" spans="26:79" ht="18" hidden="1" customHeight="1" x14ac:dyDescent="0.2">
      <c r="BE169" s="432"/>
      <c r="BF169" s="432"/>
      <c r="BG169" s="432"/>
      <c r="BH169" s="432"/>
      <c r="BI169" s="432"/>
      <c r="BJ169" s="432"/>
      <c r="BK169" s="432"/>
      <c r="BL169" s="432"/>
      <c r="BM169" s="432"/>
      <c r="BN169" s="432"/>
      <c r="BO169" s="432"/>
      <c r="BP169" s="432"/>
      <c r="BQ169" s="432"/>
      <c r="BR169" s="432"/>
      <c r="BS169" s="432"/>
      <c r="BT169" s="432"/>
      <c r="BU169" s="432"/>
      <c r="BV169" s="432"/>
      <c r="BW169" s="432"/>
      <c r="BX169" s="432"/>
      <c r="BY169" s="432"/>
      <c r="BZ169" s="432"/>
      <c r="CA169" s="432"/>
    </row>
    <row r="170" spans="26:79" ht="19.5" hidden="1" customHeight="1" x14ac:dyDescent="0.2">
      <c r="BE170" s="432" t="s">
        <v>241</v>
      </c>
      <c r="BF170" s="432"/>
      <c r="BG170" s="432"/>
      <c r="BH170" s="432"/>
      <c r="BI170" s="432"/>
      <c r="BJ170" s="432"/>
      <c r="BK170" s="432"/>
      <c r="BL170" s="432"/>
      <c r="BM170" s="432"/>
      <c r="BN170" s="432"/>
      <c r="BO170" s="432"/>
      <c r="BP170" s="432"/>
      <c r="BQ170" s="432"/>
      <c r="BR170" s="432"/>
      <c r="BS170" s="432"/>
      <c r="BT170" s="432"/>
      <c r="BU170" s="432"/>
      <c r="BV170" s="432"/>
      <c r="BW170" s="432"/>
      <c r="BX170" s="432"/>
      <c r="BY170" s="432"/>
      <c r="BZ170" s="432"/>
      <c r="CA170" s="432"/>
    </row>
    <row r="171" spans="26:79" ht="17.25" hidden="1" customHeight="1" x14ac:dyDescent="0.2">
      <c r="BE171" s="432" t="s">
        <v>126</v>
      </c>
      <c r="BF171" s="432"/>
      <c r="BG171" s="432"/>
      <c r="BH171" s="433">
        <f>250*54</f>
        <v>13500</v>
      </c>
      <c r="BI171" s="433"/>
      <c r="BJ171" s="433"/>
      <c r="BK171" s="433"/>
      <c r="BL171" s="433"/>
      <c r="BM171" s="220" t="s">
        <v>127</v>
      </c>
      <c r="BN171" s="220"/>
      <c r="BO171" s="220"/>
      <c r="BP171" s="220"/>
      <c r="BQ171" s="220"/>
      <c r="BR171" s="220"/>
      <c r="BS171" s="220"/>
      <c r="BT171" s="220"/>
    </row>
    <row r="172" spans="26:79" ht="17.25" hidden="1" customHeight="1" x14ac:dyDescent="0.2">
      <c r="BE172" s="434">
        <v>0.6</v>
      </c>
      <c r="BF172" s="432"/>
      <c r="BG172" s="432"/>
      <c r="BH172" s="216">
        <f>BH171*BE172</f>
        <v>8100</v>
      </c>
      <c r="BI172" s="432" t="s">
        <v>128</v>
      </c>
      <c r="BJ172" s="432"/>
      <c r="BK172" s="432"/>
      <c r="BL172" s="432"/>
      <c r="BM172" s="432"/>
      <c r="BN172" s="432" t="s">
        <v>129</v>
      </c>
      <c r="BO172" s="432"/>
      <c r="BP172" s="432"/>
      <c r="BQ172" s="432"/>
      <c r="BR172" s="432"/>
      <c r="BS172" s="432"/>
      <c r="BT172" s="432"/>
    </row>
    <row r="173" spans="26:79" ht="15.75" hidden="1" customHeight="1" x14ac:dyDescent="0.2">
      <c r="BE173" s="432">
        <v>211</v>
      </c>
      <c r="BF173" s="432"/>
      <c r="BG173" s="432"/>
      <c r="BH173" s="216">
        <f>BH172-BH174</f>
        <v>6221.1981566820277</v>
      </c>
      <c r="BI173" s="435">
        <f>BH173*0.1</f>
        <v>622.11981566820282</v>
      </c>
      <c r="BJ173" s="435"/>
      <c r="BK173" s="435"/>
      <c r="BL173" s="435"/>
      <c r="BM173" s="435"/>
      <c r="BN173" s="435">
        <f>BH173-BI173</f>
        <v>5599.0783410138247</v>
      </c>
      <c r="BO173" s="432"/>
      <c r="BP173" s="432"/>
      <c r="BQ173" s="432"/>
      <c r="BR173" s="432"/>
      <c r="BS173" s="432"/>
      <c r="BT173" s="432"/>
    </row>
    <row r="174" spans="26:79" ht="13.5" hidden="1" customHeight="1" x14ac:dyDescent="0.2">
      <c r="BE174" s="432">
        <v>213</v>
      </c>
      <c r="BF174" s="432"/>
      <c r="BG174" s="432"/>
      <c r="BH174" s="216">
        <f>BH172*30.2/130.2</f>
        <v>1878.8018433179725</v>
      </c>
      <c r="BI174" s="435">
        <f>BI173*30.2%</f>
        <v>187.88018433179724</v>
      </c>
      <c r="BJ174" s="435"/>
      <c r="BK174" s="435"/>
      <c r="BL174" s="435"/>
      <c r="BM174" s="435"/>
      <c r="BN174" s="435">
        <f>BN173*30.2%</f>
        <v>1690.9216589861751</v>
      </c>
      <c r="BO174" s="435"/>
      <c r="BP174" s="435"/>
      <c r="BQ174" s="435"/>
      <c r="BR174" s="435"/>
      <c r="BS174" s="435"/>
      <c r="BT174" s="435"/>
    </row>
    <row r="175" spans="26:79" ht="8.25" hidden="1" customHeight="1" x14ac:dyDescent="0.2"/>
    <row r="176" spans="26:79" ht="8.25" hidden="1" customHeight="1" x14ac:dyDescent="0.2"/>
    <row r="177" spans="57:79" ht="15.75" hidden="1" customHeight="1" x14ac:dyDescent="0.2">
      <c r="BE177" s="432"/>
      <c r="BF177" s="432"/>
      <c r="BG177" s="432"/>
      <c r="BH177" s="432"/>
      <c r="BI177" s="432"/>
      <c r="BJ177" s="432"/>
      <c r="BK177" s="432"/>
      <c r="BL177" s="432"/>
      <c r="BM177" s="432"/>
      <c r="BN177" s="432"/>
      <c r="BO177" s="432"/>
      <c r="BP177" s="432"/>
      <c r="BQ177" s="432"/>
      <c r="BR177" s="432"/>
      <c r="BS177" s="432"/>
      <c r="BT177" s="432"/>
      <c r="BU177" s="432"/>
      <c r="BV177" s="432"/>
      <c r="BW177" s="432"/>
      <c r="BX177" s="432"/>
      <c r="BY177" s="432"/>
      <c r="BZ177" s="432"/>
      <c r="CA177" s="432"/>
    </row>
    <row r="178" spans="57:79" ht="12.75" hidden="1" customHeight="1" x14ac:dyDescent="0.2">
      <c r="BE178" s="432" t="s">
        <v>164</v>
      </c>
      <c r="BF178" s="432"/>
      <c r="BG178" s="432"/>
      <c r="BH178" s="432"/>
      <c r="BI178" s="432"/>
      <c r="BJ178" s="432"/>
      <c r="BK178" s="432"/>
      <c r="BL178" s="432"/>
      <c r="BM178" s="432"/>
      <c r="BN178" s="432"/>
      <c r="BO178" s="432"/>
      <c r="BP178" s="432"/>
      <c r="BQ178" s="432"/>
      <c r="BR178" s="432"/>
      <c r="BS178" s="432"/>
      <c r="BT178" s="432"/>
      <c r="BU178" s="432"/>
      <c r="BV178" s="432"/>
      <c r="BW178" s="432"/>
      <c r="BX178" s="432"/>
      <c r="BY178" s="432"/>
      <c r="BZ178" s="432"/>
      <c r="CA178" s="432"/>
    </row>
    <row r="179" spans="57:79" ht="16.5" hidden="1" customHeight="1" x14ac:dyDescent="0.2">
      <c r="BE179" s="432" t="s">
        <v>126</v>
      </c>
      <c r="BF179" s="432"/>
      <c r="BG179" s="432"/>
      <c r="BH179" s="433">
        <f>125*7</f>
        <v>875</v>
      </c>
      <c r="BI179" s="433"/>
      <c r="BJ179" s="433"/>
      <c r="BK179" s="433"/>
      <c r="BL179" s="433"/>
      <c r="BM179" s="220" t="s">
        <v>127</v>
      </c>
      <c r="BN179" s="220"/>
      <c r="BO179" s="220"/>
      <c r="BP179" s="220"/>
      <c r="BQ179" s="220"/>
      <c r="BR179" s="220"/>
      <c r="BS179" s="220"/>
      <c r="BT179" s="220"/>
    </row>
    <row r="180" spans="57:79" ht="16.5" hidden="1" customHeight="1" x14ac:dyDescent="0.2">
      <c r="BE180" s="434">
        <v>0.6</v>
      </c>
      <c r="BF180" s="432"/>
      <c r="BG180" s="432"/>
      <c r="BH180" s="216">
        <f>BH179*BE180</f>
        <v>525</v>
      </c>
      <c r="BI180" s="432" t="s">
        <v>128</v>
      </c>
      <c r="BJ180" s="432"/>
      <c r="BK180" s="432"/>
      <c r="BL180" s="432"/>
      <c r="BM180" s="432"/>
      <c r="BN180" s="432" t="s">
        <v>129</v>
      </c>
      <c r="BO180" s="432"/>
      <c r="BP180" s="432"/>
      <c r="BQ180" s="432"/>
      <c r="BR180" s="432"/>
      <c r="BS180" s="432"/>
      <c r="BT180" s="432"/>
    </row>
    <row r="181" spans="57:79" ht="15" hidden="1" customHeight="1" x14ac:dyDescent="0.2">
      <c r="BE181" s="432">
        <v>211</v>
      </c>
      <c r="BF181" s="432"/>
      <c r="BG181" s="432"/>
      <c r="BH181" s="216">
        <f>BH180-BH182</f>
        <v>403.22580645161293</v>
      </c>
      <c r="BI181" s="435">
        <f>BH181*0.1</f>
        <v>40.322580645161295</v>
      </c>
      <c r="BJ181" s="435"/>
      <c r="BK181" s="435"/>
      <c r="BL181" s="435"/>
      <c r="BM181" s="435"/>
      <c r="BN181" s="435">
        <f>BH181-BI181</f>
        <v>362.90322580645164</v>
      </c>
      <c r="BO181" s="432"/>
      <c r="BP181" s="432"/>
      <c r="BQ181" s="432"/>
      <c r="BR181" s="432"/>
      <c r="BS181" s="432"/>
      <c r="BT181" s="432"/>
    </row>
    <row r="182" spans="57:79" ht="16.5" hidden="1" customHeight="1" x14ac:dyDescent="0.2">
      <c r="BE182" s="432">
        <v>213</v>
      </c>
      <c r="BF182" s="432"/>
      <c r="BG182" s="432"/>
      <c r="BH182" s="216">
        <f>BH180*30.2/130.2</f>
        <v>121.7741935483871</v>
      </c>
      <c r="BI182" s="435">
        <f>BI181*30.2%</f>
        <v>12.17741935483871</v>
      </c>
      <c r="BJ182" s="435"/>
      <c r="BK182" s="435"/>
      <c r="BL182" s="435"/>
      <c r="BM182" s="435"/>
      <c r="BN182" s="435">
        <f>BN181*30.2%</f>
        <v>109.5967741935484</v>
      </c>
      <c r="BO182" s="435"/>
      <c r="BP182" s="435"/>
      <c r="BQ182" s="435"/>
      <c r="BR182" s="435"/>
      <c r="BS182" s="435"/>
      <c r="BT182" s="435"/>
    </row>
    <row r="183" spans="57:79" ht="8.25" hidden="1" customHeight="1" x14ac:dyDescent="0.2"/>
    <row r="184" spans="57:79" ht="8.25" hidden="1" customHeight="1" x14ac:dyDescent="0.2"/>
    <row r="185" spans="57:79" ht="15" hidden="1" customHeight="1" x14ac:dyDescent="0.2">
      <c r="BE185" s="432"/>
      <c r="BF185" s="432"/>
      <c r="BG185" s="432"/>
      <c r="BH185" s="432"/>
      <c r="BI185" s="432"/>
      <c r="BJ185" s="432"/>
      <c r="BK185" s="432"/>
      <c r="BL185" s="432"/>
      <c r="BM185" s="432"/>
      <c r="BN185" s="432"/>
      <c r="BO185" s="432"/>
      <c r="BP185" s="432"/>
      <c r="BQ185" s="432"/>
      <c r="BR185" s="432"/>
      <c r="BS185" s="432"/>
      <c r="BT185" s="432"/>
      <c r="BU185" s="432"/>
      <c r="BV185" s="432"/>
      <c r="BW185" s="432"/>
      <c r="BX185" s="432"/>
      <c r="BY185" s="432"/>
      <c r="BZ185" s="432"/>
      <c r="CA185" s="432"/>
    </row>
    <row r="186" spans="57:79" ht="13.5" hidden="1" customHeight="1" x14ac:dyDescent="0.2">
      <c r="BE186" s="432" t="s">
        <v>174</v>
      </c>
      <c r="BF186" s="432"/>
      <c r="BG186" s="432"/>
      <c r="BH186" s="432"/>
      <c r="BI186" s="432"/>
      <c r="BJ186" s="432"/>
      <c r="BK186" s="432"/>
      <c r="BL186" s="432"/>
      <c r="BM186" s="432"/>
      <c r="BN186" s="432"/>
      <c r="BO186" s="432"/>
      <c r="BP186" s="432"/>
      <c r="BQ186" s="432"/>
      <c r="BR186" s="432"/>
      <c r="BS186" s="432"/>
      <c r="BT186" s="432"/>
      <c r="BU186" s="432"/>
      <c r="BV186" s="432"/>
      <c r="BW186" s="432"/>
      <c r="BX186" s="432"/>
      <c r="BY186" s="432"/>
      <c r="BZ186" s="432"/>
      <c r="CA186" s="432"/>
    </row>
    <row r="187" spans="57:79" ht="15" hidden="1" customHeight="1" x14ac:dyDescent="0.2">
      <c r="BE187" s="432" t="s">
        <v>126</v>
      </c>
      <c r="BF187" s="432"/>
      <c r="BG187" s="432"/>
      <c r="BH187" s="433">
        <f>125*16</f>
        <v>2000</v>
      </c>
      <c r="BI187" s="433"/>
      <c r="BJ187" s="433"/>
      <c r="BK187" s="433"/>
      <c r="BL187" s="433"/>
      <c r="BM187" s="220" t="s">
        <v>127</v>
      </c>
      <c r="BN187" s="220"/>
      <c r="BO187" s="220"/>
      <c r="BP187" s="220"/>
      <c r="BQ187" s="220"/>
      <c r="BR187" s="220"/>
      <c r="BS187" s="220"/>
      <c r="BT187" s="220"/>
    </row>
    <row r="188" spans="57:79" ht="16.5" hidden="1" customHeight="1" x14ac:dyDescent="0.2">
      <c r="BE188" s="434">
        <v>0.6</v>
      </c>
      <c r="BF188" s="432"/>
      <c r="BG188" s="432"/>
      <c r="BH188" s="216">
        <f>BH187*BE188</f>
        <v>1200</v>
      </c>
      <c r="BI188" s="432" t="s">
        <v>128</v>
      </c>
      <c r="BJ188" s="432"/>
      <c r="BK188" s="432"/>
      <c r="BL188" s="432"/>
      <c r="BM188" s="432"/>
      <c r="BN188" s="432" t="s">
        <v>129</v>
      </c>
      <c r="BO188" s="432"/>
      <c r="BP188" s="432"/>
      <c r="BQ188" s="432"/>
      <c r="BR188" s="432"/>
      <c r="BS188" s="432"/>
      <c r="BT188" s="432"/>
    </row>
    <row r="189" spans="57:79" ht="16.5" hidden="1" customHeight="1" x14ac:dyDescent="0.2">
      <c r="BE189" s="432">
        <v>211</v>
      </c>
      <c r="BF189" s="432"/>
      <c r="BG189" s="432"/>
      <c r="BH189" s="216">
        <f>BH188-BH190</f>
        <v>921.65898617511516</v>
      </c>
      <c r="BI189" s="435">
        <f>BH189*0.1</f>
        <v>92.165898617511516</v>
      </c>
      <c r="BJ189" s="435"/>
      <c r="BK189" s="435"/>
      <c r="BL189" s="435"/>
      <c r="BM189" s="435"/>
      <c r="BN189" s="435">
        <f>BH189-BI189</f>
        <v>829.49308755760364</v>
      </c>
      <c r="BO189" s="432"/>
      <c r="BP189" s="432"/>
      <c r="BQ189" s="432"/>
      <c r="BR189" s="432"/>
      <c r="BS189" s="432"/>
      <c r="BT189" s="432"/>
    </row>
    <row r="190" spans="57:79" ht="16.5" hidden="1" customHeight="1" x14ac:dyDescent="0.2">
      <c r="BE190" s="432">
        <v>213</v>
      </c>
      <c r="BF190" s="432"/>
      <c r="BG190" s="432"/>
      <c r="BH190" s="216">
        <f>BH188*30.2/130.2</f>
        <v>278.34101382488484</v>
      </c>
      <c r="BI190" s="435">
        <f>BI189*30.2%</f>
        <v>27.834101382488477</v>
      </c>
      <c r="BJ190" s="435"/>
      <c r="BK190" s="435"/>
      <c r="BL190" s="435"/>
      <c r="BM190" s="435"/>
      <c r="BN190" s="435">
        <f>BN189*30.2%</f>
        <v>250.5069124423963</v>
      </c>
      <c r="BO190" s="435"/>
      <c r="BP190" s="435"/>
      <c r="BQ190" s="435"/>
      <c r="BR190" s="435"/>
      <c r="BS190" s="435"/>
      <c r="BT190" s="435"/>
    </row>
    <row r="191" spans="57:79" ht="8.25" hidden="1" customHeight="1" x14ac:dyDescent="0.2"/>
    <row r="192" spans="57:79" ht="8.25" hidden="1" customHeight="1" x14ac:dyDescent="0.2"/>
    <row r="193" spans="57:79" ht="16.5" hidden="1" customHeight="1" x14ac:dyDescent="0.2">
      <c r="BE193" s="432" t="s">
        <v>178</v>
      </c>
      <c r="BF193" s="432"/>
      <c r="BG193" s="432"/>
      <c r="BH193" s="432"/>
      <c r="BI193" s="432"/>
      <c r="BJ193" s="432"/>
      <c r="BK193" s="432"/>
      <c r="BL193" s="432"/>
      <c r="BM193" s="432"/>
      <c r="BN193" s="432"/>
      <c r="BO193" s="432"/>
      <c r="BP193" s="432"/>
      <c r="BQ193" s="432"/>
      <c r="BR193" s="432"/>
      <c r="BS193" s="432"/>
      <c r="BT193" s="432"/>
      <c r="BU193" s="432"/>
      <c r="BV193" s="432"/>
      <c r="BW193" s="432"/>
      <c r="BX193" s="432"/>
      <c r="BY193" s="432"/>
      <c r="BZ193" s="432"/>
      <c r="CA193" s="432"/>
    </row>
    <row r="194" spans="57:79" ht="18" hidden="1" customHeight="1" x14ac:dyDescent="0.2">
      <c r="BE194" s="432" t="s">
        <v>126</v>
      </c>
      <c r="BF194" s="432"/>
      <c r="BG194" s="432"/>
      <c r="BH194" s="433">
        <f>125*9</f>
        <v>1125</v>
      </c>
      <c r="BI194" s="433"/>
      <c r="BJ194" s="433"/>
      <c r="BK194" s="433"/>
      <c r="BL194" s="433"/>
      <c r="BM194" s="220" t="s">
        <v>127</v>
      </c>
      <c r="BN194" s="220"/>
      <c r="BO194" s="220"/>
      <c r="BP194" s="220"/>
      <c r="BQ194" s="220"/>
      <c r="BR194" s="220"/>
      <c r="BS194" s="220"/>
      <c r="BT194" s="220"/>
    </row>
    <row r="195" spans="57:79" ht="16.5" hidden="1" customHeight="1" x14ac:dyDescent="0.2">
      <c r="BE195" s="434">
        <v>0.6</v>
      </c>
      <c r="BF195" s="432"/>
      <c r="BG195" s="432"/>
      <c r="BH195" s="216">
        <f>BH194*BE195</f>
        <v>675</v>
      </c>
      <c r="BI195" s="432" t="s">
        <v>128</v>
      </c>
      <c r="BJ195" s="432"/>
      <c r="BK195" s="432"/>
      <c r="BL195" s="432"/>
      <c r="BM195" s="432"/>
      <c r="BN195" s="432" t="s">
        <v>129</v>
      </c>
      <c r="BO195" s="432"/>
      <c r="BP195" s="432"/>
      <c r="BQ195" s="432"/>
      <c r="BR195" s="432"/>
      <c r="BS195" s="432"/>
      <c r="BT195" s="432"/>
    </row>
    <row r="196" spans="57:79" ht="17.25" hidden="1" customHeight="1" x14ac:dyDescent="0.2">
      <c r="BE196" s="432">
        <v>211</v>
      </c>
      <c r="BF196" s="432"/>
      <c r="BG196" s="432"/>
      <c r="BH196" s="216">
        <f>BH195-BH197</f>
        <v>518.43317972350223</v>
      </c>
      <c r="BI196" s="435">
        <f>BH196*0.1</f>
        <v>51.843317972350228</v>
      </c>
      <c r="BJ196" s="435"/>
      <c r="BK196" s="435"/>
      <c r="BL196" s="435"/>
      <c r="BM196" s="435"/>
      <c r="BN196" s="435">
        <f>BH196-BI196</f>
        <v>466.589861751152</v>
      </c>
      <c r="BO196" s="432"/>
      <c r="BP196" s="432"/>
      <c r="BQ196" s="432"/>
      <c r="BR196" s="432"/>
      <c r="BS196" s="432"/>
      <c r="BT196" s="432"/>
    </row>
    <row r="197" spans="57:79" ht="18" hidden="1" customHeight="1" x14ac:dyDescent="0.2">
      <c r="BE197" s="432">
        <v>213</v>
      </c>
      <c r="BF197" s="432"/>
      <c r="BG197" s="432"/>
      <c r="BH197" s="216">
        <f>BH195*30.2/130.2</f>
        <v>156.56682027649771</v>
      </c>
      <c r="BI197" s="435">
        <f>BI196*30.2%</f>
        <v>15.656682027649769</v>
      </c>
      <c r="BJ197" s="435"/>
      <c r="BK197" s="435"/>
      <c r="BL197" s="435"/>
      <c r="BM197" s="435"/>
      <c r="BN197" s="435">
        <f>BN196*30.2%</f>
        <v>140.91013824884789</v>
      </c>
      <c r="BO197" s="435"/>
      <c r="BP197" s="435"/>
      <c r="BQ197" s="435"/>
      <c r="BR197" s="435"/>
      <c r="BS197" s="435"/>
      <c r="BT197" s="435"/>
    </row>
    <row r="198" spans="57:79" ht="8.25" hidden="1" customHeight="1" x14ac:dyDescent="0.2"/>
    <row r="199" spans="57:79" ht="8.25" hidden="1" customHeight="1" x14ac:dyDescent="0.2"/>
    <row r="200" spans="57:79" ht="8.25" hidden="1" customHeight="1" x14ac:dyDescent="0.2"/>
    <row r="201" spans="57:79" ht="18.75" hidden="1" customHeight="1" x14ac:dyDescent="0.2">
      <c r="BE201" s="432" t="s">
        <v>188</v>
      </c>
      <c r="BF201" s="432"/>
      <c r="BG201" s="432"/>
      <c r="BH201" s="432"/>
      <c r="BI201" s="432"/>
      <c r="BJ201" s="432"/>
      <c r="BK201" s="432"/>
      <c r="BL201" s="432"/>
      <c r="BM201" s="432"/>
      <c r="BN201" s="432"/>
      <c r="BO201" s="432"/>
      <c r="BP201" s="432"/>
      <c r="BQ201" s="432"/>
      <c r="BR201" s="432"/>
      <c r="BS201" s="432"/>
      <c r="BT201" s="432"/>
      <c r="BU201" s="432"/>
      <c r="BV201" s="432"/>
      <c r="BW201" s="432"/>
      <c r="BX201" s="432"/>
      <c r="BY201" s="432"/>
      <c r="BZ201" s="432"/>
      <c r="CA201" s="432"/>
    </row>
    <row r="202" spans="57:79" ht="18.75" hidden="1" customHeight="1" x14ac:dyDescent="0.2">
      <c r="BE202" s="432" t="s">
        <v>126</v>
      </c>
      <c r="BF202" s="432"/>
      <c r="BG202" s="432"/>
      <c r="BH202" s="433">
        <f>125*4</f>
        <v>500</v>
      </c>
      <c r="BI202" s="433"/>
      <c r="BJ202" s="433"/>
      <c r="BK202" s="433"/>
      <c r="BL202" s="433"/>
      <c r="BM202" s="220" t="s">
        <v>127</v>
      </c>
      <c r="BN202" s="220"/>
      <c r="BO202" s="220"/>
      <c r="BP202" s="220"/>
      <c r="BQ202" s="220"/>
      <c r="BR202" s="220"/>
      <c r="BS202" s="220"/>
      <c r="BT202" s="220"/>
    </row>
    <row r="203" spans="57:79" ht="20.25" hidden="1" customHeight="1" x14ac:dyDescent="0.2">
      <c r="BE203" s="434">
        <v>0.6</v>
      </c>
      <c r="BF203" s="432"/>
      <c r="BG203" s="432"/>
      <c r="BH203" s="216">
        <f>BH202*BE203</f>
        <v>300</v>
      </c>
      <c r="BI203" s="432" t="s">
        <v>128</v>
      </c>
      <c r="BJ203" s="432"/>
      <c r="BK203" s="432"/>
      <c r="BL203" s="432"/>
      <c r="BM203" s="432"/>
      <c r="BN203" s="432" t="s">
        <v>129</v>
      </c>
      <c r="BO203" s="432"/>
      <c r="BP203" s="432"/>
      <c r="BQ203" s="432"/>
      <c r="BR203" s="432"/>
      <c r="BS203" s="432"/>
      <c r="BT203" s="432"/>
    </row>
    <row r="204" spans="57:79" ht="22.5" hidden="1" customHeight="1" x14ac:dyDescent="0.2">
      <c r="BE204" s="432">
        <v>211</v>
      </c>
      <c r="BF204" s="432"/>
      <c r="BG204" s="432"/>
      <c r="BH204" s="216">
        <f>BH203-BH205</f>
        <v>230.41474654377879</v>
      </c>
      <c r="BI204" s="435">
        <f>BH204*0.1</f>
        <v>23.041474654377879</v>
      </c>
      <c r="BJ204" s="435"/>
      <c r="BK204" s="435"/>
      <c r="BL204" s="435"/>
      <c r="BM204" s="435"/>
      <c r="BN204" s="435">
        <f>BH204-BI204</f>
        <v>207.37327188940091</v>
      </c>
      <c r="BO204" s="432"/>
      <c r="BP204" s="432"/>
      <c r="BQ204" s="432"/>
      <c r="BR204" s="432"/>
      <c r="BS204" s="432"/>
      <c r="BT204" s="432"/>
    </row>
    <row r="205" spans="57:79" ht="21" hidden="1" customHeight="1" x14ac:dyDescent="0.2">
      <c r="BE205" s="432">
        <v>213</v>
      </c>
      <c r="BF205" s="432"/>
      <c r="BG205" s="432"/>
      <c r="BH205" s="216">
        <f>BH203*30.2/130.2</f>
        <v>69.58525345622121</v>
      </c>
      <c r="BI205" s="435">
        <f>BI204*30.2%</f>
        <v>6.9585253456221192</v>
      </c>
      <c r="BJ205" s="435"/>
      <c r="BK205" s="435"/>
      <c r="BL205" s="435"/>
      <c r="BM205" s="435"/>
      <c r="BN205" s="435">
        <f>BN204*30.2%</f>
        <v>62.626728110599075</v>
      </c>
      <c r="BO205" s="435"/>
      <c r="BP205" s="435"/>
      <c r="BQ205" s="435"/>
      <c r="BR205" s="435"/>
      <c r="BS205" s="435"/>
      <c r="BT205" s="435"/>
    </row>
    <row r="206" spans="57:79" ht="8.25" hidden="1" customHeight="1" x14ac:dyDescent="0.2"/>
    <row r="207" spans="57:79" ht="8.25" hidden="1" customHeight="1" x14ac:dyDescent="0.2"/>
    <row r="208" spans="57:79" ht="8.25" hidden="1" customHeight="1" x14ac:dyDescent="0.2"/>
    <row r="209" spans="57:79" ht="13.5" hidden="1" customHeight="1" x14ac:dyDescent="0.2">
      <c r="BE209" s="432" t="s">
        <v>268</v>
      </c>
      <c r="BF209" s="432"/>
      <c r="BG209" s="432"/>
      <c r="BH209" s="432"/>
      <c r="BI209" s="432"/>
      <c r="BJ209" s="432"/>
      <c r="BK209" s="432"/>
      <c r="BL209" s="432"/>
      <c r="BM209" s="432"/>
      <c r="BN209" s="432"/>
      <c r="BO209" s="432"/>
      <c r="BP209" s="432"/>
      <c r="BQ209" s="432"/>
      <c r="BR209" s="432"/>
      <c r="BS209" s="432"/>
      <c r="BT209" s="432"/>
      <c r="BU209" s="432"/>
      <c r="BV209" s="432"/>
      <c r="BW209" s="432"/>
      <c r="BX209" s="432"/>
      <c r="BY209" s="432"/>
      <c r="BZ209" s="432"/>
      <c r="CA209" s="432"/>
    </row>
    <row r="210" spans="57:79" ht="12.75" hidden="1" customHeight="1" x14ac:dyDescent="0.2">
      <c r="BE210" s="432" t="s">
        <v>126</v>
      </c>
      <c r="BF210" s="432"/>
      <c r="BG210" s="432"/>
      <c r="BH210" s="433">
        <f>250*0</f>
        <v>0</v>
      </c>
      <c r="BI210" s="433"/>
      <c r="BJ210" s="433"/>
      <c r="BK210" s="433"/>
      <c r="BL210" s="433"/>
      <c r="BM210" s="220" t="s">
        <v>127</v>
      </c>
      <c r="BN210" s="220"/>
      <c r="BO210" s="220"/>
      <c r="BP210" s="220"/>
      <c r="BQ210" s="220"/>
      <c r="BR210" s="220"/>
      <c r="BS210" s="220"/>
      <c r="BT210" s="220"/>
    </row>
    <row r="211" spans="57:79" ht="17.25" hidden="1" customHeight="1" x14ac:dyDescent="0.2">
      <c r="BE211" s="434">
        <v>0.6</v>
      </c>
      <c r="BF211" s="432"/>
      <c r="BG211" s="432"/>
      <c r="BH211" s="216">
        <f>BH210*BE211</f>
        <v>0</v>
      </c>
      <c r="BI211" s="432" t="s">
        <v>128</v>
      </c>
      <c r="BJ211" s="432"/>
      <c r="BK211" s="432"/>
      <c r="BL211" s="432"/>
      <c r="BM211" s="432"/>
      <c r="BN211" s="432" t="s">
        <v>129</v>
      </c>
      <c r="BO211" s="432"/>
      <c r="BP211" s="432"/>
      <c r="BQ211" s="432"/>
      <c r="BR211" s="432"/>
      <c r="BS211" s="432"/>
      <c r="BT211" s="432"/>
    </row>
    <row r="212" spans="57:79" ht="16.5" hidden="1" customHeight="1" x14ac:dyDescent="0.2">
      <c r="BE212" s="432">
        <v>211</v>
      </c>
      <c r="BF212" s="432"/>
      <c r="BG212" s="432"/>
      <c r="BH212" s="216">
        <f>BH211-BH213</f>
        <v>0</v>
      </c>
      <c r="BI212" s="435">
        <f>BH212*0.1</f>
        <v>0</v>
      </c>
      <c r="BJ212" s="435"/>
      <c r="BK212" s="435"/>
      <c r="BL212" s="435"/>
      <c r="BM212" s="435"/>
      <c r="BN212" s="435">
        <f>BH212-BI212</f>
        <v>0</v>
      </c>
      <c r="BO212" s="432"/>
      <c r="BP212" s="432"/>
      <c r="BQ212" s="432"/>
      <c r="BR212" s="432"/>
      <c r="BS212" s="432"/>
      <c r="BT212" s="432"/>
    </row>
    <row r="213" spans="57:79" ht="13.5" hidden="1" customHeight="1" x14ac:dyDescent="0.2">
      <c r="BE213" s="432">
        <v>213</v>
      </c>
      <c r="BF213" s="432"/>
      <c r="BG213" s="432"/>
      <c r="BH213" s="216">
        <f>BH211*30.2/130.2</f>
        <v>0</v>
      </c>
      <c r="BI213" s="435">
        <f>BI212*30.2%</f>
        <v>0</v>
      </c>
      <c r="BJ213" s="435"/>
      <c r="BK213" s="435"/>
      <c r="BL213" s="435"/>
      <c r="BM213" s="435"/>
      <c r="BN213" s="435">
        <f>BN212*30.2%</f>
        <v>0</v>
      </c>
      <c r="BO213" s="435"/>
      <c r="BP213" s="435"/>
      <c r="BQ213" s="435"/>
      <c r="BR213" s="435"/>
      <c r="BS213" s="435"/>
      <c r="BT213" s="435"/>
    </row>
    <row r="214" spans="57:79" ht="15" hidden="1" customHeight="1" x14ac:dyDescent="0.2"/>
    <row r="215" spans="57:79" ht="8.25" hidden="1" customHeight="1" x14ac:dyDescent="0.2"/>
    <row r="216" spans="57:79" ht="12.75" hidden="1" customHeight="1" x14ac:dyDescent="0.2">
      <c r="BE216" s="432" t="s">
        <v>283</v>
      </c>
      <c r="BF216" s="432"/>
      <c r="BG216" s="432"/>
      <c r="BH216" s="432"/>
      <c r="BI216" s="432"/>
      <c r="BJ216" s="432"/>
      <c r="BK216" s="432"/>
      <c r="BL216" s="432"/>
      <c r="BM216" s="432"/>
      <c r="BN216" s="432"/>
      <c r="BO216" s="432"/>
      <c r="BP216" s="432"/>
      <c r="BQ216" s="432"/>
      <c r="BR216" s="432"/>
      <c r="BS216" s="432"/>
      <c r="BT216" s="432"/>
      <c r="BU216" s="432"/>
      <c r="BV216" s="432"/>
      <c r="BW216" s="432"/>
      <c r="BX216" s="432"/>
      <c r="BY216" s="432"/>
      <c r="BZ216" s="432"/>
      <c r="CA216" s="432"/>
    </row>
    <row r="217" spans="57:79" ht="12.75" hidden="1" customHeight="1" x14ac:dyDescent="0.2">
      <c r="BE217" s="432" t="s">
        <v>126</v>
      </c>
      <c r="BF217" s="432"/>
      <c r="BG217" s="432"/>
      <c r="BH217" s="433">
        <f>250*47</f>
        <v>11750</v>
      </c>
      <c r="BI217" s="433"/>
      <c r="BJ217" s="433"/>
      <c r="BK217" s="433"/>
      <c r="BL217" s="433"/>
      <c r="BM217" s="220" t="s">
        <v>127</v>
      </c>
      <c r="BN217" s="220"/>
      <c r="BO217" s="220"/>
      <c r="BP217" s="220"/>
      <c r="BQ217" s="220"/>
      <c r="BR217" s="220"/>
      <c r="BS217" s="220"/>
      <c r="BT217" s="220"/>
    </row>
    <row r="218" spans="57:79" ht="12.75" hidden="1" customHeight="1" x14ac:dyDescent="0.2">
      <c r="BE218" s="434">
        <v>0.6</v>
      </c>
      <c r="BF218" s="432"/>
      <c r="BG218" s="432"/>
      <c r="BH218" s="216">
        <f>BH217*BE218</f>
        <v>7050</v>
      </c>
      <c r="BI218" s="432" t="s">
        <v>128</v>
      </c>
      <c r="BJ218" s="432"/>
      <c r="BK218" s="432"/>
      <c r="BL218" s="432"/>
      <c r="BM218" s="432"/>
      <c r="BN218" s="432" t="s">
        <v>129</v>
      </c>
      <c r="BO218" s="432"/>
      <c r="BP218" s="432"/>
      <c r="BQ218" s="432"/>
      <c r="BR218" s="432"/>
      <c r="BS218" s="432"/>
      <c r="BT218" s="432"/>
    </row>
    <row r="219" spans="57:79" ht="12.75" hidden="1" customHeight="1" x14ac:dyDescent="0.2">
      <c r="BE219" s="432">
        <v>211</v>
      </c>
      <c r="BF219" s="432"/>
      <c r="BG219" s="432"/>
      <c r="BH219" s="216">
        <f>BH218-BH220</f>
        <v>5414.7465437788014</v>
      </c>
      <c r="BI219" s="435">
        <f>BH219*0.1</f>
        <v>541.47465437788014</v>
      </c>
      <c r="BJ219" s="435"/>
      <c r="BK219" s="435"/>
      <c r="BL219" s="435"/>
      <c r="BM219" s="435"/>
      <c r="BN219" s="435">
        <f>BH219-BI219</f>
        <v>4873.2718894009213</v>
      </c>
      <c r="BO219" s="432"/>
      <c r="BP219" s="432"/>
      <c r="BQ219" s="432"/>
      <c r="BR219" s="432"/>
      <c r="BS219" s="432"/>
      <c r="BT219" s="432"/>
    </row>
    <row r="220" spans="57:79" ht="12.75" hidden="1" customHeight="1" x14ac:dyDescent="0.2">
      <c r="BE220" s="432">
        <v>213</v>
      </c>
      <c r="BF220" s="432"/>
      <c r="BG220" s="432"/>
      <c r="BH220" s="216">
        <f>BH218*30.2/130.2</f>
        <v>1635.2534562211983</v>
      </c>
      <c r="BI220" s="435">
        <f>BI219*30.2%</f>
        <v>163.5253456221198</v>
      </c>
      <c r="BJ220" s="435"/>
      <c r="BK220" s="435"/>
      <c r="BL220" s="435"/>
      <c r="BM220" s="435"/>
      <c r="BN220" s="435">
        <f>BN219*30.2%</f>
        <v>1471.7281105990783</v>
      </c>
      <c r="BO220" s="435"/>
      <c r="BP220" s="435"/>
      <c r="BQ220" s="435"/>
      <c r="BR220" s="435"/>
      <c r="BS220" s="435"/>
      <c r="BT220" s="435"/>
    </row>
    <row r="221" spans="57:79" ht="12.75" hidden="1" customHeight="1" x14ac:dyDescent="0.2"/>
    <row r="222" spans="57:79" ht="6" hidden="1" customHeight="1" x14ac:dyDescent="0.2"/>
    <row r="223" spans="57:79" ht="15" hidden="1" customHeight="1" x14ac:dyDescent="0.2">
      <c r="BE223" s="432" t="s">
        <v>287</v>
      </c>
      <c r="BF223" s="432"/>
      <c r="BG223" s="432"/>
      <c r="BH223" s="432"/>
      <c r="BI223" s="432"/>
      <c r="BJ223" s="432"/>
      <c r="BK223" s="432"/>
      <c r="BL223" s="432"/>
      <c r="BM223" s="432"/>
      <c r="BN223" s="432"/>
      <c r="BO223" s="432"/>
      <c r="BP223" s="432"/>
      <c r="BQ223" s="432"/>
      <c r="BR223" s="432"/>
      <c r="BS223" s="432"/>
      <c r="BT223" s="432"/>
      <c r="BU223" s="432"/>
      <c r="BV223" s="432"/>
      <c r="BW223" s="432"/>
      <c r="BX223" s="432"/>
      <c r="BY223" s="432"/>
      <c r="BZ223" s="432"/>
      <c r="CA223" s="432"/>
    </row>
    <row r="224" spans="57:79" ht="15" hidden="1" customHeight="1" x14ac:dyDescent="0.2">
      <c r="BE224" s="432" t="s">
        <v>126</v>
      </c>
      <c r="BF224" s="432"/>
      <c r="BG224" s="432"/>
      <c r="BH224" s="433">
        <f>250*38</f>
        <v>9500</v>
      </c>
      <c r="BI224" s="433"/>
      <c r="BJ224" s="433"/>
      <c r="BK224" s="433"/>
      <c r="BL224" s="433"/>
      <c r="BM224" s="220" t="s">
        <v>127</v>
      </c>
      <c r="BN224" s="220"/>
      <c r="BO224" s="220"/>
      <c r="BP224" s="220"/>
      <c r="BQ224" s="220"/>
      <c r="BR224" s="220"/>
      <c r="BS224" s="220"/>
      <c r="BT224" s="220"/>
    </row>
    <row r="225" spans="57:79" ht="15" hidden="1" customHeight="1" x14ac:dyDescent="0.2">
      <c r="BE225" s="434">
        <v>0.6</v>
      </c>
      <c r="BF225" s="432"/>
      <c r="BG225" s="432"/>
      <c r="BH225" s="216">
        <f>BH224*BE225</f>
        <v>5700</v>
      </c>
      <c r="BI225" s="432" t="s">
        <v>128</v>
      </c>
      <c r="BJ225" s="432"/>
      <c r="BK225" s="432"/>
      <c r="BL225" s="432"/>
      <c r="BM225" s="432"/>
      <c r="BN225" s="432" t="s">
        <v>129</v>
      </c>
      <c r="BO225" s="432"/>
      <c r="BP225" s="432"/>
      <c r="BQ225" s="432"/>
      <c r="BR225" s="432"/>
      <c r="BS225" s="432"/>
      <c r="BT225" s="432"/>
    </row>
    <row r="226" spans="57:79" ht="15" hidden="1" customHeight="1" x14ac:dyDescent="0.2">
      <c r="BE226" s="432">
        <v>211</v>
      </c>
      <c r="BF226" s="432"/>
      <c r="BG226" s="432"/>
      <c r="BH226" s="216">
        <f>BH225-BH227</f>
        <v>4377.880184331797</v>
      </c>
      <c r="BI226" s="435">
        <f>BH226*0.1</f>
        <v>437.78801843317973</v>
      </c>
      <c r="BJ226" s="435"/>
      <c r="BK226" s="435"/>
      <c r="BL226" s="435"/>
      <c r="BM226" s="435"/>
      <c r="BN226" s="435">
        <f>BH226-BI226</f>
        <v>3940.0921658986172</v>
      </c>
      <c r="BO226" s="432"/>
      <c r="BP226" s="432"/>
      <c r="BQ226" s="432"/>
      <c r="BR226" s="432"/>
      <c r="BS226" s="432"/>
      <c r="BT226" s="432"/>
    </row>
    <row r="227" spans="57:79" ht="15" hidden="1" customHeight="1" x14ac:dyDescent="0.2">
      <c r="BE227" s="432">
        <v>213</v>
      </c>
      <c r="BF227" s="432"/>
      <c r="BG227" s="432"/>
      <c r="BH227" s="216">
        <f>BH225*30.2/130.2</f>
        <v>1322.1198156682028</v>
      </c>
      <c r="BI227" s="435">
        <f>BI226*30.2%</f>
        <v>132.21198156682027</v>
      </c>
      <c r="BJ227" s="435"/>
      <c r="BK227" s="435"/>
      <c r="BL227" s="435"/>
      <c r="BM227" s="435"/>
      <c r="BN227" s="435">
        <f>BN226*30.2%</f>
        <v>1189.9078341013824</v>
      </c>
      <c r="BO227" s="435"/>
      <c r="BP227" s="435"/>
      <c r="BQ227" s="435"/>
      <c r="BR227" s="435"/>
      <c r="BS227" s="435"/>
      <c r="BT227" s="435"/>
    </row>
    <row r="228" spans="57:79" ht="15" hidden="1" customHeight="1" x14ac:dyDescent="0.2"/>
    <row r="229" spans="57:79" ht="8.25" hidden="1" customHeight="1" x14ac:dyDescent="0.2"/>
    <row r="230" spans="57:79" ht="15" hidden="1" customHeight="1" x14ac:dyDescent="0.2">
      <c r="BE230" s="432" t="s">
        <v>294</v>
      </c>
      <c r="BF230" s="432"/>
      <c r="BG230" s="432"/>
      <c r="BH230" s="432"/>
      <c r="BI230" s="432"/>
      <c r="BJ230" s="432"/>
      <c r="BK230" s="432"/>
      <c r="BL230" s="432"/>
      <c r="BM230" s="432"/>
      <c r="BN230" s="432"/>
      <c r="BO230" s="432"/>
      <c r="BP230" s="432"/>
      <c r="BQ230" s="432"/>
      <c r="BR230" s="432"/>
      <c r="BS230" s="432"/>
      <c r="BT230" s="432"/>
      <c r="BU230" s="432"/>
      <c r="BV230" s="432"/>
      <c r="BW230" s="432"/>
      <c r="BX230" s="432"/>
      <c r="BY230" s="432"/>
      <c r="BZ230" s="432"/>
      <c r="CA230" s="432"/>
    </row>
    <row r="231" spans="57:79" ht="15" hidden="1" customHeight="1" x14ac:dyDescent="0.2">
      <c r="BE231" s="432" t="s">
        <v>126</v>
      </c>
      <c r="BF231" s="432"/>
      <c r="BG231" s="432"/>
      <c r="BH231" s="433">
        <f>250*35</f>
        <v>8750</v>
      </c>
      <c r="BI231" s="433"/>
      <c r="BJ231" s="433"/>
      <c r="BK231" s="433"/>
      <c r="BL231" s="433"/>
      <c r="BM231" s="220" t="s">
        <v>127</v>
      </c>
      <c r="BN231" s="220"/>
      <c r="BO231" s="220"/>
      <c r="BP231" s="220"/>
      <c r="BQ231" s="220"/>
      <c r="BR231" s="220"/>
      <c r="BS231" s="220"/>
      <c r="BT231" s="220"/>
    </row>
    <row r="232" spans="57:79" ht="15" hidden="1" customHeight="1" x14ac:dyDescent="0.2">
      <c r="BE232" s="434">
        <v>0.6</v>
      </c>
      <c r="BF232" s="432"/>
      <c r="BG232" s="432"/>
      <c r="BH232" s="216">
        <f>BH231*BE232</f>
        <v>5250</v>
      </c>
      <c r="BI232" s="432" t="s">
        <v>128</v>
      </c>
      <c r="BJ232" s="432"/>
      <c r="BK232" s="432"/>
      <c r="BL232" s="432"/>
      <c r="BM232" s="432"/>
      <c r="BN232" s="432" t="s">
        <v>129</v>
      </c>
      <c r="BO232" s="432"/>
      <c r="BP232" s="432"/>
      <c r="BQ232" s="432"/>
      <c r="BR232" s="432"/>
      <c r="BS232" s="432"/>
      <c r="BT232" s="432"/>
    </row>
    <row r="233" spans="57:79" ht="15" hidden="1" customHeight="1" x14ac:dyDescent="0.2">
      <c r="BE233" s="432">
        <v>211</v>
      </c>
      <c r="BF233" s="432"/>
      <c r="BG233" s="432"/>
      <c r="BH233" s="216">
        <f>BH232-BH234</f>
        <v>4032.2580645161288</v>
      </c>
      <c r="BI233" s="435">
        <f>BH233*0.1</f>
        <v>403.22580645161293</v>
      </c>
      <c r="BJ233" s="435"/>
      <c r="BK233" s="435"/>
      <c r="BL233" s="435"/>
      <c r="BM233" s="435"/>
      <c r="BN233" s="435">
        <f>BH233-BI233</f>
        <v>3629.0322580645161</v>
      </c>
      <c r="BO233" s="432"/>
      <c r="BP233" s="432"/>
      <c r="BQ233" s="432"/>
      <c r="BR233" s="432"/>
      <c r="BS233" s="432"/>
      <c r="BT233" s="432"/>
    </row>
    <row r="234" spans="57:79" ht="15" hidden="1" customHeight="1" x14ac:dyDescent="0.2">
      <c r="BE234" s="432">
        <v>213</v>
      </c>
      <c r="BF234" s="432"/>
      <c r="BG234" s="432"/>
      <c r="BH234" s="216">
        <f>BH232*30.2/130.2</f>
        <v>1217.741935483871</v>
      </c>
      <c r="BI234" s="435">
        <f>BI233*30.2%</f>
        <v>121.7741935483871</v>
      </c>
      <c r="BJ234" s="435"/>
      <c r="BK234" s="435"/>
      <c r="BL234" s="435"/>
      <c r="BM234" s="435"/>
      <c r="BN234" s="435">
        <f>BN233*30.2%</f>
        <v>1095.9677419354839</v>
      </c>
      <c r="BO234" s="435"/>
      <c r="BP234" s="435"/>
      <c r="BQ234" s="435"/>
      <c r="BR234" s="435"/>
      <c r="BS234" s="435"/>
      <c r="BT234" s="435"/>
    </row>
    <row r="235" spans="57:79" ht="15" hidden="1" customHeight="1" x14ac:dyDescent="0.2"/>
    <row r="236" spans="57:79" ht="9" hidden="1" customHeight="1" x14ac:dyDescent="0.2"/>
    <row r="237" spans="57:79" ht="15" hidden="1" customHeight="1" x14ac:dyDescent="0.2">
      <c r="BE237" s="432" t="s">
        <v>304</v>
      </c>
      <c r="BF237" s="432"/>
      <c r="BG237" s="432"/>
      <c r="BH237" s="432"/>
      <c r="BI237" s="432"/>
      <c r="BJ237" s="432"/>
      <c r="BK237" s="432"/>
      <c r="BL237" s="432"/>
      <c r="BM237" s="432"/>
      <c r="BN237" s="432"/>
      <c r="BO237" s="432"/>
      <c r="BP237" s="432"/>
      <c r="BQ237" s="432"/>
      <c r="BR237" s="432"/>
      <c r="BS237" s="432"/>
      <c r="BT237" s="432"/>
      <c r="BU237" s="432"/>
      <c r="BV237" s="432"/>
      <c r="BW237" s="432"/>
      <c r="BX237" s="432"/>
      <c r="BY237" s="432"/>
      <c r="BZ237" s="432"/>
      <c r="CA237" s="432"/>
    </row>
    <row r="238" spans="57:79" ht="15" hidden="1" customHeight="1" x14ac:dyDescent="0.2">
      <c r="BE238" s="432" t="s">
        <v>126</v>
      </c>
      <c r="BF238" s="432"/>
      <c r="BG238" s="432"/>
      <c r="BH238" s="433">
        <f>250*32</f>
        <v>8000</v>
      </c>
      <c r="BI238" s="433"/>
      <c r="BJ238" s="433"/>
      <c r="BK238" s="433"/>
      <c r="BL238" s="433"/>
      <c r="BM238" s="220" t="s">
        <v>127</v>
      </c>
      <c r="BN238" s="220"/>
      <c r="BO238" s="220"/>
      <c r="BP238" s="220"/>
      <c r="BQ238" s="220"/>
      <c r="BR238" s="220"/>
      <c r="BS238" s="220"/>
      <c r="BT238" s="220"/>
    </row>
    <row r="239" spans="57:79" ht="15" hidden="1" customHeight="1" x14ac:dyDescent="0.2">
      <c r="BE239" s="434">
        <v>0.6</v>
      </c>
      <c r="BF239" s="432"/>
      <c r="BG239" s="432"/>
      <c r="BH239" s="216">
        <f>BH238*BE239</f>
        <v>4800</v>
      </c>
      <c r="BI239" s="432" t="s">
        <v>128</v>
      </c>
      <c r="BJ239" s="432"/>
      <c r="BK239" s="432"/>
      <c r="BL239" s="432"/>
      <c r="BM239" s="432"/>
      <c r="BN239" s="432" t="s">
        <v>129</v>
      </c>
      <c r="BO239" s="432"/>
      <c r="BP239" s="432"/>
      <c r="BQ239" s="432"/>
      <c r="BR239" s="432"/>
      <c r="BS239" s="432"/>
      <c r="BT239" s="432"/>
    </row>
    <row r="240" spans="57:79" ht="15" hidden="1" customHeight="1" x14ac:dyDescent="0.2">
      <c r="BE240" s="432">
        <v>211</v>
      </c>
      <c r="BF240" s="432"/>
      <c r="BG240" s="432"/>
      <c r="BH240" s="216">
        <f>BH239-BH241</f>
        <v>3686.6359447004606</v>
      </c>
      <c r="BI240" s="435">
        <f>BH240*0.1</f>
        <v>368.66359447004606</v>
      </c>
      <c r="BJ240" s="435"/>
      <c r="BK240" s="435"/>
      <c r="BL240" s="435"/>
      <c r="BM240" s="435"/>
      <c r="BN240" s="435">
        <f>BH240-BI240</f>
        <v>3317.9723502304146</v>
      </c>
      <c r="BO240" s="432"/>
      <c r="BP240" s="432"/>
      <c r="BQ240" s="432"/>
      <c r="BR240" s="432"/>
      <c r="BS240" s="432"/>
      <c r="BT240" s="432"/>
    </row>
    <row r="241" spans="2:79" ht="15" hidden="1" customHeight="1" x14ac:dyDescent="0.2">
      <c r="BE241" s="432">
        <v>213</v>
      </c>
      <c r="BF241" s="432"/>
      <c r="BG241" s="432"/>
      <c r="BH241" s="216">
        <f>BH239*30.2/130.2</f>
        <v>1113.3640552995394</v>
      </c>
      <c r="BI241" s="435">
        <f>BI240*30.2%</f>
        <v>111.33640552995391</v>
      </c>
      <c r="BJ241" s="435"/>
      <c r="BK241" s="435"/>
      <c r="BL241" s="435"/>
      <c r="BM241" s="435"/>
      <c r="BN241" s="435">
        <f>BN240*30.2%</f>
        <v>1002.0276497695852</v>
      </c>
      <c r="BO241" s="435"/>
      <c r="BP241" s="435"/>
      <c r="BQ241" s="435"/>
      <c r="BR241" s="435"/>
      <c r="BS241" s="435"/>
      <c r="BT241" s="435"/>
    </row>
    <row r="242" spans="2:79" ht="15" hidden="1" customHeight="1" x14ac:dyDescent="0.25">
      <c r="B242" s="444" t="s">
        <v>434</v>
      </c>
      <c r="C242" s="441"/>
      <c r="D242" s="441"/>
      <c r="E242" s="441"/>
      <c r="F242" s="441"/>
      <c r="G242" s="441"/>
    </row>
    <row r="243" spans="2:79" ht="12" hidden="1" x14ac:dyDescent="0.2">
      <c r="BE243" s="432" t="s">
        <v>335</v>
      </c>
      <c r="BF243" s="432"/>
      <c r="BG243" s="432"/>
      <c r="BH243" s="432"/>
      <c r="BI243" s="432"/>
      <c r="BJ243" s="432"/>
      <c r="BK243" s="432"/>
      <c r="BL243" s="432"/>
      <c r="BM243" s="432"/>
      <c r="BN243" s="432"/>
      <c r="BO243" s="432"/>
      <c r="BP243" s="432"/>
      <c r="BQ243" s="432"/>
      <c r="BR243" s="432"/>
      <c r="BS243" s="432"/>
      <c r="BT243" s="432"/>
      <c r="BU243" s="432"/>
      <c r="BV243" s="432"/>
      <c r="BW243" s="432"/>
      <c r="BX243" s="432"/>
      <c r="BY243" s="432"/>
      <c r="BZ243" s="432"/>
      <c r="CA243" s="432"/>
    </row>
    <row r="244" spans="2:79" ht="12" hidden="1" x14ac:dyDescent="0.2">
      <c r="BE244" s="432" t="s">
        <v>126</v>
      </c>
      <c r="BF244" s="432"/>
      <c r="BG244" s="432"/>
      <c r="BH244" s="433">
        <f>250*8</f>
        <v>2000</v>
      </c>
      <c r="BI244" s="433"/>
      <c r="BJ244" s="433"/>
      <c r="BK244" s="433"/>
      <c r="BL244" s="433"/>
      <c r="BM244" s="227" t="s">
        <v>127</v>
      </c>
      <c r="BN244" s="227"/>
      <c r="BO244" s="227"/>
      <c r="BP244" s="227"/>
      <c r="BQ244" s="227"/>
      <c r="BR244" s="227"/>
      <c r="BS244" s="227"/>
      <c r="BT244" s="227"/>
    </row>
    <row r="245" spans="2:79" ht="12" hidden="1" x14ac:dyDescent="0.2">
      <c r="BE245" s="434">
        <v>0.6</v>
      </c>
      <c r="BF245" s="432"/>
      <c r="BG245" s="432"/>
      <c r="BH245" s="216">
        <f>BH244*BE245</f>
        <v>1200</v>
      </c>
      <c r="BI245" s="432" t="s">
        <v>128</v>
      </c>
      <c r="BJ245" s="432"/>
      <c r="BK245" s="432"/>
      <c r="BL245" s="432"/>
      <c r="BM245" s="432"/>
      <c r="BN245" s="432" t="s">
        <v>129</v>
      </c>
      <c r="BO245" s="432"/>
      <c r="BP245" s="432"/>
      <c r="BQ245" s="432"/>
      <c r="BR245" s="432"/>
      <c r="BS245" s="432"/>
      <c r="BT245" s="432"/>
    </row>
    <row r="246" spans="2:79" ht="12" hidden="1" x14ac:dyDescent="0.2">
      <c r="BE246" s="432">
        <v>211</v>
      </c>
      <c r="BF246" s="432"/>
      <c r="BG246" s="432"/>
      <c r="BH246" s="216">
        <f>BH245-BH247</f>
        <v>921.65898617511516</v>
      </c>
      <c r="BI246" s="435">
        <f>BH246*0.1</f>
        <v>92.165898617511516</v>
      </c>
      <c r="BJ246" s="435"/>
      <c r="BK246" s="435"/>
      <c r="BL246" s="435"/>
      <c r="BM246" s="435"/>
      <c r="BN246" s="436">
        <f>BH246-BI246</f>
        <v>829.49308755760364</v>
      </c>
      <c r="BO246" s="445"/>
      <c r="BP246" s="445"/>
      <c r="BQ246" s="445"/>
      <c r="BR246" s="445"/>
      <c r="BS246" s="445"/>
      <c r="BT246" s="445"/>
    </row>
    <row r="247" spans="2:79" ht="12" hidden="1" x14ac:dyDescent="0.2">
      <c r="BE247" s="432">
        <v>213</v>
      </c>
      <c r="BF247" s="432"/>
      <c r="BG247" s="432"/>
      <c r="BH247" s="216">
        <f>BH245*30.2/130.2</f>
        <v>278.34101382488484</v>
      </c>
      <c r="BI247" s="435">
        <f>BI246*30.2%</f>
        <v>27.834101382488477</v>
      </c>
      <c r="BJ247" s="435"/>
      <c r="BK247" s="435"/>
      <c r="BL247" s="435"/>
      <c r="BM247" s="435"/>
      <c r="BN247" s="435">
        <f>BN246*30.2%</f>
        <v>250.5069124423963</v>
      </c>
      <c r="BO247" s="435"/>
      <c r="BP247" s="435"/>
      <c r="BQ247" s="435"/>
      <c r="BR247" s="435"/>
      <c r="BS247" s="435"/>
      <c r="BT247" s="435"/>
    </row>
    <row r="248" spans="2:79" ht="8.25" hidden="1" customHeight="1" x14ac:dyDescent="0.2"/>
    <row r="249" spans="2:79" ht="8.25" hidden="1" customHeight="1" x14ac:dyDescent="0.2"/>
    <row r="250" spans="2:79" ht="8.25" hidden="1" customHeight="1" x14ac:dyDescent="0.2"/>
    <row r="251" spans="2:79" ht="8.25" hidden="1" customHeight="1" x14ac:dyDescent="0.2"/>
    <row r="252" spans="2:79" ht="12" hidden="1" x14ac:dyDescent="0.2">
      <c r="BE252" s="432" t="s">
        <v>344</v>
      </c>
      <c r="BF252" s="432"/>
      <c r="BG252" s="432"/>
      <c r="BH252" s="432"/>
      <c r="BI252" s="432"/>
      <c r="BJ252" s="432"/>
      <c r="BK252" s="432"/>
      <c r="BL252" s="432"/>
      <c r="BM252" s="432"/>
      <c r="BN252" s="432"/>
      <c r="BO252" s="432"/>
      <c r="BP252" s="432"/>
      <c r="BQ252" s="432"/>
      <c r="BR252" s="432"/>
      <c r="BS252" s="432"/>
      <c r="BT252" s="432"/>
      <c r="BU252" s="432"/>
      <c r="BV252" s="432"/>
      <c r="BW252" s="432"/>
      <c r="BX252" s="432"/>
      <c r="BY252" s="432"/>
      <c r="BZ252" s="432"/>
      <c r="CA252" s="432"/>
    </row>
    <row r="253" spans="2:79" ht="12" hidden="1" x14ac:dyDescent="0.2">
      <c r="BE253" s="432" t="s">
        <v>126</v>
      </c>
      <c r="BF253" s="432"/>
      <c r="BG253" s="432"/>
      <c r="BH253" s="433">
        <f>250*29</f>
        <v>7250</v>
      </c>
      <c r="BI253" s="433"/>
      <c r="BJ253" s="433"/>
      <c r="BK253" s="433"/>
      <c r="BL253" s="433"/>
      <c r="BM253" s="228" t="s">
        <v>127</v>
      </c>
      <c r="BN253" s="228"/>
      <c r="BO253" s="228"/>
      <c r="BP253" s="228"/>
      <c r="BQ253" s="228"/>
      <c r="BR253" s="228"/>
      <c r="BS253" s="228"/>
      <c r="BT253" s="228"/>
    </row>
    <row r="254" spans="2:79" ht="12" hidden="1" x14ac:dyDescent="0.2">
      <c r="BE254" s="434">
        <v>0.6</v>
      </c>
      <c r="BF254" s="432"/>
      <c r="BG254" s="432"/>
      <c r="BH254" s="216">
        <f>BH253*BE254</f>
        <v>4350</v>
      </c>
      <c r="BI254" s="432" t="s">
        <v>128</v>
      </c>
      <c r="BJ254" s="432"/>
      <c r="BK254" s="432"/>
      <c r="BL254" s="432"/>
      <c r="BM254" s="432"/>
      <c r="BN254" s="432" t="s">
        <v>129</v>
      </c>
      <c r="BO254" s="432"/>
      <c r="BP254" s="432"/>
      <c r="BQ254" s="432"/>
      <c r="BR254" s="432"/>
      <c r="BS254" s="432"/>
      <c r="BT254" s="432"/>
    </row>
    <row r="255" spans="2:79" ht="12" hidden="1" x14ac:dyDescent="0.2">
      <c r="BE255" s="432">
        <v>211</v>
      </c>
      <c r="BF255" s="432"/>
      <c r="BG255" s="432"/>
      <c r="BH255" s="216">
        <f>BH254-BH256</f>
        <v>3341.0138248847925</v>
      </c>
      <c r="BI255" s="435">
        <f>BH255*0.1</f>
        <v>334.10138248847926</v>
      </c>
      <c r="BJ255" s="435"/>
      <c r="BK255" s="435"/>
      <c r="BL255" s="435"/>
      <c r="BM255" s="435"/>
      <c r="BN255" s="436">
        <f>BH255-BI255</f>
        <v>3006.9124423963131</v>
      </c>
      <c r="BO255" s="445"/>
      <c r="BP255" s="445"/>
      <c r="BQ255" s="445"/>
      <c r="BR255" s="445"/>
      <c r="BS255" s="445"/>
      <c r="BT255" s="445"/>
    </row>
    <row r="256" spans="2:79" ht="12" hidden="1" x14ac:dyDescent="0.2">
      <c r="BE256" s="432">
        <v>213</v>
      </c>
      <c r="BF256" s="432"/>
      <c r="BG256" s="432"/>
      <c r="BH256" s="216">
        <f>BH254*30.2/130.2</f>
        <v>1008.9861751152075</v>
      </c>
      <c r="BI256" s="435">
        <f>BI255*30.2%</f>
        <v>100.89861751152074</v>
      </c>
      <c r="BJ256" s="435"/>
      <c r="BK256" s="435"/>
      <c r="BL256" s="435"/>
      <c r="BM256" s="435"/>
      <c r="BN256" s="435">
        <f>BN255*30.2%</f>
        <v>908.08755760368649</v>
      </c>
      <c r="BO256" s="435"/>
      <c r="BP256" s="435"/>
      <c r="BQ256" s="435"/>
      <c r="BR256" s="435"/>
      <c r="BS256" s="435"/>
      <c r="BT256" s="435"/>
    </row>
    <row r="257" spans="57:98" ht="8.25" hidden="1" customHeight="1" x14ac:dyDescent="0.2"/>
    <row r="258" spans="57:98" ht="8.25" hidden="1" customHeight="1" x14ac:dyDescent="0.2"/>
    <row r="259" spans="57:98" ht="12" hidden="1" x14ac:dyDescent="0.2">
      <c r="BE259" s="432" t="s">
        <v>357</v>
      </c>
      <c r="BF259" s="432"/>
      <c r="BG259" s="432"/>
      <c r="BH259" s="432"/>
      <c r="BI259" s="432"/>
      <c r="BJ259" s="432"/>
      <c r="BK259" s="432"/>
      <c r="BL259" s="432"/>
      <c r="BM259" s="432"/>
      <c r="BN259" s="432"/>
      <c r="BO259" s="432"/>
      <c r="BP259" s="432"/>
      <c r="BQ259" s="432"/>
      <c r="BR259" s="432"/>
      <c r="BS259" s="432"/>
      <c r="BT259" s="432"/>
      <c r="BU259" s="432"/>
      <c r="BV259" s="432"/>
      <c r="BW259" s="432"/>
      <c r="BX259" s="432"/>
      <c r="BY259" s="432"/>
      <c r="BZ259" s="432"/>
      <c r="CA259" s="432"/>
    </row>
    <row r="260" spans="57:98" ht="12" hidden="1" x14ac:dyDescent="0.2">
      <c r="BE260" s="432" t="s">
        <v>126</v>
      </c>
      <c r="BF260" s="432"/>
      <c r="BG260" s="432"/>
      <c r="BH260" s="433">
        <f>250*0</f>
        <v>0</v>
      </c>
      <c r="BI260" s="433"/>
      <c r="BJ260" s="433"/>
      <c r="BK260" s="433"/>
      <c r="BL260" s="433"/>
      <c r="BM260" s="229" t="s">
        <v>127</v>
      </c>
      <c r="BN260" s="229"/>
      <c r="BO260" s="229"/>
      <c r="BP260" s="229"/>
      <c r="BQ260" s="229"/>
      <c r="BR260" s="229"/>
      <c r="BS260" s="229"/>
      <c r="BT260" s="229"/>
    </row>
    <row r="261" spans="57:98" ht="12" hidden="1" x14ac:dyDescent="0.2">
      <c r="BE261" s="434">
        <v>0.6</v>
      </c>
      <c r="BF261" s="432"/>
      <c r="BG261" s="432"/>
      <c r="BH261" s="216">
        <f>BH260*BE261</f>
        <v>0</v>
      </c>
      <c r="BI261" s="432" t="s">
        <v>128</v>
      </c>
      <c r="BJ261" s="432"/>
      <c r="BK261" s="432"/>
      <c r="BL261" s="432"/>
      <c r="BM261" s="432"/>
      <c r="BN261" s="432" t="s">
        <v>129</v>
      </c>
      <c r="BO261" s="432"/>
      <c r="BP261" s="432"/>
      <c r="BQ261" s="432"/>
      <c r="BR261" s="432"/>
      <c r="BS261" s="432"/>
      <c r="BT261" s="432"/>
    </row>
    <row r="262" spans="57:98" ht="12" hidden="1" x14ac:dyDescent="0.2">
      <c r="BE262" s="432">
        <v>211</v>
      </c>
      <c r="BF262" s="432"/>
      <c r="BG262" s="432"/>
      <c r="BH262" s="216">
        <f>BH261-BH263</f>
        <v>0</v>
      </c>
      <c r="BI262" s="435">
        <f>BH262*0.1</f>
        <v>0</v>
      </c>
      <c r="BJ262" s="435"/>
      <c r="BK262" s="435"/>
      <c r="BL262" s="435"/>
      <c r="BM262" s="435"/>
      <c r="BN262" s="436">
        <f>BH262-BI262</f>
        <v>0</v>
      </c>
      <c r="BO262" s="445"/>
      <c r="BP262" s="445"/>
      <c r="BQ262" s="445"/>
      <c r="BR262" s="445"/>
      <c r="BS262" s="445"/>
      <c r="BT262" s="445"/>
    </row>
    <row r="263" spans="57:98" ht="12" hidden="1" x14ac:dyDescent="0.2">
      <c r="BE263" s="432">
        <v>213</v>
      </c>
      <c r="BF263" s="432"/>
      <c r="BG263" s="432"/>
      <c r="BH263" s="216">
        <f>BH261*30.2/130.2</f>
        <v>0</v>
      </c>
      <c r="BI263" s="435">
        <f>BI262*30.2%</f>
        <v>0</v>
      </c>
      <c r="BJ263" s="435"/>
      <c r="BK263" s="435"/>
      <c r="BL263" s="435"/>
      <c r="BM263" s="435"/>
      <c r="BN263" s="435">
        <f>BN262*30.2%</f>
        <v>0</v>
      </c>
      <c r="BO263" s="435"/>
      <c r="BP263" s="435"/>
      <c r="BQ263" s="435"/>
      <c r="BR263" s="435"/>
      <c r="BS263" s="435"/>
      <c r="BT263" s="435"/>
    </row>
    <row r="264" spans="57:98" ht="8.25" hidden="1" customHeight="1" x14ac:dyDescent="0.2"/>
    <row r="265" spans="57:98" ht="8.25" hidden="1" customHeight="1" x14ac:dyDescent="0.2"/>
    <row r="266" spans="57:98" ht="12" hidden="1" x14ac:dyDescent="0.2">
      <c r="BE266" s="432" t="s">
        <v>387</v>
      </c>
      <c r="BF266" s="432"/>
      <c r="BG266" s="432"/>
      <c r="BH266" s="432"/>
      <c r="BI266" s="432"/>
      <c r="BJ266" s="432"/>
      <c r="BK266" s="432"/>
      <c r="BL266" s="432"/>
      <c r="BM266" s="432"/>
      <c r="BN266" s="432"/>
      <c r="BO266" s="432"/>
      <c r="BP266" s="432"/>
      <c r="BQ266" s="432"/>
      <c r="BR266" s="432"/>
      <c r="BS266" s="432"/>
      <c r="BT266" s="432"/>
      <c r="BU266" s="432"/>
      <c r="BV266" s="432"/>
      <c r="BW266" s="432"/>
      <c r="BX266" s="432"/>
      <c r="BY266" s="432"/>
      <c r="BZ266" s="432"/>
      <c r="CA266" s="432"/>
    </row>
    <row r="267" spans="57:98" ht="12" hidden="1" x14ac:dyDescent="0.2">
      <c r="BE267" s="432" t="s">
        <v>126</v>
      </c>
      <c r="BF267" s="432"/>
      <c r="BG267" s="432"/>
      <c r="BH267" s="433">
        <f>250*13</f>
        <v>3250</v>
      </c>
      <c r="BI267" s="433"/>
      <c r="BJ267" s="433"/>
      <c r="BK267" s="433"/>
      <c r="BL267" s="433"/>
      <c r="BM267" s="232" t="s">
        <v>127</v>
      </c>
      <c r="BN267" s="232"/>
      <c r="BO267" s="232"/>
      <c r="BP267" s="232"/>
      <c r="BQ267" s="232"/>
      <c r="BR267" s="232"/>
      <c r="BS267" s="232"/>
      <c r="BT267" s="232"/>
    </row>
    <row r="268" spans="57:98" ht="15" hidden="1" x14ac:dyDescent="0.25">
      <c r="BE268" s="434">
        <v>0.6</v>
      </c>
      <c r="BF268" s="432"/>
      <c r="BG268" s="432"/>
      <c r="BH268" s="216">
        <f>BH267*BE268</f>
        <v>1950</v>
      </c>
      <c r="BI268" s="432" t="s">
        <v>128</v>
      </c>
      <c r="BJ268" s="432"/>
      <c r="BK268" s="432"/>
      <c r="BL268" s="432"/>
      <c r="BM268" s="432"/>
      <c r="BN268" s="432" t="s">
        <v>129</v>
      </c>
      <c r="BO268" s="432"/>
      <c r="BP268" s="432"/>
      <c r="BQ268" s="432"/>
      <c r="BR268" s="432"/>
      <c r="BS268" s="432"/>
      <c r="BT268" s="432"/>
      <c r="CE268" s="432" t="s">
        <v>368</v>
      </c>
      <c r="CF268" s="443"/>
      <c r="CG268" s="443"/>
      <c r="CH268" s="443"/>
      <c r="CI268" s="443"/>
      <c r="CJ268" s="443"/>
      <c r="CM268" s="432" t="s">
        <v>366</v>
      </c>
      <c r="CN268" s="443"/>
      <c r="CO268" s="443"/>
      <c r="CP268" s="443"/>
      <c r="CQ268" s="443"/>
      <c r="CR268" s="443"/>
      <c r="CS268" s="443"/>
      <c r="CT268" s="443"/>
    </row>
    <row r="269" spans="57:98" ht="15" hidden="1" x14ac:dyDescent="0.25">
      <c r="BE269" s="432">
        <v>211</v>
      </c>
      <c r="BF269" s="432"/>
      <c r="BG269" s="432"/>
      <c r="BH269" s="216">
        <f>BH268-BH270</f>
        <v>1497.6958525345622</v>
      </c>
      <c r="BI269" s="435">
        <f>BH269*0.1</f>
        <v>149.76958525345623</v>
      </c>
      <c r="BJ269" s="435"/>
      <c r="BK269" s="435"/>
      <c r="BL269" s="435"/>
      <c r="BM269" s="435"/>
      <c r="BN269" s="436">
        <f>BH269-BI269</f>
        <v>1347.926267281106</v>
      </c>
      <c r="BO269" s="445"/>
      <c r="BP269" s="445"/>
      <c r="BQ269" s="445"/>
      <c r="BR269" s="445"/>
      <c r="BS269" s="445"/>
      <c r="BT269" s="445"/>
      <c r="CE269" s="437">
        <f>BI269*15/20</f>
        <v>112.32718894009217</v>
      </c>
      <c r="CF269" s="446"/>
      <c r="CG269" s="446"/>
      <c r="CH269" s="446"/>
      <c r="CI269" s="446"/>
      <c r="CJ269" s="446"/>
      <c r="CM269" s="437">
        <f>BI269*5/20</f>
        <v>37.442396313364057</v>
      </c>
      <c r="CN269" s="446"/>
      <c r="CO269" s="446"/>
      <c r="CP269" s="446"/>
      <c r="CQ269" s="446"/>
      <c r="CR269" s="446"/>
      <c r="CS269" s="446"/>
      <c r="CT269" s="446"/>
    </row>
    <row r="270" spans="57:98" ht="12" hidden="1" x14ac:dyDescent="0.2">
      <c r="BE270" s="432">
        <v>213</v>
      </c>
      <c r="BF270" s="432"/>
      <c r="BG270" s="432"/>
      <c r="BH270" s="216">
        <f>BH268*30.2/130.2</f>
        <v>452.30414746543784</v>
      </c>
      <c r="BI270" s="435">
        <f>BI269*30.2%</f>
        <v>45.230414746543779</v>
      </c>
      <c r="BJ270" s="435"/>
      <c r="BK270" s="435"/>
      <c r="BL270" s="435"/>
      <c r="BM270" s="435"/>
      <c r="BN270" s="435">
        <f>BN269*30.2%</f>
        <v>407.07373271889401</v>
      </c>
      <c r="BO270" s="435"/>
      <c r="BP270" s="435"/>
      <c r="BQ270" s="435"/>
      <c r="BR270" s="435"/>
      <c r="BS270" s="435"/>
      <c r="BT270" s="435"/>
    </row>
    <row r="271" spans="57:98" ht="8.25" hidden="1" customHeight="1" x14ac:dyDescent="0.2"/>
    <row r="272" spans="57:98" ht="8.25" hidden="1" customHeight="1" x14ac:dyDescent="0.2"/>
    <row r="273" spans="57:98" ht="8.25" hidden="1" customHeight="1" x14ac:dyDescent="0.2"/>
    <row r="274" spans="57:98" ht="12" hidden="1" x14ac:dyDescent="0.2">
      <c r="BE274" s="432" t="s">
        <v>391</v>
      </c>
      <c r="BF274" s="432"/>
      <c r="BG274" s="432"/>
      <c r="BH274" s="432"/>
      <c r="BI274" s="432"/>
      <c r="BJ274" s="432"/>
      <c r="BK274" s="432"/>
      <c r="BL274" s="432"/>
      <c r="BM274" s="432"/>
      <c r="BN274" s="432"/>
      <c r="BO274" s="432"/>
      <c r="BP274" s="432"/>
      <c r="BQ274" s="432"/>
      <c r="BR274" s="432"/>
      <c r="BS274" s="432"/>
      <c r="BT274" s="432"/>
      <c r="BU274" s="432"/>
      <c r="BV274" s="432"/>
      <c r="BW274" s="432"/>
      <c r="BX274" s="432"/>
      <c r="BY274" s="432"/>
      <c r="BZ274" s="432"/>
      <c r="CA274" s="432"/>
    </row>
    <row r="275" spans="57:98" ht="12" hidden="1" x14ac:dyDescent="0.2">
      <c r="BE275" s="432" t="s">
        <v>126</v>
      </c>
      <c r="BF275" s="432"/>
      <c r="BG275" s="432"/>
      <c r="BH275" s="433">
        <f>250*19</f>
        <v>4750</v>
      </c>
      <c r="BI275" s="433"/>
      <c r="BJ275" s="433"/>
      <c r="BK275" s="433"/>
      <c r="BL275" s="433"/>
      <c r="BM275" s="244" t="s">
        <v>127</v>
      </c>
      <c r="BN275" s="244"/>
      <c r="BO275" s="244"/>
      <c r="BP275" s="244"/>
      <c r="BQ275" s="244"/>
      <c r="BR275" s="244"/>
      <c r="BS275" s="244"/>
      <c r="BT275" s="244"/>
    </row>
    <row r="276" spans="57:98" ht="15" hidden="1" x14ac:dyDescent="0.25">
      <c r="BE276" s="434">
        <v>0.6</v>
      </c>
      <c r="BF276" s="432"/>
      <c r="BG276" s="432"/>
      <c r="BH276" s="216">
        <f>BH275*BE276</f>
        <v>2850</v>
      </c>
      <c r="BI276" s="432" t="s">
        <v>128</v>
      </c>
      <c r="BJ276" s="432"/>
      <c r="BK276" s="432"/>
      <c r="BL276" s="432"/>
      <c r="BM276" s="432"/>
      <c r="BN276" s="432" t="s">
        <v>129</v>
      </c>
      <c r="BO276" s="432"/>
      <c r="BP276" s="432"/>
      <c r="BQ276" s="432"/>
      <c r="BR276" s="432"/>
      <c r="BS276" s="432"/>
      <c r="BT276" s="432"/>
      <c r="CE276" s="432" t="s">
        <v>368</v>
      </c>
      <c r="CF276" s="443"/>
      <c r="CG276" s="443"/>
      <c r="CH276" s="443"/>
      <c r="CI276" s="443"/>
      <c r="CJ276" s="443"/>
      <c r="CM276" s="432" t="s">
        <v>366</v>
      </c>
      <c r="CN276" s="443"/>
      <c r="CO276" s="443"/>
      <c r="CP276" s="443"/>
      <c r="CQ276" s="443"/>
      <c r="CR276" s="443"/>
      <c r="CS276" s="443"/>
      <c r="CT276" s="443"/>
    </row>
    <row r="277" spans="57:98" ht="15" hidden="1" x14ac:dyDescent="0.25">
      <c r="BE277" s="432">
        <v>211</v>
      </c>
      <c r="BF277" s="432"/>
      <c r="BG277" s="432"/>
      <c r="BH277" s="216">
        <f>BH276-BH278</f>
        <v>2188.9400921658985</v>
      </c>
      <c r="BI277" s="435">
        <f>BH277*0.1</f>
        <v>218.89400921658986</v>
      </c>
      <c r="BJ277" s="435"/>
      <c r="BK277" s="435"/>
      <c r="BL277" s="435"/>
      <c r="BM277" s="435"/>
      <c r="BN277" s="436">
        <f>BH277-BI277</f>
        <v>1970.0460829493086</v>
      </c>
      <c r="BO277" s="445"/>
      <c r="BP277" s="445"/>
      <c r="BQ277" s="445"/>
      <c r="BR277" s="445"/>
      <c r="BS277" s="445"/>
      <c r="BT277" s="445"/>
      <c r="CE277" s="437">
        <f>BI277*15/20</f>
        <v>164.17050691244239</v>
      </c>
      <c r="CF277" s="446"/>
      <c r="CG277" s="446"/>
      <c r="CH277" s="446"/>
      <c r="CI277" s="446"/>
      <c r="CJ277" s="446"/>
      <c r="CM277" s="437">
        <f>BI277*5/20</f>
        <v>54.723502304147459</v>
      </c>
      <c r="CN277" s="446"/>
      <c r="CO277" s="446"/>
      <c r="CP277" s="446"/>
      <c r="CQ277" s="446"/>
      <c r="CR277" s="446"/>
      <c r="CS277" s="446"/>
      <c r="CT277" s="446"/>
    </row>
    <row r="278" spans="57:98" ht="12" hidden="1" x14ac:dyDescent="0.2">
      <c r="BE278" s="432">
        <v>213</v>
      </c>
      <c r="BF278" s="432"/>
      <c r="BG278" s="432"/>
      <c r="BH278" s="216">
        <f>BH276*30.2/130.2</f>
        <v>661.05990783410141</v>
      </c>
      <c r="BI278" s="435">
        <f>BI277*30.2%</f>
        <v>66.105990783410135</v>
      </c>
      <c r="BJ278" s="435"/>
      <c r="BK278" s="435"/>
      <c r="BL278" s="435"/>
      <c r="BM278" s="435"/>
      <c r="BN278" s="435">
        <f>BN277*30.2%</f>
        <v>594.95391705069119</v>
      </c>
      <c r="BO278" s="435"/>
      <c r="BP278" s="435"/>
      <c r="BQ278" s="435"/>
      <c r="BR278" s="435"/>
      <c r="BS278" s="435"/>
      <c r="BT278" s="435"/>
    </row>
    <row r="279" spans="57:98" ht="8.25" hidden="1" customHeight="1" x14ac:dyDescent="0.2"/>
    <row r="280" spans="57:98" ht="8.25" hidden="1" customHeight="1" x14ac:dyDescent="0.2"/>
    <row r="281" spans="57:98" ht="8.25" hidden="1" customHeight="1" x14ac:dyDescent="0.2"/>
    <row r="282" spans="57:98" ht="8.25" hidden="1" customHeight="1" x14ac:dyDescent="0.2"/>
    <row r="283" spans="57:98" ht="12" hidden="1" x14ac:dyDescent="0.2">
      <c r="BE283" s="432" t="s">
        <v>402</v>
      </c>
      <c r="BF283" s="432"/>
      <c r="BG283" s="432"/>
      <c r="BH283" s="432"/>
      <c r="BI283" s="432"/>
      <c r="BJ283" s="432"/>
      <c r="BK283" s="432"/>
      <c r="BL283" s="432"/>
      <c r="BM283" s="432"/>
      <c r="BN283" s="432"/>
      <c r="BO283" s="432"/>
      <c r="BP283" s="432"/>
      <c r="BQ283" s="432"/>
      <c r="BR283" s="432"/>
      <c r="BS283" s="432"/>
      <c r="BT283" s="432"/>
      <c r="BU283" s="432"/>
      <c r="BV283" s="432"/>
      <c r="BW283" s="432"/>
      <c r="BX283" s="432"/>
      <c r="BY283" s="432"/>
      <c r="BZ283" s="432"/>
      <c r="CA283" s="432"/>
    </row>
    <row r="284" spans="57:98" ht="12" hidden="1" x14ac:dyDescent="0.2">
      <c r="BE284" s="432" t="s">
        <v>126</v>
      </c>
      <c r="BF284" s="432"/>
      <c r="BG284" s="432"/>
      <c r="BH284" s="433">
        <f>250*6</f>
        <v>1500</v>
      </c>
      <c r="BI284" s="433"/>
      <c r="BJ284" s="433"/>
      <c r="BK284" s="433"/>
      <c r="BL284" s="433"/>
      <c r="BM284" s="247" t="s">
        <v>127</v>
      </c>
      <c r="BN284" s="247"/>
      <c r="BO284" s="247"/>
      <c r="BP284" s="247"/>
      <c r="BQ284" s="247"/>
      <c r="BR284" s="247"/>
      <c r="BS284" s="247"/>
      <c r="BT284" s="247"/>
    </row>
    <row r="285" spans="57:98" ht="15" hidden="1" x14ac:dyDescent="0.25">
      <c r="BE285" s="434">
        <v>0.6</v>
      </c>
      <c r="BF285" s="432"/>
      <c r="BG285" s="432"/>
      <c r="BH285" s="216">
        <f>BH284*BE285</f>
        <v>900</v>
      </c>
      <c r="BI285" s="432" t="s">
        <v>128</v>
      </c>
      <c r="BJ285" s="432"/>
      <c r="BK285" s="432"/>
      <c r="BL285" s="432"/>
      <c r="BM285" s="432"/>
      <c r="BN285" s="432" t="s">
        <v>129</v>
      </c>
      <c r="BO285" s="432"/>
      <c r="BP285" s="432"/>
      <c r="BQ285" s="432"/>
      <c r="BR285" s="432"/>
      <c r="BS285" s="432"/>
      <c r="BT285" s="432"/>
      <c r="CE285" s="432" t="s">
        <v>368</v>
      </c>
      <c r="CF285" s="443"/>
      <c r="CG285" s="443"/>
      <c r="CH285" s="443"/>
      <c r="CI285" s="443"/>
      <c r="CJ285" s="443"/>
      <c r="CM285" s="432" t="s">
        <v>366</v>
      </c>
      <c r="CN285" s="443"/>
      <c r="CO285" s="443"/>
      <c r="CP285" s="443"/>
      <c r="CQ285" s="443"/>
      <c r="CR285" s="443"/>
      <c r="CS285" s="443"/>
      <c r="CT285" s="443"/>
    </row>
    <row r="286" spans="57:98" ht="15" hidden="1" x14ac:dyDescent="0.25">
      <c r="BE286" s="432">
        <v>211</v>
      </c>
      <c r="BF286" s="432"/>
      <c r="BG286" s="432"/>
      <c r="BH286" s="216">
        <f>BH285-BH287</f>
        <v>691.24423963133643</v>
      </c>
      <c r="BI286" s="435">
        <f>BH286*0.1</f>
        <v>69.124423963133651</v>
      </c>
      <c r="BJ286" s="435"/>
      <c r="BK286" s="435"/>
      <c r="BL286" s="435"/>
      <c r="BM286" s="435"/>
      <c r="BN286" s="436">
        <f>BH286-BI286</f>
        <v>622.11981566820282</v>
      </c>
      <c r="BO286" s="445"/>
      <c r="BP286" s="445"/>
      <c r="BQ286" s="445"/>
      <c r="BR286" s="445"/>
      <c r="BS286" s="445"/>
      <c r="BT286" s="445"/>
      <c r="CE286" s="437">
        <f>BI286*15/20</f>
        <v>51.843317972350235</v>
      </c>
      <c r="CF286" s="446"/>
      <c r="CG286" s="446"/>
      <c r="CH286" s="446"/>
      <c r="CI286" s="446"/>
      <c r="CJ286" s="446"/>
      <c r="CM286" s="437">
        <f>BI286*5/20</f>
        <v>17.281105990783413</v>
      </c>
      <c r="CN286" s="446"/>
      <c r="CO286" s="446"/>
      <c r="CP286" s="446"/>
      <c r="CQ286" s="446"/>
      <c r="CR286" s="446"/>
      <c r="CS286" s="446"/>
      <c r="CT286" s="446"/>
    </row>
    <row r="287" spans="57:98" ht="12" hidden="1" x14ac:dyDescent="0.2">
      <c r="BE287" s="432">
        <v>213</v>
      </c>
      <c r="BF287" s="432"/>
      <c r="BG287" s="432"/>
      <c r="BH287" s="216">
        <f>BH285*30.2/130.2</f>
        <v>208.7557603686636</v>
      </c>
      <c r="BI287" s="435">
        <f>BI286*30.2%</f>
        <v>20.875576036866363</v>
      </c>
      <c r="BJ287" s="435"/>
      <c r="BK287" s="435"/>
      <c r="BL287" s="435"/>
      <c r="BM287" s="435"/>
      <c r="BN287" s="435">
        <f>BN286*30.2%</f>
        <v>187.88018433179724</v>
      </c>
      <c r="BO287" s="435"/>
      <c r="BP287" s="435"/>
      <c r="BQ287" s="435"/>
      <c r="BR287" s="435"/>
      <c r="BS287" s="435"/>
      <c r="BT287" s="435"/>
    </row>
    <row r="288" spans="57:98" ht="8.25" hidden="1" customHeight="1" x14ac:dyDescent="0.2"/>
    <row r="289" spans="57:98" ht="8.25" hidden="1" customHeight="1" x14ac:dyDescent="0.2"/>
    <row r="290" spans="57:98" ht="8.25" hidden="1" customHeight="1" x14ac:dyDescent="0.2"/>
    <row r="291" spans="57:98" ht="8.25" hidden="1" customHeight="1" x14ac:dyDescent="0.2"/>
    <row r="292" spans="57:98" ht="8.25" hidden="1" customHeight="1" x14ac:dyDescent="0.2"/>
    <row r="293" spans="57:98" ht="15" hidden="1" x14ac:dyDescent="0.25">
      <c r="BH293" s="253">
        <f>BI246+BI255+BI262+CM269+CM277+CM286</f>
        <v>535.71428571428567</v>
      </c>
    </row>
    <row r="294" spans="57:98" ht="8.25" hidden="1" customHeight="1" x14ac:dyDescent="0.2"/>
    <row r="295" spans="57:98" ht="12" hidden="1" x14ac:dyDescent="0.2"/>
    <row r="296" spans="57:98" ht="12" hidden="1" x14ac:dyDescent="0.2">
      <c r="BE296" s="432" t="s">
        <v>448</v>
      </c>
      <c r="BF296" s="432"/>
      <c r="BG296" s="432"/>
      <c r="BH296" s="432"/>
      <c r="BI296" s="432"/>
      <c r="BJ296" s="432"/>
      <c r="BK296" s="432"/>
      <c r="BL296" s="432"/>
      <c r="BM296" s="432"/>
      <c r="BN296" s="432"/>
      <c r="BO296" s="432"/>
      <c r="BP296" s="432"/>
      <c r="BQ296" s="432"/>
      <c r="BR296" s="432"/>
      <c r="BS296" s="432"/>
      <c r="BT296" s="432"/>
      <c r="BU296" s="432"/>
      <c r="BV296" s="432"/>
      <c r="BW296" s="432"/>
      <c r="BX296" s="432"/>
      <c r="BY296" s="432"/>
      <c r="BZ296" s="432"/>
      <c r="CA296" s="432"/>
    </row>
    <row r="297" spans="57:98" ht="12" hidden="1" x14ac:dyDescent="0.2">
      <c r="BE297" s="432" t="s">
        <v>126</v>
      </c>
      <c r="BF297" s="432"/>
      <c r="BG297" s="432"/>
      <c r="BH297" s="433">
        <f>250*30</f>
        <v>7500</v>
      </c>
      <c r="BI297" s="433"/>
      <c r="BJ297" s="433"/>
      <c r="BK297" s="433"/>
      <c r="BL297" s="433"/>
      <c r="BM297" s="287" t="s">
        <v>127</v>
      </c>
      <c r="BN297" s="287"/>
      <c r="BO297" s="287"/>
      <c r="BP297" s="287"/>
      <c r="BQ297" s="287"/>
      <c r="BR297" s="287"/>
      <c r="BS297" s="287"/>
      <c r="BT297" s="287"/>
    </row>
    <row r="298" spans="57:98" ht="15" hidden="1" x14ac:dyDescent="0.25">
      <c r="BE298" s="434">
        <v>0.6</v>
      </c>
      <c r="BF298" s="432"/>
      <c r="BG298" s="432"/>
      <c r="BH298" s="216">
        <f>BH297*BE298</f>
        <v>4500</v>
      </c>
      <c r="BI298" s="432" t="s">
        <v>128</v>
      </c>
      <c r="BJ298" s="432"/>
      <c r="BK298" s="432"/>
      <c r="BL298" s="432"/>
      <c r="BM298" s="432"/>
      <c r="BN298" s="432" t="s">
        <v>129</v>
      </c>
      <c r="BO298" s="432"/>
      <c r="BP298" s="432"/>
      <c r="BQ298" s="432"/>
      <c r="BR298" s="432"/>
      <c r="BS298" s="432"/>
      <c r="BT298" s="432"/>
      <c r="CE298" s="432" t="s">
        <v>368</v>
      </c>
      <c r="CF298" s="443"/>
      <c r="CG298" s="443"/>
      <c r="CH298" s="443"/>
      <c r="CI298" s="443"/>
      <c r="CJ298" s="443"/>
      <c r="CM298" s="432" t="s">
        <v>366</v>
      </c>
      <c r="CN298" s="443"/>
      <c r="CO298" s="443"/>
      <c r="CP298" s="443"/>
      <c r="CQ298" s="443"/>
      <c r="CR298" s="443"/>
      <c r="CS298" s="443"/>
      <c r="CT298" s="443"/>
    </row>
    <row r="299" spans="57:98" ht="15" hidden="1" x14ac:dyDescent="0.25">
      <c r="BE299" s="432">
        <v>211</v>
      </c>
      <c r="BF299" s="432"/>
      <c r="BG299" s="432"/>
      <c r="BH299" s="216">
        <f>BH298-BH300</f>
        <v>3456.221198156682</v>
      </c>
      <c r="BI299" s="435">
        <f>BH299*0.1</f>
        <v>345.62211981566821</v>
      </c>
      <c r="BJ299" s="435"/>
      <c r="BK299" s="435"/>
      <c r="BL299" s="435"/>
      <c r="BM299" s="435"/>
      <c r="BN299" s="436">
        <f>BH299-BI299</f>
        <v>3110.5990783410139</v>
      </c>
      <c r="BO299" s="445"/>
      <c r="BP299" s="445"/>
      <c r="BQ299" s="445"/>
      <c r="BR299" s="445"/>
      <c r="BS299" s="445"/>
      <c r="BT299" s="445"/>
      <c r="CE299" s="437">
        <f>BI299*15/20</f>
        <v>259.21658986175117</v>
      </c>
      <c r="CF299" s="446"/>
      <c r="CG299" s="446"/>
      <c r="CH299" s="446"/>
      <c r="CI299" s="446"/>
      <c r="CJ299" s="446"/>
      <c r="CM299" s="437">
        <f>BI299*5/20</f>
        <v>86.405529953917053</v>
      </c>
      <c r="CN299" s="446"/>
      <c r="CO299" s="446"/>
      <c r="CP299" s="446"/>
      <c r="CQ299" s="446"/>
      <c r="CR299" s="446"/>
      <c r="CS299" s="446"/>
      <c r="CT299" s="446"/>
    </row>
    <row r="300" spans="57:98" ht="12" hidden="1" x14ac:dyDescent="0.2">
      <c r="BE300" s="432">
        <v>213</v>
      </c>
      <c r="BF300" s="432"/>
      <c r="BG300" s="432"/>
      <c r="BH300" s="216">
        <f>BH298*30.2/130.2</f>
        <v>1043.778801843318</v>
      </c>
      <c r="BI300" s="435">
        <f>BI299*30.2%</f>
        <v>104.3778801843318</v>
      </c>
      <c r="BJ300" s="435"/>
      <c r="BK300" s="435"/>
      <c r="BL300" s="435"/>
      <c r="BM300" s="435"/>
      <c r="BN300" s="435">
        <f>BN299*30.2%</f>
        <v>939.40092165898614</v>
      </c>
      <c r="BO300" s="435"/>
      <c r="BP300" s="435"/>
      <c r="BQ300" s="435"/>
      <c r="BR300" s="435"/>
      <c r="BS300" s="435"/>
      <c r="BT300" s="435"/>
    </row>
    <row r="301" spans="57:98" ht="8.25" hidden="1" customHeight="1" x14ac:dyDescent="0.2"/>
    <row r="302" spans="57:98" ht="8.25" hidden="1" customHeight="1" x14ac:dyDescent="0.2"/>
    <row r="303" spans="57:98" ht="8.25" hidden="1" customHeight="1" x14ac:dyDescent="0.2"/>
    <row r="304" spans="57:98" ht="12" hidden="1" x14ac:dyDescent="0.2">
      <c r="BE304" s="432" t="s">
        <v>453</v>
      </c>
      <c r="BF304" s="432"/>
      <c r="BG304" s="432"/>
      <c r="BH304" s="432"/>
      <c r="BI304" s="432"/>
      <c r="BJ304" s="432"/>
      <c r="BK304" s="432"/>
      <c r="BL304" s="432"/>
      <c r="BM304" s="432"/>
      <c r="BN304" s="432"/>
      <c r="BO304" s="432"/>
      <c r="BP304" s="432"/>
      <c r="BQ304" s="432"/>
      <c r="BR304" s="432"/>
      <c r="BS304" s="432"/>
      <c r="BT304" s="432"/>
      <c r="BU304" s="432"/>
      <c r="BV304" s="432"/>
      <c r="BW304" s="432"/>
      <c r="BX304" s="432"/>
      <c r="BY304" s="432"/>
      <c r="BZ304" s="432"/>
      <c r="CA304" s="432"/>
    </row>
    <row r="305" spans="57:98" ht="12" hidden="1" x14ac:dyDescent="0.2">
      <c r="BE305" s="432" t="s">
        <v>126</v>
      </c>
      <c r="BF305" s="432"/>
      <c r="BG305" s="432"/>
      <c r="BH305" s="433">
        <f>250*22</f>
        <v>5500</v>
      </c>
      <c r="BI305" s="433"/>
      <c r="BJ305" s="433"/>
      <c r="BK305" s="433"/>
      <c r="BL305" s="433"/>
      <c r="BM305" s="289" t="s">
        <v>127</v>
      </c>
      <c r="BN305" s="289"/>
      <c r="BO305" s="289"/>
      <c r="BP305" s="289"/>
      <c r="BQ305" s="289"/>
      <c r="BR305" s="289"/>
      <c r="BS305" s="289"/>
      <c r="BT305" s="289"/>
    </row>
    <row r="306" spans="57:98" ht="15" hidden="1" x14ac:dyDescent="0.25">
      <c r="BE306" s="434">
        <v>0.6</v>
      </c>
      <c r="BF306" s="432"/>
      <c r="BG306" s="432"/>
      <c r="BH306" s="216">
        <f>BH305*BE306</f>
        <v>3300</v>
      </c>
      <c r="BI306" s="432" t="s">
        <v>128</v>
      </c>
      <c r="BJ306" s="432"/>
      <c r="BK306" s="432"/>
      <c r="BL306" s="432"/>
      <c r="BM306" s="432"/>
      <c r="BN306" s="432" t="s">
        <v>129</v>
      </c>
      <c r="BO306" s="432"/>
      <c r="BP306" s="432"/>
      <c r="BQ306" s="432"/>
      <c r="BR306" s="432"/>
      <c r="BS306" s="432"/>
      <c r="BT306" s="432"/>
      <c r="CE306" s="432" t="s">
        <v>368</v>
      </c>
      <c r="CF306" s="443"/>
      <c r="CG306" s="443"/>
      <c r="CH306" s="443"/>
      <c r="CI306" s="443"/>
      <c r="CJ306" s="443"/>
      <c r="CM306" s="432" t="s">
        <v>366</v>
      </c>
      <c r="CN306" s="443"/>
      <c r="CO306" s="443"/>
      <c r="CP306" s="443"/>
      <c r="CQ306" s="443"/>
      <c r="CR306" s="443"/>
      <c r="CS306" s="443"/>
      <c r="CT306" s="443"/>
    </row>
    <row r="307" spans="57:98" ht="15" hidden="1" x14ac:dyDescent="0.25">
      <c r="BE307" s="432">
        <v>211</v>
      </c>
      <c r="BF307" s="432"/>
      <c r="BG307" s="432"/>
      <c r="BH307" s="216">
        <f>BH306-BH308</f>
        <v>2534.5622119815666</v>
      </c>
      <c r="BI307" s="435">
        <f>BH307*0.1</f>
        <v>253.45622119815667</v>
      </c>
      <c r="BJ307" s="435"/>
      <c r="BK307" s="435"/>
      <c r="BL307" s="435"/>
      <c r="BM307" s="435"/>
      <c r="BN307" s="436">
        <f>BH307-BI307</f>
        <v>2281.1059907834101</v>
      </c>
      <c r="BO307" s="445"/>
      <c r="BP307" s="445"/>
      <c r="BQ307" s="445"/>
      <c r="BR307" s="445"/>
      <c r="BS307" s="445"/>
      <c r="BT307" s="445"/>
      <c r="CE307" s="437">
        <f>BI307*15/20</f>
        <v>190.09216589861751</v>
      </c>
      <c r="CF307" s="446"/>
      <c r="CG307" s="446"/>
      <c r="CH307" s="446"/>
      <c r="CI307" s="446"/>
      <c r="CJ307" s="446"/>
      <c r="CM307" s="437">
        <f>BI307*5/20</f>
        <v>63.364055299539167</v>
      </c>
      <c r="CN307" s="446"/>
      <c r="CO307" s="446"/>
      <c r="CP307" s="446"/>
      <c r="CQ307" s="446"/>
      <c r="CR307" s="446"/>
      <c r="CS307" s="446"/>
      <c r="CT307" s="446"/>
    </row>
    <row r="308" spans="57:98" ht="12" hidden="1" x14ac:dyDescent="0.2">
      <c r="BE308" s="432">
        <v>213</v>
      </c>
      <c r="BF308" s="432"/>
      <c r="BG308" s="432"/>
      <c r="BH308" s="216">
        <f>BH306*30.2/130.2</f>
        <v>765.43778801843325</v>
      </c>
      <c r="BI308" s="435">
        <f>BI307*30.2%</f>
        <v>76.543778801843317</v>
      </c>
      <c r="BJ308" s="435"/>
      <c r="BK308" s="435"/>
      <c r="BL308" s="435"/>
      <c r="BM308" s="435"/>
      <c r="BN308" s="435">
        <f>BN307*30.2%</f>
        <v>688.89400921658978</v>
      </c>
      <c r="BO308" s="435"/>
      <c r="BP308" s="435"/>
      <c r="BQ308" s="435"/>
      <c r="BR308" s="435"/>
      <c r="BS308" s="435"/>
      <c r="BT308" s="435"/>
    </row>
    <row r="309" spans="57:98" ht="8.25" hidden="1" customHeight="1" x14ac:dyDescent="0.2"/>
    <row r="310" spans="57:98" ht="8.25" hidden="1" customHeight="1" x14ac:dyDescent="0.2"/>
    <row r="311" spans="57:98" ht="12" hidden="1" x14ac:dyDescent="0.2">
      <c r="BE311" s="432" t="s">
        <v>466</v>
      </c>
      <c r="BF311" s="432"/>
      <c r="BG311" s="432"/>
      <c r="BH311" s="432"/>
      <c r="BI311" s="432"/>
      <c r="BJ311" s="432"/>
      <c r="BK311" s="432"/>
      <c r="BL311" s="432"/>
      <c r="BM311" s="432"/>
      <c r="BN311" s="432"/>
      <c r="BO311" s="432"/>
      <c r="BP311" s="432"/>
      <c r="BQ311" s="432"/>
      <c r="BR311" s="432"/>
      <c r="BS311" s="432"/>
      <c r="BT311" s="432"/>
      <c r="BU311" s="432"/>
      <c r="BV311" s="432"/>
      <c r="BW311" s="432"/>
      <c r="BX311" s="432"/>
      <c r="BY311" s="432"/>
      <c r="BZ311" s="432"/>
      <c r="CA311" s="432"/>
    </row>
    <row r="312" spans="57:98" ht="12" hidden="1" x14ac:dyDescent="0.2">
      <c r="BE312" s="432" t="s">
        <v>126</v>
      </c>
      <c r="BF312" s="432"/>
      <c r="BG312" s="432"/>
      <c r="BH312" s="433">
        <f>250*28</f>
        <v>7000</v>
      </c>
      <c r="BI312" s="433"/>
      <c r="BJ312" s="433"/>
      <c r="BK312" s="433"/>
      <c r="BL312" s="433"/>
      <c r="BM312" s="291" t="s">
        <v>127</v>
      </c>
      <c r="BN312" s="291"/>
      <c r="BO312" s="291"/>
      <c r="BP312" s="291"/>
      <c r="BQ312" s="291"/>
      <c r="BR312" s="291"/>
      <c r="BS312" s="291"/>
      <c r="BT312" s="291"/>
    </row>
    <row r="313" spans="57:98" ht="15" hidden="1" x14ac:dyDescent="0.25">
      <c r="BE313" s="434">
        <v>0.6</v>
      </c>
      <c r="BF313" s="432"/>
      <c r="BG313" s="432"/>
      <c r="BH313" s="216">
        <f>BH312*BE313</f>
        <v>4200</v>
      </c>
      <c r="BI313" s="432" t="s">
        <v>128</v>
      </c>
      <c r="BJ313" s="432"/>
      <c r="BK313" s="432"/>
      <c r="BL313" s="432"/>
      <c r="BM313" s="432"/>
      <c r="BN313" s="432" t="s">
        <v>129</v>
      </c>
      <c r="BO313" s="432"/>
      <c r="BP313" s="432"/>
      <c r="BQ313" s="432"/>
      <c r="BR313" s="432"/>
      <c r="BS313" s="432"/>
      <c r="BT313" s="432"/>
      <c r="CE313" s="432" t="s">
        <v>368</v>
      </c>
      <c r="CF313" s="443"/>
      <c r="CG313" s="443"/>
      <c r="CH313" s="443"/>
      <c r="CI313" s="443"/>
      <c r="CJ313" s="443"/>
      <c r="CM313" s="432" t="s">
        <v>366</v>
      </c>
      <c r="CN313" s="443"/>
      <c r="CO313" s="443"/>
      <c r="CP313" s="443"/>
      <c r="CQ313" s="443"/>
      <c r="CR313" s="443"/>
      <c r="CS313" s="443"/>
      <c r="CT313" s="443"/>
    </row>
    <row r="314" spans="57:98" ht="15" hidden="1" x14ac:dyDescent="0.25">
      <c r="BE314" s="432">
        <v>211</v>
      </c>
      <c r="BF314" s="432"/>
      <c r="BG314" s="432"/>
      <c r="BH314" s="216">
        <f>BH313-BH315</f>
        <v>3225.8064516129034</v>
      </c>
      <c r="BI314" s="435">
        <f>BH314*0.1</f>
        <v>322.58064516129036</v>
      </c>
      <c r="BJ314" s="435"/>
      <c r="BK314" s="435"/>
      <c r="BL314" s="435"/>
      <c r="BM314" s="435"/>
      <c r="BN314" s="436">
        <f>BH314-BI314</f>
        <v>2903.2258064516132</v>
      </c>
      <c r="BO314" s="445"/>
      <c r="BP314" s="445"/>
      <c r="BQ314" s="445"/>
      <c r="BR314" s="445"/>
      <c r="BS314" s="445"/>
      <c r="BT314" s="445"/>
      <c r="CE314" s="437">
        <f>BI314*15/20</f>
        <v>241.93548387096774</v>
      </c>
      <c r="CF314" s="446"/>
      <c r="CG314" s="446"/>
      <c r="CH314" s="446"/>
      <c r="CI314" s="446"/>
      <c r="CJ314" s="446"/>
      <c r="CM314" s="437">
        <f>BI314*5/20</f>
        <v>80.645161290322591</v>
      </c>
      <c r="CN314" s="446"/>
      <c r="CO314" s="446"/>
      <c r="CP314" s="446"/>
      <c r="CQ314" s="446"/>
      <c r="CR314" s="446"/>
      <c r="CS314" s="446"/>
      <c r="CT314" s="446"/>
    </row>
    <row r="315" spans="57:98" ht="12" hidden="1" x14ac:dyDescent="0.2">
      <c r="BE315" s="432">
        <v>213</v>
      </c>
      <c r="BF315" s="432"/>
      <c r="BG315" s="432"/>
      <c r="BH315" s="216">
        <f>BH313*30.2/130.2</f>
        <v>974.19354838709683</v>
      </c>
      <c r="BI315" s="435">
        <f>BI314*30.2%</f>
        <v>97.41935483870968</v>
      </c>
      <c r="BJ315" s="435"/>
      <c r="BK315" s="435"/>
      <c r="BL315" s="435"/>
      <c r="BM315" s="435"/>
      <c r="BN315" s="435">
        <f>BN314*30.2%</f>
        <v>876.77419354838719</v>
      </c>
      <c r="BO315" s="435"/>
      <c r="BP315" s="435"/>
      <c r="BQ315" s="435"/>
      <c r="BR315" s="435"/>
      <c r="BS315" s="435"/>
      <c r="BT315" s="435"/>
    </row>
    <row r="316" spans="57:98" ht="8.25" hidden="1" customHeight="1" x14ac:dyDescent="0.2"/>
    <row r="317" spans="57:98" ht="8.25" hidden="1" customHeight="1" x14ac:dyDescent="0.2"/>
    <row r="318" spans="57:98" ht="12" hidden="1" x14ac:dyDescent="0.2"/>
    <row r="319" spans="57:98" ht="12" hidden="1" x14ac:dyDescent="0.2">
      <c r="BE319" s="432" t="s">
        <v>475</v>
      </c>
      <c r="BF319" s="432"/>
      <c r="BG319" s="432"/>
      <c r="BH319" s="432"/>
      <c r="BI319" s="432"/>
      <c r="BJ319" s="432"/>
      <c r="BK319" s="432"/>
      <c r="BL319" s="432"/>
      <c r="BM319" s="432"/>
      <c r="BN319" s="432"/>
      <c r="BO319" s="432"/>
      <c r="BP319" s="432"/>
      <c r="BQ319" s="432"/>
      <c r="BR319" s="432"/>
      <c r="BS319" s="432"/>
      <c r="BT319" s="432"/>
      <c r="BU319" s="432"/>
      <c r="BV319" s="432"/>
      <c r="BW319" s="432"/>
      <c r="BX319" s="432"/>
      <c r="BY319" s="432"/>
      <c r="BZ319" s="432"/>
      <c r="CA319" s="432"/>
    </row>
    <row r="320" spans="57:98" ht="12" hidden="1" x14ac:dyDescent="0.2">
      <c r="BE320" s="432" t="s">
        <v>126</v>
      </c>
      <c r="BF320" s="432"/>
      <c r="BG320" s="432"/>
      <c r="BH320" s="433">
        <f>250*12</f>
        <v>3000</v>
      </c>
      <c r="BI320" s="433"/>
      <c r="BJ320" s="433"/>
      <c r="BK320" s="433"/>
      <c r="BL320" s="433"/>
      <c r="BM320" s="293" t="s">
        <v>127</v>
      </c>
      <c r="BN320" s="293"/>
      <c r="BO320" s="293"/>
      <c r="BP320" s="293"/>
      <c r="BQ320" s="293"/>
      <c r="BR320" s="293"/>
      <c r="BS320" s="293"/>
      <c r="BT320" s="293"/>
    </row>
    <row r="321" spans="57:98" ht="15" hidden="1" x14ac:dyDescent="0.25">
      <c r="BE321" s="434">
        <v>0.6</v>
      </c>
      <c r="BF321" s="432"/>
      <c r="BG321" s="432"/>
      <c r="BH321" s="216">
        <f>BH320*BE321</f>
        <v>1800</v>
      </c>
      <c r="BI321" s="432" t="s">
        <v>128</v>
      </c>
      <c r="BJ321" s="432"/>
      <c r="BK321" s="432"/>
      <c r="BL321" s="432"/>
      <c r="BM321" s="432"/>
      <c r="BN321" s="432" t="s">
        <v>129</v>
      </c>
      <c r="BO321" s="432"/>
      <c r="BP321" s="432"/>
      <c r="BQ321" s="432"/>
      <c r="BR321" s="432"/>
      <c r="BS321" s="432"/>
      <c r="BT321" s="432"/>
      <c r="CE321" s="432" t="s">
        <v>368</v>
      </c>
      <c r="CF321" s="443"/>
      <c r="CG321" s="443"/>
      <c r="CH321" s="443"/>
      <c r="CI321" s="443"/>
      <c r="CJ321" s="443"/>
      <c r="CM321" s="432" t="s">
        <v>366</v>
      </c>
      <c r="CN321" s="443"/>
      <c r="CO321" s="443"/>
      <c r="CP321" s="443"/>
      <c r="CQ321" s="443"/>
      <c r="CR321" s="443"/>
      <c r="CS321" s="443"/>
      <c r="CT321" s="443"/>
    </row>
    <row r="322" spans="57:98" ht="15" hidden="1" x14ac:dyDescent="0.25">
      <c r="BE322" s="432">
        <v>211</v>
      </c>
      <c r="BF322" s="432"/>
      <c r="BG322" s="432"/>
      <c r="BH322" s="216">
        <f>BH321-BH323</f>
        <v>1382.4884792626729</v>
      </c>
      <c r="BI322" s="435">
        <f>BH322*0.1</f>
        <v>138.2488479262673</v>
      </c>
      <c r="BJ322" s="435"/>
      <c r="BK322" s="435"/>
      <c r="BL322" s="435"/>
      <c r="BM322" s="435"/>
      <c r="BN322" s="436">
        <f>BH322-BI322</f>
        <v>1244.2396313364056</v>
      </c>
      <c r="BO322" s="445"/>
      <c r="BP322" s="445"/>
      <c r="BQ322" s="445"/>
      <c r="BR322" s="445"/>
      <c r="BS322" s="445"/>
      <c r="BT322" s="445"/>
      <c r="CE322" s="437">
        <f>BI322*15/20</f>
        <v>103.68663594470047</v>
      </c>
      <c r="CF322" s="446"/>
      <c r="CG322" s="446"/>
      <c r="CH322" s="446"/>
      <c r="CI322" s="446"/>
      <c r="CJ322" s="446"/>
      <c r="CM322" s="437">
        <f>BI322*5/20</f>
        <v>34.562211981566826</v>
      </c>
      <c r="CN322" s="446"/>
      <c r="CO322" s="446"/>
      <c r="CP322" s="446"/>
      <c r="CQ322" s="446"/>
      <c r="CR322" s="446"/>
      <c r="CS322" s="446"/>
      <c r="CT322" s="446"/>
    </row>
    <row r="323" spans="57:98" ht="12" hidden="1" x14ac:dyDescent="0.2">
      <c r="BE323" s="432">
        <v>213</v>
      </c>
      <c r="BF323" s="432"/>
      <c r="BG323" s="432"/>
      <c r="BH323" s="216">
        <f>BH321*30.2/130.2</f>
        <v>417.5115207373272</v>
      </c>
      <c r="BI323" s="435">
        <f>BI322*30.2%</f>
        <v>41.751152073732726</v>
      </c>
      <c r="BJ323" s="435"/>
      <c r="BK323" s="435"/>
      <c r="BL323" s="435"/>
      <c r="BM323" s="435"/>
      <c r="BN323" s="435">
        <f>BN322*30.2%</f>
        <v>375.76036866359448</v>
      </c>
      <c r="BO323" s="435"/>
      <c r="BP323" s="435"/>
      <c r="BQ323" s="435"/>
      <c r="BR323" s="435"/>
      <c r="BS323" s="435"/>
      <c r="BT323" s="435"/>
    </row>
    <row r="324" spans="57:98" ht="8.25" hidden="1" customHeight="1" x14ac:dyDescent="0.2"/>
    <row r="325" spans="57:98" ht="8.25" hidden="1" customHeight="1" x14ac:dyDescent="0.2"/>
    <row r="326" spans="57:98" ht="8.25" hidden="1" customHeight="1" x14ac:dyDescent="0.2"/>
    <row r="327" spans="57:98" ht="12" hidden="1" x14ac:dyDescent="0.2">
      <c r="BE327" s="432" t="s">
        <v>485</v>
      </c>
      <c r="BF327" s="432"/>
      <c r="BG327" s="432"/>
      <c r="BH327" s="432"/>
      <c r="BI327" s="432"/>
      <c r="BJ327" s="432"/>
      <c r="BK327" s="432"/>
      <c r="BL327" s="432"/>
      <c r="BM327" s="432"/>
      <c r="BN327" s="432"/>
      <c r="BO327" s="432"/>
      <c r="BP327" s="432"/>
      <c r="BQ327" s="432"/>
      <c r="BR327" s="432"/>
      <c r="BS327" s="432"/>
      <c r="BT327" s="432"/>
      <c r="BU327" s="432"/>
      <c r="BV327" s="432"/>
      <c r="BW327" s="432"/>
      <c r="BX327" s="432"/>
      <c r="BY327" s="432"/>
      <c r="BZ327" s="432"/>
      <c r="CA327" s="432"/>
    </row>
    <row r="328" spans="57:98" ht="12" hidden="1" x14ac:dyDescent="0.2">
      <c r="BE328" s="432" t="s">
        <v>126</v>
      </c>
      <c r="BF328" s="432"/>
      <c r="BG328" s="432"/>
      <c r="BH328" s="433">
        <f>250*5</f>
        <v>1250</v>
      </c>
      <c r="BI328" s="433"/>
      <c r="BJ328" s="433"/>
      <c r="BK328" s="433"/>
      <c r="BL328" s="433"/>
      <c r="BM328" s="295" t="s">
        <v>127</v>
      </c>
      <c r="BN328" s="295"/>
      <c r="BO328" s="295"/>
      <c r="BP328" s="295"/>
      <c r="BQ328" s="295"/>
      <c r="BR328" s="295"/>
      <c r="BS328" s="295"/>
      <c r="BT328" s="295"/>
    </row>
    <row r="329" spans="57:98" ht="15" hidden="1" x14ac:dyDescent="0.25">
      <c r="BE329" s="434">
        <v>0.6</v>
      </c>
      <c r="BF329" s="432"/>
      <c r="BG329" s="432"/>
      <c r="BH329" s="216">
        <f>BH328*BE329</f>
        <v>750</v>
      </c>
      <c r="BI329" s="432" t="s">
        <v>128</v>
      </c>
      <c r="BJ329" s="432"/>
      <c r="BK329" s="432"/>
      <c r="BL329" s="432"/>
      <c r="BM329" s="432"/>
      <c r="BN329" s="432" t="s">
        <v>129</v>
      </c>
      <c r="BO329" s="432"/>
      <c r="BP329" s="432"/>
      <c r="BQ329" s="432"/>
      <c r="BR329" s="432"/>
      <c r="BS329" s="432"/>
      <c r="BT329" s="432"/>
      <c r="CE329" s="432" t="s">
        <v>368</v>
      </c>
      <c r="CF329" s="443"/>
      <c r="CG329" s="443"/>
      <c r="CH329" s="443"/>
      <c r="CI329" s="443"/>
      <c r="CJ329" s="443"/>
      <c r="CM329" s="432" t="s">
        <v>366</v>
      </c>
      <c r="CN329" s="443"/>
      <c r="CO329" s="443"/>
      <c r="CP329" s="443"/>
      <c r="CQ329" s="443"/>
      <c r="CR329" s="443"/>
      <c r="CS329" s="443"/>
      <c r="CT329" s="443"/>
    </row>
    <row r="330" spans="57:98" ht="15" hidden="1" x14ac:dyDescent="0.25">
      <c r="BE330" s="432">
        <v>211</v>
      </c>
      <c r="BF330" s="432"/>
      <c r="BG330" s="432"/>
      <c r="BH330" s="216">
        <f>BH329-BH331</f>
        <v>576.036866359447</v>
      </c>
      <c r="BI330" s="435">
        <f>BH330*0.1</f>
        <v>57.603686635944705</v>
      </c>
      <c r="BJ330" s="435"/>
      <c r="BK330" s="435"/>
      <c r="BL330" s="435"/>
      <c r="BM330" s="435"/>
      <c r="BN330" s="436">
        <f>BH330-BI330</f>
        <v>518.43317972350235</v>
      </c>
      <c r="BO330" s="445"/>
      <c r="BP330" s="445"/>
      <c r="BQ330" s="445"/>
      <c r="BR330" s="445"/>
      <c r="BS330" s="445"/>
      <c r="BT330" s="445"/>
      <c r="CE330" s="437">
        <f>BI330*15/20</f>
        <v>43.202764976958534</v>
      </c>
      <c r="CF330" s="446"/>
      <c r="CG330" s="446"/>
      <c r="CH330" s="446"/>
      <c r="CI330" s="446"/>
      <c r="CJ330" s="446"/>
      <c r="CM330" s="437">
        <f>BI330*5/20</f>
        <v>14.400921658986174</v>
      </c>
      <c r="CN330" s="446"/>
      <c r="CO330" s="446"/>
      <c r="CP330" s="446"/>
      <c r="CQ330" s="446"/>
      <c r="CR330" s="446"/>
      <c r="CS330" s="446"/>
      <c r="CT330" s="446"/>
    </row>
    <row r="331" spans="57:98" ht="12" hidden="1" x14ac:dyDescent="0.2">
      <c r="BE331" s="432">
        <v>213</v>
      </c>
      <c r="BF331" s="432"/>
      <c r="BG331" s="432"/>
      <c r="BH331" s="216">
        <f>BH329*30.2/130.2</f>
        <v>173.963133640553</v>
      </c>
      <c r="BI331" s="435">
        <f>BI330*30.2%</f>
        <v>17.396313364055299</v>
      </c>
      <c r="BJ331" s="435"/>
      <c r="BK331" s="435"/>
      <c r="BL331" s="435"/>
      <c r="BM331" s="435"/>
      <c r="BN331" s="435">
        <f>BN330*30.2%</f>
        <v>156.56682027649771</v>
      </c>
      <c r="BO331" s="435"/>
      <c r="BP331" s="435"/>
      <c r="BQ331" s="435"/>
      <c r="BR331" s="435"/>
      <c r="BS331" s="435"/>
      <c r="BT331" s="435"/>
    </row>
    <row r="332" spans="57:98" ht="8.25" hidden="1" customHeight="1" x14ac:dyDescent="0.2"/>
    <row r="333" spans="57:98" ht="8.25" hidden="1" customHeight="1" x14ac:dyDescent="0.2"/>
    <row r="334" spans="57:98" ht="8.25" hidden="1" customHeight="1" x14ac:dyDescent="0.2"/>
    <row r="335" spans="57:98" ht="12" hidden="1" x14ac:dyDescent="0.2">
      <c r="BE335" s="432" t="s">
        <v>491</v>
      </c>
      <c r="BF335" s="432"/>
      <c r="BG335" s="432"/>
      <c r="BH335" s="432"/>
      <c r="BI335" s="432"/>
      <c r="BJ335" s="432"/>
      <c r="BK335" s="432"/>
      <c r="BL335" s="432"/>
      <c r="BM335" s="432"/>
      <c r="BN335" s="432"/>
      <c r="BO335" s="432"/>
      <c r="BP335" s="432"/>
      <c r="BQ335" s="432"/>
      <c r="BR335" s="432"/>
      <c r="BS335" s="432"/>
      <c r="BT335" s="432"/>
      <c r="BU335" s="432"/>
      <c r="BV335" s="432"/>
      <c r="BW335" s="432"/>
      <c r="BX335" s="432"/>
      <c r="BY335" s="432"/>
      <c r="BZ335" s="432"/>
      <c r="CA335" s="432"/>
    </row>
    <row r="336" spans="57:98" ht="12" hidden="1" x14ac:dyDescent="0.2">
      <c r="BE336" s="432" t="s">
        <v>126</v>
      </c>
      <c r="BF336" s="432"/>
      <c r="BG336" s="432"/>
      <c r="BH336" s="433">
        <f>250*10</f>
        <v>2500</v>
      </c>
      <c r="BI336" s="433"/>
      <c r="BJ336" s="433"/>
      <c r="BK336" s="433"/>
      <c r="BL336" s="433"/>
      <c r="BM336" s="297" t="s">
        <v>127</v>
      </c>
      <c r="BN336" s="297"/>
      <c r="BO336" s="297"/>
      <c r="BP336" s="297"/>
      <c r="BQ336" s="297"/>
      <c r="BR336" s="297"/>
      <c r="BS336" s="297"/>
      <c r="BT336" s="297"/>
    </row>
    <row r="337" spans="57:98" ht="15" hidden="1" x14ac:dyDescent="0.25">
      <c r="BE337" s="434">
        <v>0.6</v>
      </c>
      <c r="BF337" s="432"/>
      <c r="BG337" s="432"/>
      <c r="BH337" s="216">
        <f>BH336*BE337</f>
        <v>1500</v>
      </c>
      <c r="BI337" s="432" t="s">
        <v>128</v>
      </c>
      <c r="BJ337" s="432"/>
      <c r="BK337" s="432"/>
      <c r="BL337" s="432"/>
      <c r="BM337" s="432"/>
      <c r="BN337" s="432" t="s">
        <v>129</v>
      </c>
      <c r="BO337" s="432"/>
      <c r="BP337" s="432"/>
      <c r="BQ337" s="432"/>
      <c r="BR337" s="432"/>
      <c r="BS337" s="432"/>
      <c r="BT337" s="432"/>
      <c r="CE337" s="432" t="s">
        <v>368</v>
      </c>
      <c r="CF337" s="443"/>
      <c r="CG337" s="443"/>
      <c r="CH337" s="443"/>
      <c r="CI337" s="443"/>
      <c r="CJ337" s="443"/>
      <c r="CM337" s="432" t="s">
        <v>366</v>
      </c>
      <c r="CN337" s="443"/>
      <c r="CO337" s="443"/>
      <c r="CP337" s="443"/>
      <c r="CQ337" s="443"/>
      <c r="CR337" s="443"/>
      <c r="CS337" s="443"/>
      <c r="CT337" s="443"/>
    </row>
    <row r="338" spans="57:98" ht="15" hidden="1" x14ac:dyDescent="0.25">
      <c r="BE338" s="432">
        <v>211</v>
      </c>
      <c r="BF338" s="432"/>
      <c r="BG338" s="432"/>
      <c r="BH338" s="216">
        <f>BH337-BH339</f>
        <v>1152.073732718894</v>
      </c>
      <c r="BI338" s="435">
        <f>BH338*0.1</f>
        <v>115.20737327188941</v>
      </c>
      <c r="BJ338" s="435"/>
      <c r="BK338" s="435"/>
      <c r="BL338" s="435"/>
      <c r="BM338" s="435"/>
      <c r="BN338" s="436">
        <f>BH338-BI338</f>
        <v>1036.8663594470047</v>
      </c>
      <c r="BO338" s="445"/>
      <c r="BP338" s="445"/>
      <c r="BQ338" s="445"/>
      <c r="BR338" s="445"/>
      <c r="BS338" s="445"/>
      <c r="BT338" s="445"/>
      <c r="CE338" s="437">
        <f>BI338*15/20</f>
        <v>86.405529953917068</v>
      </c>
      <c r="CF338" s="446"/>
      <c r="CG338" s="446"/>
      <c r="CH338" s="446"/>
      <c r="CI338" s="446"/>
      <c r="CJ338" s="446"/>
      <c r="CM338" s="437">
        <f>BI338*5/20</f>
        <v>28.801843317972349</v>
      </c>
      <c r="CN338" s="446"/>
      <c r="CO338" s="446"/>
      <c r="CP338" s="446"/>
      <c r="CQ338" s="446"/>
      <c r="CR338" s="446"/>
      <c r="CS338" s="446"/>
      <c r="CT338" s="446"/>
    </row>
    <row r="339" spans="57:98" ht="12" hidden="1" x14ac:dyDescent="0.2">
      <c r="BE339" s="432">
        <v>213</v>
      </c>
      <c r="BF339" s="432"/>
      <c r="BG339" s="432"/>
      <c r="BH339" s="216">
        <f>BH337*30.2/130.2</f>
        <v>347.92626728110599</v>
      </c>
      <c r="BI339" s="435">
        <f>BI338*30.2%</f>
        <v>34.792626728110598</v>
      </c>
      <c r="BJ339" s="435"/>
      <c r="BK339" s="435"/>
      <c r="BL339" s="435"/>
      <c r="BM339" s="435"/>
      <c r="BN339" s="435">
        <f>BN338*30.2%</f>
        <v>313.13364055299542</v>
      </c>
      <c r="BO339" s="435"/>
      <c r="BP339" s="435"/>
      <c r="BQ339" s="435"/>
      <c r="BR339" s="435"/>
      <c r="BS339" s="435"/>
      <c r="BT339" s="435"/>
    </row>
    <row r="340" spans="57:98" ht="8.25" hidden="1" customHeight="1" x14ac:dyDescent="0.2"/>
    <row r="341" spans="57:98" ht="8.25" hidden="1" customHeight="1" x14ac:dyDescent="0.2"/>
    <row r="342" spans="57:98" ht="8.25" hidden="1" customHeight="1" x14ac:dyDescent="0.2"/>
    <row r="343" spans="57:98" ht="12" hidden="1" x14ac:dyDescent="0.2">
      <c r="BE343" s="432" t="s">
        <v>501</v>
      </c>
      <c r="BF343" s="432"/>
      <c r="BG343" s="432"/>
      <c r="BH343" s="432"/>
      <c r="BI343" s="432"/>
      <c r="BJ343" s="432"/>
      <c r="BK343" s="432"/>
      <c r="BL343" s="432"/>
      <c r="BM343" s="432"/>
      <c r="BN343" s="432"/>
      <c r="BO343" s="432"/>
      <c r="BP343" s="432"/>
      <c r="BQ343" s="432"/>
      <c r="BR343" s="432"/>
      <c r="BS343" s="432"/>
      <c r="BT343" s="432"/>
      <c r="BU343" s="432"/>
      <c r="BV343" s="432"/>
      <c r="BW343" s="432"/>
      <c r="BX343" s="432"/>
      <c r="BY343" s="432"/>
      <c r="BZ343" s="432"/>
      <c r="CA343" s="432"/>
    </row>
    <row r="344" spans="57:98" ht="12" hidden="1" x14ac:dyDescent="0.2">
      <c r="BE344" s="432" t="s">
        <v>126</v>
      </c>
      <c r="BF344" s="432"/>
      <c r="BG344" s="432"/>
      <c r="BH344" s="433">
        <f>250*4</f>
        <v>1000</v>
      </c>
      <c r="BI344" s="433"/>
      <c r="BJ344" s="433"/>
      <c r="BK344" s="433"/>
      <c r="BL344" s="433"/>
      <c r="BM344" s="300" t="s">
        <v>127</v>
      </c>
      <c r="BN344" s="300"/>
      <c r="BO344" s="300"/>
      <c r="BP344" s="300"/>
      <c r="BQ344" s="300"/>
      <c r="BR344" s="300"/>
      <c r="BS344" s="300"/>
      <c r="BT344" s="300"/>
    </row>
    <row r="345" spans="57:98" ht="15" hidden="1" x14ac:dyDescent="0.25">
      <c r="BE345" s="434">
        <v>0.6</v>
      </c>
      <c r="BF345" s="432"/>
      <c r="BG345" s="432"/>
      <c r="BH345" s="216">
        <f>BH344*BE345</f>
        <v>600</v>
      </c>
      <c r="BI345" s="432" t="s">
        <v>128</v>
      </c>
      <c r="BJ345" s="432"/>
      <c r="BK345" s="432"/>
      <c r="BL345" s="432"/>
      <c r="BM345" s="432"/>
      <c r="BN345" s="432" t="s">
        <v>129</v>
      </c>
      <c r="BO345" s="432"/>
      <c r="BP345" s="432"/>
      <c r="BQ345" s="432"/>
      <c r="BR345" s="432"/>
      <c r="BS345" s="432"/>
      <c r="BT345" s="432"/>
      <c r="CE345" s="432" t="s">
        <v>368</v>
      </c>
      <c r="CF345" s="443"/>
      <c r="CG345" s="443"/>
      <c r="CH345" s="443"/>
      <c r="CI345" s="443"/>
      <c r="CJ345" s="443"/>
      <c r="CM345" s="432" t="s">
        <v>366</v>
      </c>
      <c r="CN345" s="443"/>
      <c r="CO345" s="443"/>
      <c r="CP345" s="443"/>
      <c r="CQ345" s="443"/>
      <c r="CR345" s="443"/>
      <c r="CS345" s="443"/>
      <c r="CT345" s="443"/>
    </row>
    <row r="346" spans="57:98" ht="15" hidden="1" x14ac:dyDescent="0.25">
      <c r="BE346" s="432">
        <v>211</v>
      </c>
      <c r="BF346" s="432"/>
      <c r="BG346" s="432"/>
      <c r="BH346" s="216">
        <f>BH345-BH347</f>
        <v>460.82949308755758</v>
      </c>
      <c r="BI346" s="435">
        <f>BH346*0.1</f>
        <v>46.082949308755758</v>
      </c>
      <c r="BJ346" s="435"/>
      <c r="BK346" s="435"/>
      <c r="BL346" s="435"/>
      <c r="BM346" s="435"/>
      <c r="BN346" s="436">
        <f>BH346-BI346</f>
        <v>414.74654377880182</v>
      </c>
      <c r="BO346" s="445"/>
      <c r="BP346" s="445"/>
      <c r="BQ346" s="445"/>
      <c r="BR346" s="445"/>
      <c r="BS346" s="445"/>
      <c r="BT346" s="445"/>
      <c r="CE346" s="437">
        <f>BI346*15/20</f>
        <v>34.562211981566819</v>
      </c>
      <c r="CF346" s="446"/>
      <c r="CG346" s="446"/>
      <c r="CH346" s="446"/>
      <c r="CI346" s="446"/>
      <c r="CJ346" s="446"/>
      <c r="CM346" s="437">
        <f>BI346*5/20</f>
        <v>11.52073732718894</v>
      </c>
      <c r="CN346" s="446"/>
      <c r="CO346" s="446"/>
      <c r="CP346" s="446"/>
      <c r="CQ346" s="446"/>
      <c r="CR346" s="446"/>
      <c r="CS346" s="446"/>
      <c r="CT346" s="446"/>
    </row>
    <row r="347" spans="57:98" ht="12" hidden="1" x14ac:dyDescent="0.2">
      <c r="BE347" s="432">
        <v>213</v>
      </c>
      <c r="BF347" s="432"/>
      <c r="BG347" s="432"/>
      <c r="BH347" s="216">
        <f>BH345*30.2/130.2</f>
        <v>139.17050691244242</v>
      </c>
      <c r="BI347" s="435">
        <f>BI346*30.2%</f>
        <v>13.917050691244238</v>
      </c>
      <c r="BJ347" s="435"/>
      <c r="BK347" s="435"/>
      <c r="BL347" s="435"/>
      <c r="BM347" s="435"/>
      <c r="BN347" s="435">
        <f>BN346*30.2%</f>
        <v>125.25345622119815</v>
      </c>
      <c r="BO347" s="435"/>
      <c r="BP347" s="435"/>
      <c r="BQ347" s="435"/>
      <c r="BR347" s="435"/>
      <c r="BS347" s="435"/>
      <c r="BT347" s="435"/>
    </row>
    <row r="348" spans="57:98" ht="8.25" hidden="1" customHeight="1" x14ac:dyDescent="0.2"/>
    <row r="349" spans="57:98" ht="8.25" hidden="1" customHeight="1" x14ac:dyDescent="0.2"/>
    <row r="350" spans="57:98" ht="12" hidden="1" x14ac:dyDescent="0.2">
      <c r="BE350" s="432" t="s">
        <v>535</v>
      </c>
      <c r="BF350" s="432"/>
      <c r="BG350" s="432"/>
      <c r="BH350" s="432"/>
      <c r="BI350" s="432"/>
      <c r="BJ350" s="432"/>
      <c r="BK350" s="432"/>
      <c r="BL350" s="432"/>
      <c r="BM350" s="432"/>
      <c r="BN350" s="432"/>
      <c r="BO350" s="432"/>
      <c r="BP350" s="432"/>
      <c r="BQ350" s="432"/>
      <c r="BR350" s="432"/>
      <c r="BS350" s="432"/>
      <c r="BT350" s="432"/>
      <c r="BU350" s="432"/>
      <c r="BV350" s="432"/>
      <c r="BW350" s="432"/>
      <c r="BX350" s="432"/>
      <c r="BY350" s="432"/>
      <c r="BZ350" s="432"/>
      <c r="CA350" s="432"/>
    </row>
    <row r="351" spans="57:98" ht="12" hidden="1" x14ac:dyDescent="0.2">
      <c r="BE351" s="432" t="s">
        <v>126</v>
      </c>
      <c r="BF351" s="432"/>
      <c r="BG351" s="432"/>
      <c r="BH351" s="433">
        <f>250*22</f>
        <v>5500</v>
      </c>
      <c r="BI351" s="433"/>
      <c r="BJ351" s="433"/>
      <c r="BK351" s="433"/>
      <c r="BL351" s="433"/>
      <c r="BM351" s="304" t="s">
        <v>127</v>
      </c>
      <c r="BN351" s="304"/>
      <c r="BO351" s="304"/>
      <c r="BP351" s="304"/>
      <c r="BQ351" s="304"/>
      <c r="BR351" s="304"/>
      <c r="BS351" s="304"/>
      <c r="BT351" s="304"/>
    </row>
    <row r="352" spans="57:98" ht="15" hidden="1" x14ac:dyDescent="0.25">
      <c r="BE352" s="434">
        <v>0.6</v>
      </c>
      <c r="BF352" s="432"/>
      <c r="BG352" s="432"/>
      <c r="BH352" s="216">
        <f>BH351*BE352</f>
        <v>3300</v>
      </c>
      <c r="BI352" s="432" t="s">
        <v>128</v>
      </c>
      <c r="BJ352" s="432"/>
      <c r="BK352" s="432"/>
      <c r="BL352" s="432"/>
      <c r="BM352" s="432"/>
      <c r="BN352" s="432" t="s">
        <v>129</v>
      </c>
      <c r="BO352" s="432"/>
      <c r="BP352" s="432"/>
      <c r="BQ352" s="432"/>
      <c r="BR352" s="432"/>
      <c r="BS352" s="432"/>
      <c r="BT352" s="432"/>
      <c r="CE352" s="432" t="s">
        <v>368</v>
      </c>
      <c r="CF352" s="443"/>
      <c r="CG352" s="443"/>
      <c r="CH352" s="443"/>
      <c r="CI352" s="443"/>
      <c r="CJ352" s="443"/>
      <c r="CM352" s="432" t="s">
        <v>366</v>
      </c>
      <c r="CN352" s="443"/>
      <c r="CO352" s="443"/>
      <c r="CP352" s="443"/>
      <c r="CQ352" s="443"/>
      <c r="CR352" s="443"/>
      <c r="CS352" s="443"/>
      <c r="CT352" s="443"/>
    </row>
    <row r="353" spans="57:98" ht="15" hidden="1" x14ac:dyDescent="0.25">
      <c r="BE353" s="432">
        <v>211</v>
      </c>
      <c r="BF353" s="432"/>
      <c r="BG353" s="432"/>
      <c r="BH353" s="216">
        <f>BH352-BH354</f>
        <v>2534.5622119815666</v>
      </c>
      <c r="BI353" s="435">
        <f>BH353*0.2</f>
        <v>506.91244239631334</v>
      </c>
      <c r="BJ353" s="435"/>
      <c r="BK353" s="435"/>
      <c r="BL353" s="435"/>
      <c r="BM353" s="435"/>
      <c r="BN353" s="436">
        <f>BH353-BI353</f>
        <v>2027.6497695852534</v>
      </c>
      <c r="BO353" s="445"/>
      <c r="BP353" s="445"/>
      <c r="BQ353" s="445"/>
      <c r="BR353" s="445"/>
      <c r="BS353" s="445"/>
      <c r="BT353" s="445"/>
      <c r="CE353" s="437">
        <f>BI353*15/20</f>
        <v>380.18433179723502</v>
      </c>
      <c r="CF353" s="446"/>
      <c r="CG353" s="446"/>
      <c r="CH353" s="446"/>
      <c r="CI353" s="446"/>
      <c r="CJ353" s="446"/>
      <c r="CM353" s="437">
        <f>BI353*5/20</f>
        <v>126.72811059907833</v>
      </c>
      <c r="CN353" s="446"/>
      <c r="CO353" s="446"/>
      <c r="CP353" s="446"/>
      <c r="CQ353" s="446"/>
      <c r="CR353" s="446"/>
      <c r="CS353" s="446"/>
      <c r="CT353" s="446"/>
    </row>
    <row r="354" spans="57:98" ht="12" hidden="1" x14ac:dyDescent="0.2">
      <c r="BE354" s="432">
        <v>213</v>
      </c>
      <c r="BF354" s="432"/>
      <c r="BG354" s="432"/>
      <c r="BH354" s="216">
        <f>BH352*30.2/130.2</f>
        <v>765.43778801843325</v>
      </c>
      <c r="BI354" s="435">
        <f>BI353*30.2%</f>
        <v>153.08755760368663</v>
      </c>
      <c r="BJ354" s="435"/>
      <c r="BK354" s="435"/>
      <c r="BL354" s="435"/>
      <c r="BM354" s="435"/>
      <c r="BN354" s="435">
        <f>BN353*30.2%</f>
        <v>612.35023041474653</v>
      </c>
      <c r="BO354" s="435"/>
      <c r="BP354" s="435"/>
      <c r="BQ354" s="435"/>
      <c r="BR354" s="435"/>
      <c r="BS354" s="435"/>
      <c r="BT354" s="435"/>
    </row>
    <row r="355" spans="57:98" ht="8.25" hidden="1" customHeight="1" x14ac:dyDescent="0.2"/>
    <row r="356" spans="57:98" ht="8.25" hidden="1" customHeight="1" x14ac:dyDescent="0.2"/>
    <row r="357" spans="57:98" ht="15" hidden="1" x14ac:dyDescent="0.25">
      <c r="CM357" s="778">
        <f>CM299+CM307+CM314+CM322+CM330+CM338+CM346+CM353</f>
        <v>446.42857142857144</v>
      </c>
      <c r="CN357" s="779"/>
      <c r="CO357" s="779"/>
      <c r="CP357" s="779"/>
      <c r="CQ357" s="779"/>
      <c r="CR357" s="779"/>
      <c r="CS357" s="779"/>
      <c r="CT357" s="779"/>
    </row>
    <row r="358" spans="57:98" ht="12" hidden="1" x14ac:dyDescent="0.2">
      <c r="BE358" s="432" t="s">
        <v>544</v>
      </c>
      <c r="BF358" s="432"/>
      <c r="BG358" s="432"/>
      <c r="BH358" s="432"/>
      <c r="BI358" s="432"/>
      <c r="BJ358" s="432"/>
      <c r="BK358" s="432"/>
      <c r="BL358" s="432"/>
      <c r="BM358" s="432"/>
      <c r="BN358" s="432"/>
      <c r="BO358" s="432"/>
      <c r="BP358" s="432"/>
      <c r="BQ358" s="432"/>
      <c r="BR358" s="432"/>
      <c r="BS358" s="432"/>
      <c r="BT358" s="432"/>
      <c r="BU358" s="432"/>
      <c r="BV358" s="432"/>
      <c r="BW358" s="432"/>
      <c r="BX358" s="432"/>
      <c r="BY358" s="432"/>
      <c r="BZ358" s="432"/>
      <c r="CA358" s="432"/>
    </row>
    <row r="359" spans="57:98" ht="12" hidden="1" x14ac:dyDescent="0.2">
      <c r="BE359" s="432" t="s">
        <v>126</v>
      </c>
      <c r="BF359" s="432"/>
      <c r="BG359" s="432"/>
      <c r="BH359" s="433">
        <f>250*62</f>
        <v>15500</v>
      </c>
      <c r="BI359" s="433"/>
      <c r="BJ359" s="433"/>
      <c r="BK359" s="433"/>
      <c r="BL359" s="433"/>
      <c r="BM359" s="320" t="s">
        <v>127</v>
      </c>
      <c r="BN359" s="320"/>
      <c r="BO359" s="320"/>
      <c r="BP359" s="320"/>
      <c r="BQ359" s="320"/>
      <c r="BR359" s="320"/>
      <c r="BS359" s="320"/>
      <c r="BT359" s="320"/>
    </row>
    <row r="360" spans="57:98" ht="15" hidden="1" x14ac:dyDescent="0.25">
      <c r="BE360" s="434">
        <v>0.6</v>
      </c>
      <c r="BF360" s="432"/>
      <c r="BG360" s="432"/>
      <c r="BH360" s="216">
        <f>BH359*BE360</f>
        <v>9300</v>
      </c>
      <c r="BI360" s="432" t="s">
        <v>128</v>
      </c>
      <c r="BJ360" s="432"/>
      <c r="BK360" s="432"/>
      <c r="BL360" s="432"/>
      <c r="BM360" s="432"/>
      <c r="BN360" s="432" t="s">
        <v>129</v>
      </c>
      <c r="BO360" s="432"/>
      <c r="BP360" s="432"/>
      <c r="BQ360" s="432"/>
      <c r="BR360" s="432"/>
      <c r="BS360" s="432"/>
      <c r="BT360" s="432"/>
      <c r="CE360" s="432" t="s">
        <v>368</v>
      </c>
      <c r="CF360" s="443"/>
      <c r="CG360" s="443"/>
      <c r="CH360" s="443"/>
      <c r="CI360" s="443"/>
      <c r="CJ360" s="443"/>
      <c r="CM360" s="432" t="s">
        <v>366</v>
      </c>
      <c r="CN360" s="443"/>
      <c r="CO360" s="443"/>
      <c r="CP360" s="443"/>
      <c r="CQ360" s="443"/>
      <c r="CR360" s="443"/>
      <c r="CS360" s="443"/>
      <c r="CT360" s="443"/>
    </row>
    <row r="361" spans="57:98" ht="15" hidden="1" x14ac:dyDescent="0.25">
      <c r="BE361" s="432">
        <v>211</v>
      </c>
      <c r="BF361" s="432"/>
      <c r="BG361" s="432"/>
      <c r="BH361" s="216">
        <f>BH360-BH362</f>
        <v>7142.8571428571431</v>
      </c>
      <c r="BI361" s="435">
        <f>BH361*0.2</f>
        <v>1428.5714285714287</v>
      </c>
      <c r="BJ361" s="435"/>
      <c r="BK361" s="435"/>
      <c r="BL361" s="435"/>
      <c r="BM361" s="435"/>
      <c r="BN361" s="436">
        <f>BH361-BI361</f>
        <v>5714.2857142857147</v>
      </c>
      <c r="BO361" s="445"/>
      <c r="BP361" s="445"/>
      <c r="BQ361" s="445"/>
      <c r="BR361" s="445"/>
      <c r="BS361" s="445"/>
      <c r="BT361" s="445"/>
      <c r="CE361" s="437">
        <f>BI361*15/20</f>
        <v>1071.4285714285716</v>
      </c>
      <c r="CF361" s="446"/>
      <c r="CG361" s="446"/>
      <c r="CH361" s="446"/>
      <c r="CI361" s="446"/>
      <c r="CJ361" s="446"/>
      <c r="CM361" s="437">
        <f>BI361*5/20</f>
        <v>357.14285714285717</v>
      </c>
      <c r="CN361" s="446"/>
      <c r="CO361" s="446"/>
      <c r="CP361" s="446"/>
      <c r="CQ361" s="446"/>
      <c r="CR361" s="446"/>
      <c r="CS361" s="446"/>
      <c r="CT361" s="446"/>
    </row>
    <row r="362" spans="57:98" ht="12" hidden="1" x14ac:dyDescent="0.2">
      <c r="BE362" s="432">
        <v>213</v>
      </c>
      <c r="BF362" s="432"/>
      <c r="BG362" s="432"/>
      <c r="BH362" s="216">
        <f>BH360*30.2/130.2</f>
        <v>2157.1428571428573</v>
      </c>
      <c r="BI362" s="435">
        <f>BI361*30.2%</f>
        <v>431.42857142857144</v>
      </c>
      <c r="BJ362" s="435"/>
      <c r="BK362" s="435"/>
      <c r="BL362" s="435"/>
      <c r="BM362" s="435"/>
      <c r="BN362" s="435">
        <f>BN361*30.2%</f>
        <v>1725.7142857142858</v>
      </c>
      <c r="BO362" s="435"/>
      <c r="BP362" s="435"/>
      <c r="BQ362" s="435"/>
      <c r="BR362" s="435"/>
      <c r="BS362" s="435"/>
      <c r="BT362" s="435"/>
    </row>
    <row r="363" spans="57:98" ht="8.25" hidden="1" customHeight="1" x14ac:dyDescent="0.2"/>
    <row r="364" spans="57:98" ht="8.25" hidden="1" customHeight="1" x14ac:dyDescent="0.2"/>
    <row r="365" spans="57:98" ht="12" hidden="1" x14ac:dyDescent="0.2">
      <c r="BE365" s="432" t="s">
        <v>561</v>
      </c>
      <c r="BF365" s="432"/>
      <c r="BG365" s="432"/>
      <c r="BH365" s="432"/>
      <c r="BI365" s="432"/>
      <c r="BJ365" s="432"/>
      <c r="BK365" s="432"/>
      <c r="BL365" s="432"/>
      <c r="BM365" s="432"/>
      <c r="BN365" s="432"/>
      <c r="BO365" s="432"/>
      <c r="BP365" s="432"/>
      <c r="BQ365" s="432"/>
      <c r="BR365" s="432"/>
      <c r="BS365" s="432"/>
      <c r="BT365" s="432"/>
      <c r="BU365" s="432"/>
      <c r="BV365" s="432"/>
      <c r="BW365" s="432"/>
      <c r="BX365" s="432"/>
      <c r="BY365" s="432"/>
      <c r="BZ365" s="432"/>
      <c r="CA365" s="432"/>
    </row>
    <row r="366" spans="57:98" ht="12" hidden="1" x14ac:dyDescent="0.2">
      <c r="BE366" s="432" t="s">
        <v>126</v>
      </c>
      <c r="BF366" s="432"/>
      <c r="BG366" s="432"/>
      <c r="BH366" s="433">
        <f>250*39</f>
        <v>9750</v>
      </c>
      <c r="BI366" s="433"/>
      <c r="BJ366" s="433"/>
      <c r="BK366" s="433"/>
      <c r="BL366" s="433"/>
      <c r="BM366" s="324" t="s">
        <v>127</v>
      </c>
      <c r="BN366" s="324"/>
      <c r="BO366" s="324"/>
      <c r="BP366" s="324"/>
      <c r="BQ366" s="324"/>
      <c r="BR366" s="324"/>
      <c r="BS366" s="324"/>
      <c r="BT366" s="324"/>
    </row>
    <row r="367" spans="57:98" ht="15" hidden="1" x14ac:dyDescent="0.25">
      <c r="BE367" s="434">
        <v>0.6</v>
      </c>
      <c r="BF367" s="432"/>
      <c r="BG367" s="432"/>
      <c r="BH367" s="216">
        <f>BH366*BE367</f>
        <v>5850</v>
      </c>
      <c r="BI367" s="432" t="s">
        <v>128</v>
      </c>
      <c r="BJ367" s="432"/>
      <c r="BK367" s="432"/>
      <c r="BL367" s="432"/>
      <c r="BM367" s="432"/>
      <c r="BN367" s="432" t="s">
        <v>129</v>
      </c>
      <c r="BO367" s="432"/>
      <c r="BP367" s="432"/>
      <c r="BQ367" s="432"/>
      <c r="BR367" s="432"/>
      <c r="BS367" s="432"/>
      <c r="BT367" s="432"/>
      <c r="CE367" s="432" t="s">
        <v>368</v>
      </c>
      <c r="CF367" s="443"/>
      <c r="CG367" s="443"/>
      <c r="CH367" s="443"/>
      <c r="CI367" s="443"/>
      <c r="CJ367" s="443"/>
      <c r="CM367" s="432" t="s">
        <v>366</v>
      </c>
      <c r="CN367" s="443"/>
      <c r="CO367" s="443"/>
      <c r="CP367" s="443"/>
      <c r="CQ367" s="443"/>
      <c r="CR367" s="443"/>
      <c r="CS367" s="443"/>
      <c r="CT367" s="443"/>
    </row>
    <row r="368" spans="57:98" ht="15" hidden="1" x14ac:dyDescent="0.25">
      <c r="BE368" s="432">
        <v>211</v>
      </c>
      <c r="BF368" s="432"/>
      <c r="BG368" s="432"/>
      <c r="BH368" s="216">
        <f>BH367-BH369</f>
        <v>4493.0875576036869</v>
      </c>
      <c r="BI368" s="435">
        <f>BH368*0.2</f>
        <v>898.61751152073748</v>
      </c>
      <c r="BJ368" s="435"/>
      <c r="BK368" s="435"/>
      <c r="BL368" s="435"/>
      <c r="BM368" s="435"/>
      <c r="BN368" s="436">
        <f>BH368-BI368</f>
        <v>3594.4700460829495</v>
      </c>
      <c r="BO368" s="445"/>
      <c r="BP368" s="445"/>
      <c r="BQ368" s="445"/>
      <c r="BR368" s="445"/>
      <c r="BS368" s="445"/>
      <c r="BT368" s="445"/>
      <c r="CE368" s="437">
        <f>BI368*15/20</f>
        <v>673.96313364055311</v>
      </c>
      <c r="CF368" s="446"/>
      <c r="CG368" s="446"/>
      <c r="CH368" s="446"/>
      <c r="CI368" s="446"/>
      <c r="CJ368" s="446"/>
      <c r="CM368" s="437">
        <f>BI368*5/20</f>
        <v>224.65437788018434</v>
      </c>
      <c r="CN368" s="446"/>
      <c r="CO368" s="446"/>
      <c r="CP368" s="446"/>
      <c r="CQ368" s="446"/>
      <c r="CR368" s="446"/>
      <c r="CS368" s="446"/>
      <c r="CT368" s="446"/>
    </row>
    <row r="369" spans="57:98" ht="12" hidden="1" x14ac:dyDescent="0.2">
      <c r="BE369" s="432">
        <v>213</v>
      </c>
      <c r="BF369" s="432"/>
      <c r="BG369" s="432"/>
      <c r="BH369" s="216">
        <f>BH367*30.2/130.2</f>
        <v>1356.9124423963135</v>
      </c>
      <c r="BI369" s="435">
        <f>BI368*30.2%</f>
        <v>271.38248847926269</v>
      </c>
      <c r="BJ369" s="435"/>
      <c r="BK369" s="435"/>
      <c r="BL369" s="435"/>
      <c r="BM369" s="435"/>
      <c r="BN369" s="435">
        <f>BN368*30.2%</f>
        <v>1085.5299539170508</v>
      </c>
      <c r="BO369" s="435"/>
      <c r="BP369" s="435"/>
      <c r="BQ369" s="435"/>
      <c r="BR369" s="435"/>
      <c r="BS369" s="435"/>
      <c r="BT369" s="435"/>
    </row>
    <row r="370" spans="57:98" ht="8.25" hidden="1" customHeight="1" x14ac:dyDescent="0.2"/>
    <row r="371" spans="57:98" ht="8.25" hidden="1" customHeight="1" x14ac:dyDescent="0.2"/>
    <row r="372" spans="57:98" ht="12" hidden="1" x14ac:dyDescent="0.2">
      <c r="BE372" s="432" t="s">
        <v>593</v>
      </c>
      <c r="BF372" s="432"/>
      <c r="BG372" s="432"/>
      <c r="BH372" s="432"/>
      <c r="BI372" s="432"/>
      <c r="BJ372" s="432"/>
      <c r="BK372" s="432"/>
      <c r="BL372" s="432"/>
      <c r="BM372" s="432"/>
      <c r="BN372" s="432"/>
      <c r="BO372" s="432"/>
      <c r="BP372" s="432"/>
      <c r="BQ372" s="432"/>
      <c r="BR372" s="432"/>
      <c r="BS372" s="432"/>
      <c r="BT372" s="432"/>
      <c r="BU372" s="432"/>
      <c r="BV372" s="432"/>
      <c r="BW372" s="432"/>
      <c r="BX372" s="432"/>
      <c r="BY372" s="432"/>
      <c r="BZ372" s="432"/>
      <c r="CA372" s="432"/>
    </row>
    <row r="373" spans="57:98" ht="12" hidden="1" x14ac:dyDescent="0.2">
      <c r="BE373" s="432" t="s">
        <v>126</v>
      </c>
      <c r="BF373" s="432"/>
      <c r="BG373" s="432"/>
      <c r="BH373" s="433">
        <f>250*21</f>
        <v>5250</v>
      </c>
      <c r="BI373" s="433"/>
      <c r="BJ373" s="433"/>
      <c r="BK373" s="433"/>
      <c r="BL373" s="433"/>
      <c r="BM373" s="340" t="s">
        <v>127</v>
      </c>
      <c r="BN373" s="340"/>
      <c r="BO373" s="340"/>
      <c r="BP373" s="340"/>
      <c r="BQ373" s="340"/>
      <c r="BR373" s="340"/>
      <c r="BS373" s="340"/>
      <c r="BT373" s="340"/>
    </row>
    <row r="374" spans="57:98" ht="15" hidden="1" x14ac:dyDescent="0.25">
      <c r="BE374" s="434">
        <v>0.6</v>
      </c>
      <c r="BF374" s="432"/>
      <c r="BG374" s="432"/>
      <c r="BH374" s="216">
        <f>BH373*BE374</f>
        <v>3150</v>
      </c>
      <c r="BI374" s="432" t="s">
        <v>128</v>
      </c>
      <c r="BJ374" s="432"/>
      <c r="BK374" s="432"/>
      <c r="BL374" s="432"/>
      <c r="BM374" s="432"/>
      <c r="BN374" s="432" t="s">
        <v>129</v>
      </c>
      <c r="BO374" s="432"/>
      <c r="BP374" s="432"/>
      <c r="BQ374" s="432"/>
      <c r="BR374" s="432"/>
      <c r="BS374" s="432"/>
      <c r="BT374" s="432"/>
      <c r="CE374" s="432" t="s">
        <v>368</v>
      </c>
      <c r="CF374" s="443"/>
      <c r="CG374" s="443"/>
      <c r="CH374" s="443"/>
      <c r="CI374" s="443"/>
      <c r="CJ374" s="443"/>
      <c r="CM374" s="432" t="s">
        <v>366</v>
      </c>
      <c r="CN374" s="443"/>
      <c r="CO374" s="443"/>
      <c r="CP374" s="443"/>
      <c r="CQ374" s="443"/>
      <c r="CR374" s="443"/>
      <c r="CS374" s="443"/>
      <c r="CT374" s="443"/>
    </row>
    <row r="375" spans="57:98" ht="15" hidden="1" x14ac:dyDescent="0.25">
      <c r="BE375" s="432">
        <v>211</v>
      </c>
      <c r="BF375" s="432"/>
      <c r="BG375" s="432"/>
      <c r="BH375" s="216">
        <f>BH374-BH376</f>
        <v>2419.3548387096771</v>
      </c>
      <c r="BI375" s="435">
        <f>BH375*0.2</f>
        <v>483.87096774193543</v>
      </c>
      <c r="BJ375" s="435"/>
      <c r="BK375" s="435"/>
      <c r="BL375" s="435"/>
      <c r="BM375" s="435"/>
      <c r="BN375" s="436">
        <f>BH375-BI375</f>
        <v>1935.4838709677417</v>
      </c>
      <c r="BO375" s="445"/>
      <c r="BP375" s="445"/>
      <c r="BQ375" s="445"/>
      <c r="BR375" s="445"/>
      <c r="BS375" s="445"/>
      <c r="BT375" s="445"/>
      <c r="CE375" s="437">
        <f>BI375*15/20</f>
        <v>362.90322580645159</v>
      </c>
      <c r="CF375" s="446"/>
      <c r="CG375" s="446"/>
      <c r="CH375" s="446"/>
      <c r="CI375" s="446"/>
      <c r="CJ375" s="446"/>
      <c r="CM375" s="437">
        <f>BI375*5/20</f>
        <v>120.96774193548386</v>
      </c>
      <c r="CN375" s="446"/>
      <c r="CO375" s="446"/>
      <c r="CP375" s="446"/>
      <c r="CQ375" s="446"/>
      <c r="CR375" s="446"/>
      <c r="CS375" s="446"/>
      <c r="CT375" s="446"/>
    </row>
    <row r="376" spans="57:98" ht="12" hidden="1" x14ac:dyDescent="0.2">
      <c r="BE376" s="432">
        <v>213</v>
      </c>
      <c r="BF376" s="432"/>
      <c r="BG376" s="432"/>
      <c r="BH376" s="216">
        <f>BH374*30.2/130.2</f>
        <v>730.64516129032268</v>
      </c>
      <c r="BI376" s="435">
        <f>BI375*30.2%</f>
        <v>146.12903225806448</v>
      </c>
      <c r="BJ376" s="435"/>
      <c r="BK376" s="435"/>
      <c r="BL376" s="435"/>
      <c r="BM376" s="435"/>
      <c r="BN376" s="435">
        <f>BN375*30.2%</f>
        <v>584.51612903225794</v>
      </c>
      <c r="BO376" s="435"/>
      <c r="BP376" s="435"/>
      <c r="BQ376" s="435"/>
      <c r="BR376" s="435"/>
      <c r="BS376" s="435"/>
      <c r="BT376" s="435"/>
    </row>
    <row r="377" spans="57:98" ht="8.25" hidden="1" customHeight="1" x14ac:dyDescent="0.2"/>
  </sheetData>
  <mergeCells count="817">
    <mergeCell ref="BE376:BG376"/>
    <mergeCell ref="BI376:BM376"/>
    <mergeCell ref="BN376:BT376"/>
    <mergeCell ref="BE372:CA372"/>
    <mergeCell ref="BE373:BG373"/>
    <mergeCell ref="BH373:BL373"/>
    <mergeCell ref="BE374:BG374"/>
    <mergeCell ref="BI374:BM374"/>
    <mergeCell ref="BN374:BT374"/>
    <mergeCell ref="CE374:CJ374"/>
    <mergeCell ref="CM374:CT374"/>
    <mergeCell ref="BE375:BG375"/>
    <mergeCell ref="BI375:BM375"/>
    <mergeCell ref="BN375:BT375"/>
    <mergeCell ref="CE375:CJ375"/>
    <mergeCell ref="CM375:CT375"/>
    <mergeCell ref="BE313:BG313"/>
    <mergeCell ref="BI313:BM313"/>
    <mergeCell ref="BN313:BT313"/>
    <mergeCell ref="BE331:BG331"/>
    <mergeCell ref="BI331:BM331"/>
    <mergeCell ref="BN331:BT331"/>
    <mergeCell ref="BE329:BG329"/>
    <mergeCell ref="BI329:BM329"/>
    <mergeCell ref="BN329:BT329"/>
    <mergeCell ref="CE313:CJ313"/>
    <mergeCell ref="CM345:CT345"/>
    <mergeCell ref="BE346:BG346"/>
    <mergeCell ref="BI346:BM346"/>
    <mergeCell ref="BN346:BT346"/>
    <mergeCell ref="CE346:CJ346"/>
    <mergeCell ref="CM346:CT346"/>
    <mergeCell ref="CE322:CJ322"/>
    <mergeCell ref="CM285:CT285"/>
    <mergeCell ref="CE299:CJ299"/>
    <mergeCell ref="CM299:CT299"/>
    <mergeCell ref="BE300:BG300"/>
    <mergeCell ref="BI300:BM300"/>
    <mergeCell ref="BN300:BT300"/>
    <mergeCell ref="CM269:CT269"/>
    <mergeCell ref="CE286:CJ286"/>
    <mergeCell ref="CM286:CT286"/>
    <mergeCell ref="CE276:CJ276"/>
    <mergeCell ref="CM276:CT276"/>
    <mergeCell ref="BI277:BM277"/>
    <mergeCell ref="BN277:BT277"/>
    <mergeCell ref="CE277:CJ277"/>
    <mergeCell ref="CM277:CT277"/>
    <mergeCell ref="CE269:CJ269"/>
    <mergeCell ref="BE286:BG286"/>
    <mergeCell ref="BI286:BM286"/>
    <mergeCell ref="CE285:CJ285"/>
    <mergeCell ref="BE269:BG269"/>
    <mergeCell ref="BI269:BM269"/>
    <mergeCell ref="BE270:BG270"/>
    <mergeCell ref="BN286:BT286"/>
    <mergeCell ref="BE278:BG278"/>
    <mergeCell ref="BN263:BT263"/>
    <mergeCell ref="CE268:CJ268"/>
    <mergeCell ref="CM268:CT268"/>
    <mergeCell ref="BE266:CA266"/>
    <mergeCell ref="BE267:BG267"/>
    <mergeCell ref="BH267:BL267"/>
    <mergeCell ref="BE268:BG268"/>
    <mergeCell ref="BE263:BG263"/>
    <mergeCell ref="BI263:BM263"/>
    <mergeCell ref="BI268:BM268"/>
    <mergeCell ref="BN268:BT268"/>
    <mergeCell ref="BI261:BM261"/>
    <mergeCell ref="BN261:BT261"/>
    <mergeCell ref="BE262:BG262"/>
    <mergeCell ref="BI262:BM262"/>
    <mergeCell ref="BN262:BT262"/>
    <mergeCell ref="BE259:CA259"/>
    <mergeCell ref="BE260:BG260"/>
    <mergeCell ref="BH260:BL260"/>
    <mergeCell ref="BE261:BG261"/>
    <mergeCell ref="BE227:BG227"/>
    <mergeCell ref="BI227:BM227"/>
    <mergeCell ref="BN227:BT227"/>
    <mergeCell ref="BE241:BG241"/>
    <mergeCell ref="BI241:BM241"/>
    <mergeCell ref="BN241:BT241"/>
    <mergeCell ref="BE237:CA237"/>
    <mergeCell ref="BE238:BG238"/>
    <mergeCell ref="BH238:BL238"/>
    <mergeCell ref="BE239:BG239"/>
    <mergeCell ref="BI239:BM239"/>
    <mergeCell ref="BN239:BT239"/>
    <mergeCell ref="BE240:BG240"/>
    <mergeCell ref="BI240:BM240"/>
    <mergeCell ref="BE233:BG233"/>
    <mergeCell ref="BI233:BM233"/>
    <mergeCell ref="BN233:BT233"/>
    <mergeCell ref="BN240:BT240"/>
    <mergeCell ref="BE234:BG234"/>
    <mergeCell ref="BI234:BM234"/>
    <mergeCell ref="BN234:BT234"/>
    <mergeCell ref="BE230:CA230"/>
    <mergeCell ref="BE231:BG231"/>
    <mergeCell ref="BH231:BL231"/>
    <mergeCell ref="BE223:CA223"/>
    <mergeCell ref="BE224:BG224"/>
    <mergeCell ref="BH224:BL224"/>
    <mergeCell ref="BE225:BG225"/>
    <mergeCell ref="BI225:BM225"/>
    <mergeCell ref="BN225:BT225"/>
    <mergeCell ref="BE226:BG226"/>
    <mergeCell ref="BI226:BM226"/>
    <mergeCell ref="BN226:BT226"/>
    <mergeCell ref="AV5:BC5"/>
    <mergeCell ref="U10:AG10"/>
    <mergeCell ref="AM152:BB152"/>
    <mergeCell ref="BE220:BG220"/>
    <mergeCell ref="BI220:BM220"/>
    <mergeCell ref="BN220:BT220"/>
    <mergeCell ref="BE216:CA216"/>
    <mergeCell ref="BE217:BG217"/>
    <mergeCell ref="BH217:BL217"/>
    <mergeCell ref="BE218:BG218"/>
    <mergeCell ref="BI218:BM218"/>
    <mergeCell ref="BN218:BT218"/>
    <mergeCell ref="BE219:BG219"/>
    <mergeCell ref="BI219:BM219"/>
    <mergeCell ref="BN219:BT219"/>
    <mergeCell ref="BE213:BG213"/>
    <mergeCell ref="BI213:BM213"/>
    <mergeCell ref="BN213:BT213"/>
    <mergeCell ref="BE209:CA209"/>
    <mergeCell ref="BE210:BG210"/>
    <mergeCell ref="BH210:BL210"/>
    <mergeCell ref="BE211:BG211"/>
    <mergeCell ref="BI211:BM211"/>
    <mergeCell ref="BN211:BT211"/>
    <mergeCell ref="BE212:BG212"/>
    <mergeCell ref="BI212:BM212"/>
    <mergeCell ref="BN212:BT212"/>
    <mergeCell ref="BE205:BG205"/>
    <mergeCell ref="BI205:BM205"/>
    <mergeCell ref="BN205:BT205"/>
    <mergeCell ref="BE201:CA201"/>
    <mergeCell ref="BE202:BG202"/>
    <mergeCell ref="BH202:BL202"/>
    <mergeCell ref="BE203:BG203"/>
    <mergeCell ref="BI203:BM203"/>
    <mergeCell ref="BN203:BT203"/>
    <mergeCell ref="BE204:BG204"/>
    <mergeCell ref="BI204:BM204"/>
    <mergeCell ref="BN204:BT204"/>
    <mergeCell ref="BE190:BG190"/>
    <mergeCell ref="BI190:BM190"/>
    <mergeCell ref="BN190:BT190"/>
    <mergeCell ref="BH179:BL179"/>
    <mergeCell ref="B153:S154"/>
    <mergeCell ref="AM153:BC154"/>
    <mergeCell ref="AD149:AI149"/>
    <mergeCell ref="AJ149:AP149"/>
    <mergeCell ref="AQ149:AT149"/>
    <mergeCell ref="AU149:AX149"/>
    <mergeCell ref="AY149:BB149"/>
    <mergeCell ref="BC150:BD150"/>
    <mergeCell ref="A149:G149"/>
    <mergeCell ref="H149:L149"/>
    <mergeCell ref="M149:Q149"/>
    <mergeCell ref="R149:U149"/>
    <mergeCell ref="V149:Y149"/>
    <mergeCell ref="Z149:AC149"/>
    <mergeCell ref="BC151:BD151"/>
    <mergeCell ref="B152:S152"/>
    <mergeCell ref="BC152:BD152"/>
    <mergeCell ref="BE154:CA154"/>
    <mergeCell ref="BE155:BG155"/>
    <mergeCell ref="BH155:BL155"/>
    <mergeCell ref="BE156:BG156"/>
    <mergeCell ref="BI156:BM156"/>
    <mergeCell ref="BN156:BT156"/>
    <mergeCell ref="AY147:BB147"/>
    <mergeCell ref="A148:F148"/>
    <mergeCell ref="H148:L148"/>
    <mergeCell ref="M148:Q148"/>
    <mergeCell ref="R148:U148"/>
    <mergeCell ref="V148:Y148"/>
    <mergeCell ref="Z148:AC148"/>
    <mergeCell ref="AD148:AI148"/>
    <mergeCell ref="AJ148:AP148"/>
    <mergeCell ref="AQ148:AT148"/>
    <mergeCell ref="AU148:AX148"/>
    <mergeCell ref="AY148:BB148"/>
    <mergeCell ref="M145:Q145"/>
    <mergeCell ref="AD145:AI145"/>
    <mergeCell ref="AJ145:AP145"/>
    <mergeCell ref="AQ145:AT145"/>
    <mergeCell ref="AU145:AX145"/>
    <mergeCell ref="AY145:BB145"/>
    <mergeCell ref="AU146:AX146"/>
    <mergeCell ref="AY146:BB146"/>
    <mergeCell ref="A147:G147"/>
    <mergeCell ref="H147:L147"/>
    <mergeCell ref="M147:Q147"/>
    <mergeCell ref="R147:U147"/>
    <mergeCell ref="V147:Y147"/>
    <mergeCell ref="Z147:AC147"/>
    <mergeCell ref="AD147:AI147"/>
    <mergeCell ref="AJ147:AP147"/>
    <mergeCell ref="A146:G146"/>
    <mergeCell ref="H146:L146"/>
    <mergeCell ref="M146:Q146"/>
    <mergeCell ref="AD146:AI146"/>
    <mergeCell ref="AJ146:AP146"/>
    <mergeCell ref="AQ146:AT146"/>
    <mergeCell ref="AQ147:AT147"/>
    <mergeCell ref="AU147:AX147"/>
    <mergeCell ref="A140:G141"/>
    <mergeCell ref="AU142:AX142"/>
    <mergeCell ref="AY142:BB142"/>
    <mergeCell ref="A143:G143"/>
    <mergeCell ref="H143:L143"/>
    <mergeCell ref="M143:Q143"/>
    <mergeCell ref="R143:U146"/>
    <mergeCell ref="V143:Y146"/>
    <mergeCell ref="Z143:AC146"/>
    <mergeCell ref="AD143:AI143"/>
    <mergeCell ref="AJ143:AP143"/>
    <mergeCell ref="AQ143:AT143"/>
    <mergeCell ref="AU143:AX143"/>
    <mergeCell ref="AY143:BB143"/>
    <mergeCell ref="A144:G144"/>
    <mergeCell ref="H144:L144"/>
    <mergeCell ref="M144:Q144"/>
    <mergeCell ref="AD144:AI144"/>
    <mergeCell ref="AJ144:AP144"/>
    <mergeCell ref="AQ144:AT144"/>
    <mergeCell ref="AU144:AX144"/>
    <mergeCell ref="AY144:BB144"/>
    <mergeCell ref="A145:G145"/>
    <mergeCell ref="H145:L145"/>
    <mergeCell ref="A142:G142"/>
    <mergeCell ref="H142:L142"/>
    <mergeCell ref="M142:Q142"/>
    <mergeCell ref="R142:U142"/>
    <mergeCell ref="V142:Y142"/>
    <mergeCell ref="Z142:AC142"/>
    <mergeCell ref="AD142:AI142"/>
    <mergeCell ref="AJ142:AP142"/>
    <mergeCell ref="AQ142:AT142"/>
    <mergeCell ref="AD140:AP140"/>
    <mergeCell ref="AQ140:AT140"/>
    <mergeCell ref="AU140:AX140"/>
    <mergeCell ref="AY140:BB140"/>
    <mergeCell ref="H141:L141"/>
    <mergeCell ref="M141:Q141"/>
    <mergeCell ref="AD141:AI141"/>
    <mergeCell ref="AJ141:AP141"/>
    <mergeCell ref="AQ141:AT141"/>
    <mergeCell ref="AU141:AX141"/>
    <mergeCell ref="H140:L140"/>
    <mergeCell ref="M140:Q140"/>
    <mergeCell ref="R140:U141"/>
    <mergeCell ref="V140:Y141"/>
    <mergeCell ref="Z140:AC141"/>
    <mergeCell ref="AY141:BB141"/>
    <mergeCell ref="A136:Z136"/>
    <mergeCell ref="AA136:AF136"/>
    <mergeCell ref="AG136:AL136"/>
    <mergeCell ref="AM136:AT136"/>
    <mergeCell ref="AU136:BB136"/>
    <mergeCell ref="A133:Z133"/>
    <mergeCell ref="AA133:AF133"/>
    <mergeCell ref="AU133:BB133"/>
    <mergeCell ref="A134:Z134"/>
    <mergeCell ref="AA134:AF134"/>
    <mergeCell ref="AU134:BB134"/>
    <mergeCell ref="A131:Z131"/>
    <mergeCell ref="AA131:AF131"/>
    <mergeCell ref="AU131:BB131"/>
    <mergeCell ref="A132:Z132"/>
    <mergeCell ref="AA132:AF132"/>
    <mergeCell ref="AU132:BB132"/>
    <mergeCell ref="A129:Z129"/>
    <mergeCell ref="AA129:AF129"/>
    <mergeCell ref="AG129:AL129"/>
    <mergeCell ref="AM129:AT129"/>
    <mergeCell ref="AU129:BB129"/>
    <mergeCell ref="A130:Z130"/>
    <mergeCell ref="AA130:AF130"/>
    <mergeCell ref="AG130:AL135"/>
    <mergeCell ref="AM130:AT135"/>
    <mergeCell ref="AU130:BB130"/>
    <mergeCell ref="A135:Z135"/>
    <mergeCell ref="AA135:AF135"/>
    <mergeCell ref="AU135:BB135"/>
    <mergeCell ref="A124:Z124"/>
    <mergeCell ref="AA124:AF124"/>
    <mergeCell ref="AG124:AL124"/>
    <mergeCell ref="AM124:AT124"/>
    <mergeCell ref="AU124:BB124"/>
    <mergeCell ref="A128:Z128"/>
    <mergeCell ref="AA128:AF128"/>
    <mergeCell ref="AG128:AL128"/>
    <mergeCell ref="AM128:AT128"/>
    <mergeCell ref="AU128:BB128"/>
    <mergeCell ref="A122:Z122"/>
    <mergeCell ref="AA122:AF122"/>
    <mergeCell ref="AU122:BB122"/>
    <mergeCell ref="A123:Z123"/>
    <mergeCell ref="AA123:AF123"/>
    <mergeCell ref="AU123:BB123"/>
    <mergeCell ref="A120:Z120"/>
    <mergeCell ref="AA120:AF120"/>
    <mergeCell ref="AU120:BB120"/>
    <mergeCell ref="A121:Z121"/>
    <mergeCell ref="AA121:AF121"/>
    <mergeCell ref="AU121:BB121"/>
    <mergeCell ref="A118:Z118"/>
    <mergeCell ref="AA118:AF118"/>
    <mergeCell ref="AU118:BB118"/>
    <mergeCell ref="A119:Z119"/>
    <mergeCell ref="AA119:AF119"/>
    <mergeCell ref="AU119:BB119"/>
    <mergeCell ref="A116:Z116"/>
    <mergeCell ref="AA116:AF116"/>
    <mergeCell ref="AU116:BB116"/>
    <mergeCell ref="A117:Z117"/>
    <mergeCell ref="AA117:AF117"/>
    <mergeCell ref="AU117:BB117"/>
    <mergeCell ref="AU114:BB114"/>
    <mergeCell ref="A115:Z115"/>
    <mergeCell ref="AA115:AF115"/>
    <mergeCell ref="AU115:BB115"/>
    <mergeCell ref="A112:Z112"/>
    <mergeCell ref="AA112:AF112"/>
    <mergeCell ref="AU112:BB112"/>
    <mergeCell ref="A113:Z113"/>
    <mergeCell ref="AA113:AF113"/>
    <mergeCell ref="AU113:BB113"/>
    <mergeCell ref="A107:Z107"/>
    <mergeCell ref="AA107:AF107"/>
    <mergeCell ref="AU107:BB107"/>
    <mergeCell ref="A104:Z104"/>
    <mergeCell ref="AA104:AF104"/>
    <mergeCell ref="AG104:AL123"/>
    <mergeCell ref="AM104:AT123"/>
    <mergeCell ref="AU104:BB104"/>
    <mergeCell ref="A105:Z105"/>
    <mergeCell ref="AA105:AF105"/>
    <mergeCell ref="A110:Z110"/>
    <mergeCell ref="AA110:AF110"/>
    <mergeCell ref="AU110:BB110"/>
    <mergeCell ref="A111:Z111"/>
    <mergeCell ref="AA111:AF111"/>
    <mergeCell ref="AU111:BB111"/>
    <mergeCell ref="A108:Z108"/>
    <mergeCell ref="AA108:AF108"/>
    <mergeCell ref="AU108:BB108"/>
    <mergeCell ref="A109:Z109"/>
    <mergeCell ref="AA109:AF109"/>
    <mergeCell ref="AU109:BB109"/>
    <mergeCell ref="A114:Z114"/>
    <mergeCell ref="AA114:AF114"/>
    <mergeCell ref="A103:Z103"/>
    <mergeCell ref="AA103:AF103"/>
    <mergeCell ref="AG103:AL103"/>
    <mergeCell ref="AM103:AT103"/>
    <mergeCell ref="AU103:BB103"/>
    <mergeCell ref="AU105:BB105"/>
    <mergeCell ref="A106:Z106"/>
    <mergeCell ref="AA106:AF106"/>
    <mergeCell ref="AU106:BB106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O84:AR84"/>
    <mergeCell ref="AS84:AW84"/>
    <mergeCell ref="AX84:BB84"/>
    <mergeCell ref="A86:N86"/>
    <mergeCell ref="O86:AN86"/>
    <mergeCell ref="AO86:AU86"/>
    <mergeCell ref="AV86:BB86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X78:BB82"/>
    <mergeCell ref="H79:M79"/>
    <mergeCell ref="N79:P79"/>
    <mergeCell ref="R79:V79"/>
    <mergeCell ref="I81:K81"/>
    <mergeCell ref="M81:O81"/>
    <mergeCell ref="Q81:S81"/>
    <mergeCell ref="AS83:AW83"/>
    <mergeCell ref="AX83:BB83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AX73:BB77"/>
    <mergeCell ref="H74:M74"/>
    <mergeCell ref="N74:P74"/>
    <mergeCell ref="R74:V74"/>
    <mergeCell ref="I76:K76"/>
    <mergeCell ref="AH68:AM72"/>
    <mergeCell ref="AN68:AR72"/>
    <mergeCell ref="AS68:AW72"/>
    <mergeCell ref="AX68:BB72"/>
    <mergeCell ref="H69:M69"/>
    <mergeCell ref="N69:P69"/>
    <mergeCell ref="R69:V69"/>
    <mergeCell ref="I71:K71"/>
    <mergeCell ref="M71:O71"/>
    <mergeCell ref="Q71:S71"/>
    <mergeCell ref="M76:O76"/>
    <mergeCell ref="Q76:S76"/>
    <mergeCell ref="U76:W76"/>
    <mergeCell ref="Z76:AB76"/>
    <mergeCell ref="A68:G72"/>
    <mergeCell ref="AC68:AG72"/>
    <mergeCell ref="U71:W71"/>
    <mergeCell ref="Z71:AB71"/>
    <mergeCell ref="A63:G67"/>
    <mergeCell ref="AC63:AG67"/>
    <mergeCell ref="AH73:AM77"/>
    <mergeCell ref="AN73:AR77"/>
    <mergeCell ref="AS73:AW77"/>
    <mergeCell ref="AH63:AM67"/>
    <mergeCell ref="AN63:AR67"/>
    <mergeCell ref="AS63:AW67"/>
    <mergeCell ref="AX63:BB67"/>
    <mergeCell ref="H64:M64"/>
    <mergeCell ref="N64:P64"/>
    <mergeCell ref="R64:V64"/>
    <mergeCell ref="I66:K66"/>
    <mergeCell ref="R59:V59"/>
    <mergeCell ref="Z61:AB61"/>
    <mergeCell ref="M66:O66"/>
    <mergeCell ref="Q66:S66"/>
    <mergeCell ref="U66:W66"/>
    <mergeCell ref="Z66:AB66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H61:X61"/>
    <mergeCell ref="H51:K51"/>
    <mergeCell ref="AS51:AW51"/>
    <mergeCell ref="AX51:BB51"/>
    <mergeCell ref="AO52:AR52"/>
    <mergeCell ref="AS52:AW52"/>
    <mergeCell ref="AX52:BB52"/>
    <mergeCell ref="AX37:BB39"/>
    <mergeCell ref="A40:BB4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37:G39"/>
    <mergeCell ref="H37:AB39"/>
    <mergeCell ref="AC37:AG39"/>
    <mergeCell ref="AH37:AM39"/>
    <mergeCell ref="AN37:AR39"/>
    <mergeCell ref="AS37:AW39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A7:BA7"/>
    <mergeCell ref="A8:BA8"/>
    <mergeCell ref="C10:E10"/>
    <mergeCell ref="G10:L10"/>
    <mergeCell ref="N10:Q10"/>
    <mergeCell ref="AH10:AI10"/>
    <mergeCell ref="AJ10:AL10"/>
    <mergeCell ref="AN10:AT10"/>
    <mergeCell ref="AV10:AY10"/>
    <mergeCell ref="BE186:CA186"/>
    <mergeCell ref="BE173:BG173"/>
    <mergeCell ref="BI173:BM173"/>
    <mergeCell ref="A12:S12"/>
    <mergeCell ref="U12:W12"/>
    <mergeCell ref="A14:S14"/>
    <mergeCell ref="U14:W14"/>
    <mergeCell ref="A16:S16"/>
    <mergeCell ref="U16:W16"/>
    <mergeCell ref="Y16:AA16"/>
    <mergeCell ref="AX19:BB19"/>
    <mergeCell ref="A20:G22"/>
    <mergeCell ref="H20:AB22"/>
    <mergeCell ref="AC20:AG22"/>
    <mergeCell ref="AH20:AM22"/>
    <mergeCell ref="AN20:AR22"/>
    <mergeCell ref="AS20:AW22"/>
    <mergeCell ref="AX20:BB22"/>
    <mergeCell ref="H34:M34"/>
    <mergeCell ref="AS34:AW34"/>
    <mergeCell ref="AX34:BB34"/>
    <mergeCell ref="AO35:AR35"/>
    <mergeCell ref="AS35:AW35"/>
    <mergeCell ref="AX35:BB35"/>
    <mergeCell ref="BE157:BG157"/>
    <mergeCell ref="BI157:BM157"/>
    <mergeCell ref="BN157:BT157"/>
    <mergeCell ref="BE165:BG165"/>
    <mergeCell ref="BI165:BM165"/>
    <mergeCell ref="BN165:BT165"/>
    <mergeCell ref="BE166:BG166"/>
    <mergeCell ref="BI166:BM166"/>
    <mergeCell ref="BN166:BT166"/>
    <mergeCell ref="BE158:BG158"/>
    <mergeCell ref="BI158:BM158"/>
    <mergeCell ref="BN158:BT158"/>
    <mergeCell ref="BE162:CA162"/>
    <mergeCell ref="BE163:BG163"/>
    <mergeCell ref="BH163:BL163"/>
    <mergeCell ref="BE164:BG164"/>
    <mergeCell ref="BI164:BM164"/>
    <mergeCell ref="BN164:BT164"/>
    <mergeCell ref="BN173:BT173"/>
    <mergeCell ref="BE169:CA169"/>
    <mergeCell ref="BE171:BG171"/>
    <mergeCell ref="BE172:BG172"/>
    <mergeCell ref="BI172:BM172"/>
    <mergeCell ref="BN172:BT172"/>
    <mergeCell ref="BE170:CA170"/>
    <mergeCell ref="BH171:BL171"/>
    <mergeCell ref="BE181:BG181"/>
    <mergeCell ref="BI181:BM181"/>
    <mergeCell ref="BN181:BT181"/>
    <mergeCell ref="BE177:CA177"/>
    <mergeCell ref="BE179:BG179"/>
    <mergeCell ref="BE180:BG180"/>
    <mergeCell ref="BI180:BM180"/>
    <mergeCell ref="BN180:BT180"/>
    <mergeCell ref="BE178:CA178"/>
    <mergeCell ref="BN174:BT174"/>
    <mergeCell ref="BE174:BG174"/>
    <mergeCell ref="BI174:BM174"/>
    <mergeCell ref="BE182:BG182"/>
    <mergeCell ref="BI182:BM182"/>
    <mergeCell ref="BN182:BT182"/>
    <mergeCell ref="BE197:BG197"/>
    <mergeCell ref="BI197:BM197"/>
    <mergeCell ref="BN197:BT197"/>
    <mergeCell ref="BE193:CA193"/>
    <mergeCell ref="BE194:BG194"/>
    <mergeCell ref="BH194:BL194"/>
    <mergeCell ref="BE195:BG195"/>
    <mergeCell ref="BI195:BM195"/>
    <mergeCell ref="BN195:BT195"/>
    <mergeCell ref="BE196:BG196"/>
    <mergeCell ref="BI196:BM196"/>
    <mergeCell ref="BN196:BT196"/>
    <mergeCell ref="BE189:BG189"/>
    <mergeCell ref="BI189:BM189"/>
    <mergeCell ref="BN189:BT189"/>
    <mergeCell ref="BE185:CA185"/>
    <mergeCell ref="BE187:BG187"/>
    <mergeCell ref="BE188:BG188"/>
    <mergeCell ref="BI188:BM188"/>
    <mergeCell ref="BN188:BT188"/>
    <mergeCell ref="BH187:BL187"/>
    <mergeCell ref="BI246:BM246"/>
    <mergeCell ref="BI256:BM256"/>
    <mergeCell ref="BE232:BG232"/>
    <mergeCell ref="BI232:BM232"/>
    <mergeCell ref="BN232:BT232"/>
    <mergeCell ref="BE254:BG254"/>
    <mergeCell ref="BI254:BM254"/>
    <mergeCell ref="BN254:BT254"/>
    <mergeCell ref="BE252:CA252"/>
    <mergeCell ref="BN246:BT246"/>
    <mergeCell ref="BE243:CA243"/>
    <mergeCell ref="BE244:BG244"/>
    <mergeCell ref="BH244:BL244"/>
    <mergeCell ref="BE245:BG245"/>
    <mergeCell ref="BI245:BM245"/>
    <mergeCell ref="BN245:BT245"/>
    <mergeCell ref="BE253:BG253"/>
    <mergeCell ref="BH253:BL253"/>
    <mergeCell ref="BE255:BG255"/>
    <mergeCell ref="BI255:BM255"/>
    <mergeCell ref="BN255:BT255"/>
    <mergeCell ref="BN256:BT256"/>
    <mergeCell ref="B242:G242"/>
    <mergeCell ref="BE287:BG287"/>
    <mergeCell ref="BI287:BM287"/>
    <mergeCell ref="BN287:BT287"/>
    <mergeCell ref="BE283:CA283"/>
    <mergeCell ref="BE284:BG284"/>
    <mergeCell ref="BH284:BL284"/>
    <mergeCell ref="BE285:BG285"/>
    <mergeCell ref="BI285:BM285"/>
    <mergeCell ref="BN285:BT285"/>
    <mergeCell ref="BE274:CA274"/>
    <mergeCell ref="BE275:BG275"/>
    <mergeCell ref="BH275:BL275"/>
    <mergeCell ref="BE276:BG276"/>
    <mergeCell ref="BI276:BM276"/>
    <mergeCell ref="BN276:BT276"/>
    <mergeCell ref="BN269:BT269"/>
    <mergeCell ref="BE247:BG247"/>
    <mergeCell ref="BI247:BM247"/>
    <mergeCell ref="BN247:BT247"/>
    <mergeCell ref="BE256:BG256"/>
    <mergeCell ref="BE246:BG246"/>
    <mergeCell ref="BN278:BT278"/>
    <mergeCell ref="BE277:BG277"/>
    <mergeCell ref="BI299:BM299"/>
    <mergeCell ref="BN299:BT299"/>
    <mergeCell ref="BN307:BT307"/>
    <mergeCell ref="BE304:CA304"/>
    <mergeCell ref="BE305:BG305"/>
    <mergeCell ref="BH305:BL305"/>
    <mergeCell ref="BE296:CA296"/>
    <mergeCell ref="BE297:BG297"/>
    <mergeCell ref="BH297:BL297"/>
    <mergeCell ref="BE298:BG298"/>
    <mergeCell ref="BI298:BM298"/>
    <mergeCell ref="BN298:BT298"/>
    <mergeCell ref="BE306:BG306"/>
    <mergeCell ref="BI306:BM306"/>
    <mergeCell ref="BN306:BT306"/>
    <mergeCell ref="BE307:BG307"/>
    <mergeCell ref="BI307:BM307"/>
    <mergeCell ref="BN270:BT270"/>
    <mergeCell ref="CM322:CT322"/>
    <mergeCell ref="BE321:BG321"/>
    <mergeCell ref="BI321:BM321"/>
    <mergeCell ref="BN321:BT321"/>
    <mergeCell ref="CE321:CJ321"/>
    <mergeCell ref="CM321:CT321"/>
    <mergeCell ref="CE298:CJ298"/>
    <mergeCell ref="CM298:CT298"/>
    <mergeCell ref="BE299:BG299"/>
    <mergeCell ref="CE306:CJ306"/>
    <mergeCell ref="CM306:CT306"/>
    <mergeCell ref="BE308:BG308"/>
    <mergeCell ref="BE319:CA319"/>
    <mergeCell ref="BE320:BG320"/>
    <mergeCell ref="BH320:BL320"/>
    <mergeCell ref="CE307:CJ307"/>
    <mergeCell ref="CM307:CT307"/>
    <mergeCell ref="BE315:BG315"/>
    <mergeCell ref="BI315:BM315"/>
    <mergeCell ref="BN315:BT315"/>
    <mergeCell ref="BE311:CA311"/>
    <mergeCell ref="BE312:BG312"/>
    <mergeCell ref="BI278:BM278"/>
    <mergeCell ref="CE329:CJ329"/>
    <mergeCell ref="CM329:CT329"/>
    <mergeCell ref="BE330:BG330"/>
    <mergeCell ref="BI330:BM330"/>
    <mergeCell ref="BN330:BT330"/>
    <mergeCell ref="CE330:CJ330"/>
    <mergeCell ref="CM330:CT330"/>
    <mergeCell ref="BI308:BM308"/>
    <mergeCell ref="BN308:BT308"/>
    <mergeCell ref="BE327:CA327"/>
    <mergeCell ref="BE328:BG328"/>
    <mergeCell ref="BH328:BL328"/>
    <mergeCell ref="CM313:CT313"/>
    <mergeCell ref="BE314:BG314"/>
    <mergeCell ref="BI314:BM314"/>
    <mergeCell ref="BN314:BT314"/>
    <mergeCell ref="CE314:CJ314"/>
    <mergeCell ref="CM314:CT314"/>
    <mergeCell ref="BE323:BG323"/>
    <mergeCell ref="BI323:BM323"/>
    <mergeCell ref="BN323:BT323"/>
    <mergeCell ref="BE322:BG322"/>
    <mergeCell ref="BI322:BM322"/>
    <mergeCell ref="CM357:CT357"/>
    <mergeCell ref="BE339:BG339"/>
    <mergeCell ref="BI339:BM339"/>
    <mergeCell ref="BN339:BT339"/>
    <mergeCell ref="BE335:CA335"/>
    <mergeCell ref="BE336:BG336"/>
    <mergeCell ref="BH336:BL336"/>
    <mergeCell ref="BE337:BG337"/>
    <mergeCell ref="BI337:BM337"/>
    <mergeCell ref="BN337:BT337"/>
    <mergeCell ref="CE337:CJ337"/>
    <mergeCell ref="CM337:CT337"/>
    <mergeCell ref="BE338:BG338"/>
    <mergeCell ref="BI338:BM338"/>
    <mergeCell ref="BN338:BT338"/>
    <mergeCell ref="CE338:CJ338"/>
    <mergeCell ref="CM338:CT338"/>
    <mergeCell ref="BE343:CA343"/>
    <mergeCell ref="BI354:BM354"/>
    <mergeCell ref="BN354:BT354"/>
    <mergeCell ref="BE350:CA350"/>
    <mergeCell ref="BE351:BG351"/>
    <mergeCell ref="BE344:BG344"/>
    <mergeCell ref="CE360:CJ360"/>
    <mergeCell ref="CM360:CT360"/>
    <mergeCell ref="BE361:BG361"/>
    <mergeCell ref="BI361:BM361"/>
    <mergeCell ref="BN361:BT361"/>
    <mergeCell ref="CE361:CJ361"/>
    <mergeCell ref="CM361:CT361"/>
    <mergeCell ref="BH344:BL344"/>
    <mergeCell ref="BE345:BG345"/>
    <mergeCell ref="BI345:BM345"/>
    <mergeCell ref="BN345:BT345"/>
    <mergeCell ref="CE345:CJ345"/>
    <mergeCell ref="CE352:CJ352"/>
    <mergeCell ref="CM352:CT352"/>
    <mergeCell ref="BE353:BG353"/>
    <mergeCell ref="BI353:BM353"/>
    <mergeCell ref="BN353:BT353"/>
    <mergeCell ref="CE353:CJ353"/>
    <mergeCell ref="CM353:CT353"/>
    <mergeCell ref="BE347:BG347"/>
    <mergeCell ref="BI347:BM347"/>
    <mergeCell ref="BN347:BT347"/>
    <mergeCell ref="BE352:BG352"/>
    <mergeCell ref="BI352:BM352"/>
    <mergeCell ref="CE367:CJ367"/>
    <mergeCell ref="CM367:CT367"/>
    <mergeCell ref="BE368:BG368"/>
    <mergeCell ref="BI368:BM368"/>
    <mergeCell ref="BN368:BT368"/>
    <mergeCell ref="CE368:CJ368"/>
    <mergeCell ref="CM368:CT368"/>
    <mergeCell ref="BE362:BG362"/>
    <mergeCell ref="BI362:BM362"/>
    <mergeCell ref="BN362:BT362"/>
    <mergeCell ref="AQ2:AS2"/>
    <mergeCell ref="AT2:AU2"/>
    <mergeCell ref="AW2:BB2"/>
    <mergeCell ref="BE369:BG369"/>
    <mergeCell ref="BI369:BM369"/>
    <mergeCell ref="BN369:BT369"/>
    <mergeCell ref="BE365:CA365"/>
    <mergeCell ref="BE366:BG366"/>
    <mergeCell ref="BH366:BL366"/>
    <mergeCell ref="BE367:BG367"/>
    <mergeCell ref="BI367:BM367"/>
    <mergeCell ref="BN367:BT367"/>
    <mergeCell ref="BE358:CA358"/>
    <mergeCell ref="BE359:BG359"/>
    <mergeCell ref="BH359:BL359"/>
    <mergeCell ref="BE360:BG360"/>
    <mergeCell ref="BI360:BM360"/>
    <mergeCell ref="BN360:BT360"/>
    <mergeCell ref="BN322:BT322"/>
    <mergeCell ref="BN352:BT352"/>
    <mergeCell ref="BH351:BL351"/>
    <mergeCell ref="BE354:BG354"/>
    <mergeCell ref="BH312:BL312"/>
    <mergeCell ref="BI270:BM270"/>
  </mergeCells>
  <pageMargins left="0" right="0" top="0" bottom="0" header="0.31496062992125984" footer="0.31496062992125984"/>
  <pageSetup paperSize="9" scale="73" fitToHeight="0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CT212"/>
  <sheetViews>
    <sheetView topLeftCell="A151" zoomScaleNormal="100" workbookViewId="0">
      <selection activeCell="CE211" sqref="CE211:CJ211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5" width="1.85546875" style="117"/>
    <col min="26" max="26" width="9.85546875" style="117" bestFit="1" customWidth="1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4.42578125" style="117" customWidth="1"/>
    <col min="55" max="55" width="4.5703125" style="117" customWidth="1"/>
    <col min="56" max="56" width="4.7109375" style="117" customWidth="1"/>
    <col min="57" max="57" width="10.140625" style="117" customWidth="1"/>
    <col min="58" max="58" width="5.85546875" style="117" customWidth="1"/>
    <col min="59" max="59" width="2.7109375" style="117" customWidth="1"/>
    <col min="60" max="60" width="10.42578125" style="117" customWidth="1"/>
    <col min="61" max="61" width="8.140625" style="117" customWidth="1"/>
    <col min="62" max="87" width="1.85546875" style="117" customWidth="1"/>
    <col min="88" max="16384" width="1.85546875" style="117"/>
  </cols>
  <sheetData>
    <row r="1" spans="1:55" s="100" customFormat="1" ht="15" customHeight="1" x14ac:dyDescent="0.25">
      <c r="AW1" s="100" t="s">
        <v>83</v>
      </c>
    </row>
    <row r="2" spans="1:55" s="100" customFormat="1" ht="15" x14ac:dyDescent="0.25">
      <c r="AQ2" s="915" t="s">
        <v>680</v>
      </c>
      <c r="AR2" s="915"/>
      <c r="AS2" s="915"/>
      <c r="AT2" s="916"/>
      <c r="AU2" s="916"/>
      <c r="AV2" s="916"/>
      <c r="AW2" s="916"/>
      <c r="AX2" s="916"/>
      <c r="AY2" s="916"/>
      <c r="AZ2" s="916"/>
      <c r="BA2" s="916"/>
      <c r="BB2" s="916"/>
    </row>
    <row r="3" spans="1:55" s="100" customFormat="1" ht="15" customHeight="1" x14ac:dyDescent="0.25">
      <c r="AQ3" s="100" t="s">
        <v>91</v>
      </c>
    </row>
    <row r="4" spans="1:55" s="100" customFormat="1" ht="5.0999999999999996" customHeight="1" x14ac:dyDescent="0.25"/>
    <row r="5" spans="1:55" s="100" customFormat="1" ht="15" customHeight="1" x14ac:dyDescent="0.25">
      <c r="AM5" s="157"/>
      <c r="AN5" s="157"/>
      <c r="AO5" s="157"/>
      <c r="AP5" s="157"/>
      <c r="AQ5" s="156"/>
      <c r="AR5" s="156"/>
      <c r="AS5" s="156"/>
      <c r="AT5" s="156"/>
      <c r="AU5" s="156"/>
      <c r="AV5" s="1370" t="s">
        <v>222</v>
      </c>
      <c r="AW5" s="443"/>
      <c r="AX5" s="443"/>
      <c r="AY5" s="443"/>
      <c r="AZ5" s="443"/>
      <c r="BA5" s="443"/>
      <c r="BB5" s="443"/>
      <c r="BC5" s="443"/>
    </row>
    <row r="6" spans="1:55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5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5" s="100" customFormat="1" ht="15" customHeight="1" x14ac:dyDescent="0.25">
      <c r="A8" s="756" t="s">
        <v>519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5" s="100" customFormat="1" ht="5.0999999999999996" customHeight="1" x14ac:dyDescent="0.25">
      <c r="A9" s="310"/>
      <c r="B9" s="310"/>
      <c r="C9" s="310"/>
      <c r="D9" s="310"/>
      <c r="E9" s="310"/>
      <c r="F9" s="310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0"/>
      <c r="AL9" s="310"/>
      <c r="AM9" s="310"/>
      <c r="AN9" s="310"/>
      <c r="AO9" s="310"/>
      <c r="AP9" s="310"/>
      <c r="AQ9" s="310"/>
      <c r="AR9" s="310"/>
      <c r="AS9" s="310"/>
      <c r="AT9" s="310"/>
      <c r="AU9" s="310"/>
      <c r="AV9" s="310"/>
      <c r="AW9" s="310"/>
      <c r="AX9" s="310"/>
      <c r="AY9" s="310"/>
      <c r="AZ9" s="310"/>
      <c r="BA9" s="310"/>
    </row>
    <row r="10" spans="1:55" s="100" customFormat="1" ht="15" customHeight="1" x14ac:dyDescent="0.25">
      <c r="A10" s="310"/>
      <c r="B10" s="310" t="s">
        <v>113</v>
      </c>
      <c r="C10" s="757">
        <v>1</v>
      </c>
      <c r="D10" s="757"/>
      <c r="E10" s="757"/>
      <c r="F10" s="310"/>
      <c r="G10" s="757" t="s">
        <v>675</v>
      </c>
      <c r="H10" s="757"/>
      <c r="I10" s="757"/>
      <c r="J10" s="757"/>
      <c r="K10" s="757"/>
      <c r="L10" s="757"/>
      <c r="M10" s="310"/>
      <c r="N10" s="756">
        <v>2021</v>
      </c>
      <c r="O10" s="756"/>
      <c r="P10" s="756"/>
      <c r="Q10" s="756"/>
      <c r="R10" s="310"/>
      <c r="S10" s="310" t="s">
        <v>114</v>
      </c>
      <c r="T10" s="310"/>
      <c r="U10" s="756" t="s">
        <v>115</v>
      </c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758"/>
      <c r="AI10" s="758"/>
      <c r="AJ10" s="757">
        <v>31</v>
      </c>
      <c r="AK10" s="757"/>
      <c r="AL10" s="757"/>
      <c r="AM10" s="310"/>
      <c r="AN10" s="757" t="s">
        <v>116</v>
      </c>
      <c r="AO10" s="757"/>
      <c r="AP10" s="757"/>
      <c r="AQ10" s="757"/>
      <c r="AR10" s="757"/>
      <c r="AS10" s="757"/>
      <c r="AT10" s="757"/>
      <c r="AU10" s="310"/>
      <c r="AV10" s="756">
        <v>2021</v>
      </c>
      <c r="AW10" s="756"/>
      <c r="AX10" s="756"/>
      <c r="AY10" s="756"/>
      <c r="AZ10" s="310"/>
      <c r="BA10" s="310" t="s">
        <v>114</v>
      </c>
    </row>
    <row r="11" spans="1:55" s="82" customFormat="1" ht="5.0999999999999996" customHeight="1" x14ac:dyDescent="0.2"/>
    <row r="12" spans="1:55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28</v>
      </c>
      <c r="V12" s="761"/>
      <c r="W12" s="761"/>
    </row>
    <row r="13" spans="1:55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5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1">
        <v>12</v>
      </c>
      <c r="V14" s="761"/>
      <c r="W14" s="761"/>
    </row>
    <row r="15" spans="1:55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5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1</v>
      </c>
      <c r="V16" s="761"/>
      <c r="W16" s="761"/>
      <c r="X16" s="312" t="s">
        <v>4</v>
      </c>
      <c r="Y16" s="761">
        <v>12</v>
      </c>
      <c r="Z16" s="761"/>
      <c r="AA16" s="761"/>
    </row>
    <row r="17" spans="1:54" ht="5.0999999999999996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530</v>
      </c>
      <c r="AR19" s="162"/>
      <c r="AS19" s="164"/>
      <c r="AX19" s="708">
        <v>15600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419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4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customHeight="1" x14ac:dyDescent="0.2">
      <c r="A24" s="764" t="s">
        <v>417</v>
      </c>
      <c r="B24" s="765"/>
      <c r="C24" s="765"/>
      <c r="D24" s="765"/>
      <c r="E24" s="765"/>
      <c r="F24" s="765"/>
      <c r="G24" s="766"/>
      <c r="H24" s="711" t="s">
        <v>16</v>
      </c>
      <c r="I24" s="712"/>
      <c r="J24" s="712"/>
      <c r="K24" s="712"/>
      <c r="L24" s="712"/>
      <c r="M24" s="712"/>
      <c r="N24" s="712"/>
      <c r="O24" s="712"/>
      <c r="P24" s="712"/>
      <c r="Q24" s="712"/>
      <c r="R24" s="712"/>
      <c r="S24" s="712"/>
      <c r="T24" s="712"/>
      <c r="U24" s="712"/>
      <c r="V24" s="712"/>
      <c r="W24" s="712"/>
      <c r="X24" s="712"/>
      <c r="Y24" s="712"/>
      <c r="Z24" s="723">
        <v>0.2</v>
      </c>
      <c r="AA24" s="723"/>
      <c r="AB24" s="723"/>
      <c r="AC24" s="662">
        <f>(AX51+AX83)*Z24*AH24</f>
        <v>3154.666666666667</v>
      </c>
      <c r="AD24" s="662"/>
      <c r="AE24" s="662"/>
      <c r="AF24" s="662"/>
      <c r="AG24" s="662"/>
      <c r="AH24" s="663">
        <v>2</v>
      </c>
      <c r="AI24" s="663"/>
      <c r="AJ24" s="663"/>
      <c r="AK24" s="663"/>
      <c r="AL24" s="663"/>
      <c r="AM24" s="663"/>
      <c r="AN24" s="662">
        <f>AC24/U12</f>
        <v>112.66666666666667</v>
      </c>
      <c r="AO24" s="662"/>
      <c r="AP24" s="662"/>
      <c r="AQ24" s="662"/>
      <c r="AR24" s="662"/>
      <c r="AS24" s="663" t="s">
        <v>17</v>
      </c>
      <c r="AT24" s="663"/>
      <c r="AU24" s="663"/>
      <c r="AV24" s="663"/>
      <c r="AW24" s="663"/>
      <c r="AX24" s="662" t="s">
        <v>17</v>
      </c>
      <c r="AY24" s="662"/>
      <c r="AZ24" s="662"/>
      <c r="BA24" s="662"/>
      <c r="BB24" s="684"/>
    </row>
    <row r="25" spans="1:54" s="165" customFormat="1" ht="26.25" customHeight="1" x14ac:dyDescent="0.2">
      <c r="A25" s="767"/>
      <c r="B25" s="768"/>
      <c r="C25" s="768"/>
      <c r="D25" s="768"/>
      <c r="E25" s="768"/>
      <c r="F25" s="768"/>
      <c r="G25" s="769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771" t="s">
        <v>89</v>
      </c>
      <c r="B26" s="772"/>
      <c r="C26" s="772"/>
      <c r="D26" s="772"/>
      <c r="E26" s="772"/>
      <c r="F26" s="772"/>
      <c r="G26" s="773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11.25" customHeight="1" x14ac:dyDescent="0.2">
      <c r="A27" s="750"/>
      <c r="B27" s="751"/>
      <c r="C27" s="751"/>
      <c r="D27" s="751"/>
      <c r="E27" s="751"/>
      <c r="F27" s="751"/>
      <c r="G27" s="7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17.25" customHeight="1" thickBot="1" x14ac:dyDescent="0.25">
      <c r="A33" s="753"/>
      <c r="B33" s="754"/>
      <c r="C33" s="754"/>
      <c r="D33" s="754"/>
      <c r="E33" s="754"/>
      <c r="F33" s="754"/>
      <c r="G33" s="775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9"/>
      <c r="AA33" s="729"/>
      <c r="AB33" s="729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191"/>
      <c r="R34" s="187" t="s">
        <v>18</v>
      </c>
      <c r="S34" s="163"/>
      <c r="T34" s="163"/>
      <c r="U34" s="162"/>
      <c r="V34" s="162"/>
      <c r="W34" s="162"/>
      <c r="X34" s="162"/>
      <c r="Y34" s="162"/>
      <c r="Z34" s="162"/>
      <c r="AA34" s="162"/>
      <c r="AB34" s="162"/>
      <c r="AC34" s="162"/>
      <c r="AD34" s="162" t="s">
        <v>19</v>
      </c>
      <c r="AE34" s="162" t="s">
        <v>20</v>
      </c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88"/>
      <c r="AS34" s="702">
        <f>AN24</f>
        <v>112.66666666666667</v>
      </c>
      <c r="AT34" s="702"/>
      <c r="AU34" s="702"/>
      <c r="AV34" s="702"/>
      <c r="AW34" s="702"/>
      <c r="AX34" s="702">
        <f>AC24</f>
        <v>3154.666666666667</v>
      </c>
      <c r="AY34" s="702"/>
      <c r="AZ34" s="702"/>
      <c r="BA34" s="702"/>
      <c r="BB34" s="703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309"/>
      <c r="I35" s="309"/>
      <c r="J35" s="309"/>
      <c r="K35" s="309"/>
      <c r="L35" s="309"/>
      <c r="M35" s="309"/>
      <c r="P35" s="168"/>
      <c r="Q35" s="307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34.025333333333336</v>
      </c>
      <c r="AT35" s="463"/>
      <c r="AU35" s="463"/>
      <c r="AV35" s="463"/>
      <c r="AW35" s="463"/>
      <c r="AX35" s="463">
        <f>AX34*AO35</f>
        <v>952.70933333333335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309"/>
      <c r="I36" s="309"/>
      <c r="J36" s="309"/>
      <c r="K36" s="309"/>
      <c r="L36" s="309"/>
      <c r="M36" s="309"/>
      <c r="P36" s="168"/>
      <c r="Q36" s="307"/>
      <c r="R36" s="307"/>
      <c r="S36" s="307"/>
      <c r="U36" s="307"/>
      <c r="V36" s="307"/>
      <c r="W36" s="307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313"/>
      <c r="AT36" s="315"/>
      <c r="AU36" s="315"/>
      <c r="AV36" s="315"/>
      <c r="AW36" s="315"/>
      <c r="AX36" s="313"/>
      <c r="AY36" s="315"/>
      <c r="AZ36" s="315"/>
      <c r="BA36" s="315"/>
      <c r="BB36" s="315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420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660"/>
      <c r="B41" s="661"/>
      <c r="C41" s="661"/>
      <c r="D41" s="661"/>
      <c r="E41" s="661"/>
      <c r="F41" s="661"/>
      <c r="G41" s="661"/>
      <c r="H41" s="662" t="s">
        <v>16</v>
      </c>
      <c r="I41" s="662"/>
      <c r="J41" s="662"/>
      <c r="K41" s="662"/>
      <c r="L41" s="662"/>
      <c r="M41" s="662"/>
      <c r="N41" s="662"/>
      <c r="O41" s="662"/>
      <c r="P41" s="662"/>
      <c r="Q41" s="662"/>
      <c r="R41" s="662"/>
      <c r="S41" s="662"/>
      <c r="T41" s="662"/>
      <c r="U41" s="662"/>
      <c r="V41" s="662"/>
      <c r="W41" s="662"/>
      <c r="X41" s="662"/>
      <c r="Y41" s="662"/>
      <c r="Z41" s="723">
        <v>0</v>
      </c>
      <c r="AA41" s="723"/>
      <c r="AB41" s="723"/>
      <c r="AC41" s="662">
        <f>AX83*Z41*AH41</f>
        <v>0</v>
      </c>
      <c r="AD41" s="662"/>
      <c r="AE41" s="662"/>
      <c r="AF41" s="662"/>
      <c r="AG41" s="662"/>
      <c r="AH41" s="508">
        <v>1</v>
      </c>
      <c r="AI41" s="509"/>
      <c r="AJ41" s="509"/>
      <c r="AK41" s="509"/>
      <c r="AL41" s="509"/>
      <c r="AM41" s="510"/>
      <c r="AN41" s="711">
        <f>AC41/U12</f>
        <v>0</v>
      </c>
      <c r="AO41" s="712"/>
      <c r="AP41" s="712"/>
      <c r="AQ41" s="712"/>
      <c r="AR41" s="734"/>
      <c r="AS41" s="508" t="s">
        <v>17</v>
      </c>
      <c r="AT41" s="509"/>
      <c r="AU41" s="509"/>
      <c r="AV41" s="509"/>
      <c r="AW41" s="510"/>
      <c r="AX41" s="711" t="s">
        <v>17</v>
      </c>
      <c r="AY41" s="712"/>
      <c r="AZ41" s="712"/>
      <c r="BA41" s="712"/>
      <c r="BB41" s="713"/>
    </row>
    <row r="42" spans="1:54" s="165" customFormat="1" ht="0.75" hidden="1" customHeight="1" x14ac:dyDescent="0.2">
      <c r="A42" s="652"/>
      <c r="B42" s="653"/>
      <c r="C42" s="653"/>
      <c r="D42" s="653"/>
      <c r="E42" s="653"/>
      <c r="F42" s="653"/>
      <c r="G42" s="653"/>
      <c r="H42" s="601"/>
      <c r="I42" s="601"/>
      <c r="J42" s="601"/>
      <c r="K42" s="601"/>
      <c r="L42" s="601"/>
      <c r="M42" s="601"/>
      <c r="N42" s="601"/>
      <c r="O42" s="601"/>
      <c r="P42" s="601"/>
      <c r="Q42" s="601"/>
      <c r="R42" s="601"/>
      <c r="S42" s="601"/>
      <c r="T42" s="601"/>
      <c r="U42" s="601"/>
      <c r="V42" s="601"/>
      <c r="W42" s="601"/>
      <c r="X42" s="601"/>
      <c r="Y42" s="601"/>
      <c r="Z42" s="726"/>
      <c r="AA42" s="726"/>
      <c r="AB42" s="726"/>
      <c r="AC42" s="601"/>
      <c r="AD42" s="601"/>
      <c r="AE42" s="601"/>
      <c r="AF42" s="601"/>
      <c r="AG42" s="601"/>
      <c r="AH42" s="511"/>
      <c r="AI42" s="512"/>
      <c r="AJ42" s="512"/>
      <c r="AK42" s="512"/>
      <c r="AL42" s="512"/>
      <c r="AM42" s="513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714"/>
      <c r="AY42" s="704"/>
      <c r="AZ42" s="704"/>
      <c r="BA42" s="704"/>
      <c r="BB42" s="715"/>
    </row>
    <row r="43" spans="1:54" ht="18" customHeight="1" x14ac:dyDescent="0.2">
      <c r="A43" s="652"/>
      <c r="B43" s="653"/>
      <c r="C43" s="653"/>
      <c r="D43" s="653"/>
      <c r="E43" s="653"/>
      <c r="F43" s="653"/>
      <c r="G43" s="653"/>
      <c r="H43" s="601"/>
      <c r="I43" s="601"/>
      <c r="J43" s="601"/>
      <c r="K43" s="601"/>
      <c r="L43" s="601"/>
      <c r="M43" s="601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726"/>
      <c r="AA43" s="726"/>
      <c r="AB43" s="726"/>
      <c r="AC43" s="601"/>
      <c r="AD43" s="601"/>
      <c r="AE43" s="601"/>
      <c r="AF43" s="601"/>
      <c r="AG43" s="601"/>
      <c r="AH43" s="736"/>
      <c r="AI43" s="737"/>
      <c r="AJ43" s="737"/>
      <c r="AK43" s="737"/>
      <c r="AL43" s="737"/>
      <c r="AM43" s="738"/>
      <c r="AN43" s="716"/>
      <c r="AO43" s="669"/>
      <c r="AP43" s="669"/>
      <c r="AQ43" s="669"/>
      <c r="AR43" s="670"/>
      <c r="AS43" s="736"/>
      <c r="AT43" s="737"/>
      <c r="AU43" s="737"/>
      <c r="AV43" s="737"/>
      <c r="AW43" s="738"/>
      <c r="AX43" s="716"/>
      <c r="AY43" s="669"/>
      <c r="AZ43" s="669"/>
      <c r="BA43" s="669"/>
      <c r="BB43" s="717"/>
    </row>
    <row r="44" spans="1:54" s="165" customFormat="1" ht="21" hidden="1" customHeight="1" x14ac:dyDescent="0.2">
      <c r="A44" s="652"/>
      <c r="B44" s="653"/>
      <c r="C44" s="653"/>
      <c r="D44" s="653"/>
      <c r="E44" s="653"/>
      <c r="F44" s="653"/>
      <c r="G44" s="653"/>
      <c r="H44" s="601"/>
      <c r="I44" s="601"/>
      <c r="J44" s="601"/>
      <c r="K44" s="601"/>
      <c r="L44" s="601"/>
      <c r="M44" s="601"/>
      <c r="N44" s="601"/>
      <c r="O44" s="601"/>
      <c r="P44" s="601"/>
      <c r="Q44" s="601"/>
      <c r="R44" s="601"/>
      <c r="S44" s="601"/>
      <c r="T44" s="601"/>
      <c r="U44" s="601"/>
      <c r="V44" s="601"/>
      <c r="W44" s="601"/>
      <c r="X44" s="601"/>
      <c r="Y44" s="601"/>
      <c r="Z44" s="726"/>
      <c r="AA44" s="726"/>
      <c r="AB44" s="726"/>
      <c r="AC44" s="279"/>
      <c r="AD44" s="279"/>
      <c r="AE44" s="279"/>
      <c r="AF44" s="279"/>
      <c r="AG44" s="279"/>
      <c r="AH44" s="180"/>
      <c r="AI44" s="181"/>
      <c r="AJ44" s="181"/>
      <c r="AK44" s="181"/>
      <c r="AL44" s="181"/>
      <c r="AM44" s="182"/>
      <c r="AN44" s="86"/>
      <c r="AO44" s="84"/>
      <c r="AP44" s="84"/>
      <c r="AQ44" s="84"/>
      <c r="AR44" s="85"/>
      <c r="AS44" s="180"/>
      <c r="AT44" s="181"/>
      <c r="AU44" s="181"/>
      <c r="AV44" s="181"/>
      <c r="AW44" s="182"/>
      <c r="AX44" s="86"/>
      <c r="AY44" s="84"/>
      <c r="AZ44" s="84"/>
      <c r="BA44" s="84"/>
      <c r="BB44" s="255"/>
    </row>
    <row r="45" spans="1:54" s="165" customFormat="1" ht="21.75" hidden="1" customHeight="1" x14ac:dyDescent="0.2">
      <c r="A45" s="652"/>
      <c r="B45" s="653"/>
      <c r="C45" s="653"/>
      <c r="D45" s="653"/>
      <c r="E45" s="653"/>
      <c r="F45" s="653"/>
      <c r="G45" s="653"/>
      <c r="H45" s="601"/>
      <c r="I45" s="601"/>
      <c r="J45" s="601"/>
      <c r="K45" s="601"/>
      <c r="L45" s="601"/>
      <c r="M45" s="601"/>
      <c r="N45" s="601"/>
      <c r="O45" s="601"/>
      <c r="P45" s="601"/>
      <c r="Q45" s="601"/>
      <c r="R45" s="601"/>
      <c r="S45" s="601"/>
      <c r="T45" s="601"/>
      <c r="U45" s="601"/>
      <c r="V45" s="601"/>
      <c r="W45" s="601"/>
      <c r="X45" s="601"/>
      <c r="Y45" s="601"/>
      <c r="Z45" s="726"/>
      <c r="AA45" s="726"/>
      <c r="AB45" s="726"/>
      <c r="AC45" s="279"/>
      <c r="AD45" s="279"/>
      <c r="AE45" s="279"/>
      <c r="AF45" s="279"/>
      <c r="AG45" s="279"/>
      <c r="AH45" s="180"/>
      <c r="AI45" s="181"/>
      <c r="AJ45" s="181"/>
      <c r="AK45" s="181"/>
      <c r="AL45" s="181"/>
      <c r="AM45" s="182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255"/>
    </row>
    <row r="46" spans="1:54" s="165" customFormat="1" ht="24" hidden="1" customHeight="1" x14ac:dyDescent="0.2">
      <c r="A46" s="652"/>
      <c r="B46" s="653"/>
      <c r="C46" s="653"/>
      <c r="D46" s="653"/>
      <c r="E46" s="653"/>
      <c r="F46" s="653"/>
      <c r="G46" s="653"/>
      <c r="H46" s="601"/>
      <c r="I46" s="601"/>
      <c r="J46" s="601"/>
      <c r="K46" s="601"/>
      <c r="L46" s="601"/>
      <c r="M46" s="601"/>
      <c r="N46" s="601"/>
      <c r="O46" s="601"/>
      <c r="P46" s="601"/>
      <c r="Q46" s="601"/>
      <c r="R46" s="601"/>
      <c r="S46" s="601"/>
      <c r="T46" s="601"/>
      <c r="U46" s="601"/>
      <c r="V46" s="601"/>
      <c r="W46" s="601"/>
      <c r="X46" s="601"/>
      <c r="Y46" s="601"/>
      <c r="Z46" s="726"/>
      <c r="AA46" s="726"/>
      <c r="AB46" s="726"/>
      <c r="AC46" s="279"/>
      <c r="AD46" s="279"/>
      <c r="AE46" s="279"/>
      <c r="AF46" s="279"/>
      <c r="AG46" s="279"/>
      <c r="AH46" s="180"/>
      <c r="AI46" s="181"/>
      <c r="AJ46" s="181"/>
      <c r="AK46" s="181"/>
      <c r="AL46" s="181"/>
      <c r="AM46" s="182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255"/>
    </row>
    <row r="47" spans="1:54" s="165" customFormat="1" ht="18" hidden="1" customHeight="1" x14ac:dyDescent="0.2">
      <c r="A47" s="652"/>
      <c r="B47" s="653"/>
      <c r="C47" s="653"/>
      <c r="D47" s="653"/>
      <c r="E47" s="653"/>
      <c r="F47" s="653"/>
      <c r="G47" s="653"/>
      <c r="H47" s="601"/>
      <c r="I47" s="601"/>
      <c r="J47" s="601"/>
      <c r="K47" s="601"/>
      <c r="L47" s="601"/>
      <c r="M47" s="601"/>
      <c r="N47" s="601"/>
      <c r="O47" s="601"/>
      <c r="P47" s="601"/>
      <c r="Q47" s="601"/>
      <c r="R47" s="601"/>
      <c r="S47" s="601"/>
      <c r="T47" s="601"/>
      <c r="U47" s="601"/>
      <c r="V47" s="601"/>
      <c r="W47" s="601"/>
      <c r="X47" s="601"/>
      <c r="Y47" s="601"/>
      <c r="Z47" s="726"/>
      <c r="AA47" s="726"/>
      <c r="AB47" s="726"/>
      <c r="AC47" s="279"/>
      <c r="AD47" s="279"/>
      <c r="AE47" s="279"/>
      <c r="AF47" s="279"/>
      <c r="AG47" s="279"/>
      <c r="AH47" s="180"/>
      <c r="AI47" s="181"/>
      <c r="AJ47" s="181"/>
      <c r="AK47" s="181"/>
      <c r="AL47" s="181"/>
      <c r="AM47" s="182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255"/>
    </row>
    <row r="48" spans="1:54" s="165" customFormat="1" ht="17.25" hidden="1" customHeight="1" x14ac:dyDescent="0.2">
      <c r="A48" s="652"/>
      <c r="B48" s="653"/>
      <c r="C48" s="653"/>
      <c r="D48" s="653"/>
      <c r="E48" s="653"/>
      <c r="F48" s="653"/>
      <c r="G48" s="653"/>
      <c r="H48" s="601"/>
      <c r="I48" s="601"/>
      <c r="J48" s="601"/>
      <c r="K48" s="601"/>
      <c r="L48" s="601"/>
      <c r="M48" s="601"/>
      <c r="N48" s="601"/>
      <c r="O48" s="601"/>
      <c r="P48" s="601"/>
      <c r="Q48" s="601"/>
      <c r="R48" s="601"/>
      <c r="S48" s="601"/>
      <c r="T48" s="601"/>
      <c r="U48" s="601"/>
      <c r="V48" s="601"/>
      <c r="W48" s="601"/>
      <c r="X48" s="601"/>
      <c r="Y48" s="601"/>
      <c r="Z48" s="726"/>
      <c r="AA48" s="726"/>
      <c r="AB48" s="726"/>
      <c r="AC48" s="279"/>
      <c r="AD48" s="279"/>
      <c r="AE48" s="279"/>
      <c r="AF48" s="279"/>
      <c r="AG48" s="279"/>
      <c r="AH48" s="180"/>
      <c r="AI48" s="181"/>
      <c r="AJ48" s="181"/>
      <c r="AK48" s="181"/>
      <c r="AL48" s="181"/>
      <c r="AM48" s="182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255"/>
    </row>
    <row r="49" spans="1:54" s="165" customFormat="1" ht="14.25" hidden="1" customHeight="1" x14ac:dyDescent="0.2">
      <c r="A49" s="652"/>
      <c r="B49" s="653"/>
      <c r="C49" s="653"/>
      <c r="D49" s="653"/>
      <c r="E49" s="653"/>
      <c r="F49" s="653"/>
      <c r="G49" s="653"/>
      <c r="H49" s="601"/>
      <c r="I49" s="601"/>
      <c r="J49" s="601"/>
      <c r="K49" s="601"/>
      <c r="L49" s="601"/>
      <c r="M49" s="601"/>
      <c r="N49" s="601"/>
      <c r="O49" s="601"/>
      <c r="P49" s="601"/>
      <c r="Q49" s="601"/>
      <c r="R49" s="601"/>
      <c r="S49" s="601"/>
      <c r="T49" s="601"/>
      <c r="U49" s="601"/>
      <c r="V49" s="601"/>
      <c r="W49" s="601"/>
      <c r="X49" s="601"/>
      <c r="Y49" s="601"/>
      <c r="Z49" s="726"/>
      <c r="AA49" s="726"/>
      <c r="AB49" s="726"/>
      <c r="AC49" s="279"/>
      <c r="AD49" s="279"/>
      <c r="AE49" s="279"/>
      <c r="AF49" s="279"/>
      <c r="AG49" s="279"/>
      <c r="AH49" s="180"/>
      <c r="AI49" s="181"/>
      <c r="AJ49" s="181"/>
      <c r="AK49" s="181"/>
      <c r="AL49" s="181"/>
      <c r="AM49" s="182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255"/>
    </row>
    <row r="50" spans="1:54" ht="0.75" customHeight="1" thickBot="1" x14ac:dyDescent="0.25">
      <c r="A50" s="681"/>
      <c r="B50" s="682"/>
      <c r="C50" s="682"/>
      <c r="D50" s="682"/>
      <c r="E50" s="682"/>
      <c r="F50" s="682"/>
      <c r="G50" s="682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  <c r="V50" s="656"/>
      <c r="W50" s="656"/>
      <c r="X50" s="656"/>
      <c r="Y50" s="656"/>
      <c r="Z50" s="729"/>
      <c r="AA50" s="729"/>
      <c r="AB50" s="729"/>
      <c r="AC50" s="280"/>
      <c r="AD50" s="280"/>
      <c r="AE50" s="280"/>
      <c r="AF50" s="280"/>
      <c r="AG50" s="280"/>
      <c r="AH50" s="259"/>
      <c r="AI50" s="260"/>
      <c r="AJ50" s="260"/>
      <c r="AK50" s="260"/>
      <c r="AL50" s="260"/>
      <c r="AM50" s="261"/>
      <c r="AN50" s="256"/>
      <c r="AO50" s="257"/>
      <c r="AP50" s="257"/>
      <c r="AQ50" s="257"/>
      <c r="AR50" s="258"/>
      <c r="AS50" s="259"/>
      <c r="AT50" s="260"/>
      <c r="AU50" s="260"/>
      <c r="AV50" s="260"/>
      <c r="AW50" s="261"/>
      <c r="AX50" s="256"/>
      <c r="AY50" s="257"/>
      <c r="AZ50" s="257"/>
      <c r="BA50" s="257"/>
      <c r="BB50" s="262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305"/>
      <c r="I52" s="305"/>
      <c r="J52" s="305"/>
      <c r="K52" s="305"/>
      <c r="L52" s="164"/>
      <c r="M52" s="164"/>
      <c r="N52" s="164"/>
      <c r="O52" s="164"/>
      <c r="P52" s="164"/>
      <c r="Q52" s="306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660" t="s">
        <v>101</v>
      </c>
      <c r="B58" s="661"/>
      <c r="C58" s="661"/>
      <c r="D58" s="661"/>
      <c r="E58" s="661"/>
      <c r="F58" s="661"/>
      <c r="G58" s="661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96"/>
      <c r="AC58" s="662">
        <f>((R59+(R59*U61)+(R59*Q61)+(R59*M61)+(R59*I61))*Z61)</f>
        <v>40560</v>
      </c>
      <c r="AD58" s="662"/>
      <c r="AE58" s="662"/>
      <c r="AF58" s="662"/>
      <c r="AG58" s="662"/>
      <c r="AH58" s="662">
        <v>144</v>
      </c>
      <c r="AI58" s="662"/>
      <c r="AJ58" s="662"/>
      <c r="AK58" s="662"/>
      <c r="AL58" s="662"/>
      <c r="AM58" s="662"/>
      <c r="AN58" s="662">
        <f>AC58/AH58</f>
        <v>281.66666666666669</v>
      </c>
      <c r="AO58" s="662"/>
      <c r="AP58" s="662"/>
      <c r="AQ58" s="662"/>
      <c r="AR58" s="662"/>
      <c r="AS58" s="663">
        <f>U12</f>
        <v>28</v>
      </c>
      <c r="AT58" s="663"/>
      <c r="AU58" s="663"/>
      <c r="AV58" s="663"/>
      <c r="AW58" s="663"/>
      <c r="AX58" s="662">
        <f>AN58*AS58</f>
        <v>7886.666666666667</v>
      </c>
      <c r="AY58" s="662"/>
      <c r="AZ58" s="662"/>
      <c r="BA58" s="662"/>
      <c r="BB58" s="684"/>
    </row>
    <row r="59" spans="1:54" s="165" customFormat="1" ht="28.15" customHeight="1" x14ac:dyDescent="0.2">
      <c r="A59" s="652"/>
      <c r="B59" s="653"/>
      <c r="C59" s="653"/>
      <c r="D59" s="653"/>
      <c r="E59" s="653"/>
      <c r="F59" s="653"/>
      <c r="G59" s="653"/>
      <c r="H59" s="685" t="s">
        <v>530</v>
      </c>
      <c r="I59" s="686"/>
      <c r="J59" s="686"/>
      <c r="K59" s="686"/>
      <c r="L59" s="686"/>
      <c r="M59" s="686"/>
      <c r="N59" s="669"/>
      <c r="O59" s="669"/>
      <c r="P59" s="669"/>
      <c r="Q59" s="84" t="s">
        <v>27</v>
      </c>
      <c r="R59" s="669">
        <v>15600</v>
      </c>
      <c r="S59" s="669"/>
      <c r="T59" s="669"/>
      <c r="U59" s="669"/>
      <c r="V59" s="669"/>
      <c r="W59" s="84" t="s">
        <v>28</v>
      </c>
      <c r="X59" s="84"/>
      <c r="Y59" s="84"/>
      <c r="Z59" s="84"/>
      <c r="AA59" s="84"/>
      <c r="AB59" s="85"/>
      <c r="AC59" s="601"/>
      <c r="AD59" s="601"/>
      <c r="AE59" s="601"/>
      <c r="AF59" s="601"/>
      <c r="AG59" s="601"/>
      <c r="AH59" s="601"/>
      <c r="AI59" s="601"/>
      <c r="AJ59" s="601"/>
      <c r="AK59" s="601"/>
      <c r="AL59" s="601"/>
      <c r="AM59" s="601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652"/>
      <c r="B60" s="653"/>
      <c r="C60" s="653"/>
      <c r="D60" s="653"/>
      <c r="E60" s="653"/>
      <c r="F60" s="653"/>
      <c r="G60" s="653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601"/>
      <c r="AD60" s="601"/>
      <c r="AE60" s="601"/>
      <c r="AF60" s="601"/>
      <c r="AG60" s="601"/>
      <c r="AH60" s="601"/>
      <c r="AI60" s="601"/>
      <c r="AJ60" s="601"/>
      <c r="AK60" s="601"/>
      <c r="AL60" s="601"/>
      <c r="AM60" s="601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5" customHeight="1" x14ac:dyDescent="0.2">
      <c r="A61" s="652"/>
      <c r="B61" s="653"/>
      <c r="C61" s="653"/>
      <c r="D61" s="653"/>
      <c r="E61" s="653"/>
      <c r="F61" s="653"/>
      <c r="G61" s="653"/>
      <c r="H61" s="706" t="s">
        <v>656</v>
      </c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  <c r="V61" s="707"/>
      <c r="W61" s="707"/>
      <c r="X61" s="707"/>
      <c r="Y61" s="84" t="s">
        <v>28</v>
      </c>
      <c r="Z61" s="669">
        <v>2.6</v>
      </c>
      <c r="AA61" s="669"/>
      <c r="AB61" s="670"/>
      <c r="AC61" s="601"/>
      <c r="AD61" s="601"/>
      <c r="AE61" s="601"/>
      <c r="AF61" s="601"/>
      <c r="AG61" s="601"/>
      <c r="AH61" s="601"/>
      <c r="AI61" s="601"/>
      <c r="AJ61" s="601"/>
      <c r="AK61" s="601"/>
      <c r="AL61" s="601"/>
      <c r="AM61" s="601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" customHeight="1" thickBot="1" x14ac:dyDescent="0.25">
      <c r="A62" s="681"/>
      <c r="B62" s="682"/>
      <c r="C62" s="682"/>
      <c r="D62" s="682"/>
      <c r="E62" s="682"/>
      <c r="F62" s="682"/>
      <c r="G62" s="682"/>
      <c r="H62" s="256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8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83"/>
      <c r="AT62" s="683"/>
      <c r="AU62" s="683"/>
      <c r="AV62" s="683"/>
      <c r="AW62" s="683"/>
      <c r="AX62" s="656"/>
      <c r="AY62" s="656"/>
      <c r="AZ62" s="656"/>
      <c r="BA62" s="656"/>
      <c r="BB62" s="657"/>
    </row>
    <row r="63" spans="1:54" ht="5.0999999999999996" hidden="1" customHeight="1" x14ac:dyDescent="0.2">
      <c r="A63" s="666"/>
      <c r="B63" s="667"/>
      <c r="C63" s="667"/>
      <c r="D63" s="667"/>
      <c r="E63" s="667"/>
      <c r="F63" s="667"/>
      <c r="G63" s="667"/>
      <c r="H63" s="193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94" t="e">
        <f>#REF!</f>
        <v>#REF!</v>
      </c>
      <c r="AA63" s="191"/>
      <c r="AB63" s="195"/>
      <c r="AC63" s="477">
        <f>((R64+(R64*U66)+(R64*Q66)+(R64*M66)+(R64*I66))*Z66)*1.15</f>
        <v>0</v>
      </c>
      <c r="AD63" s="477"/>
      <c r="AE63" s="477"/>
      <c r="AF63" s="477"/>
      <c r="AG63" s="477"/>
      <c r="AH63" s="477">
        <v>1</v>
      </c>
      <c r="AI63" s="477"/>
      <c r="AJ63" s="477"/>
      <c r="AK63" s="477"/>
      <c r="AL63" s="477"/>
      <c r="AM63" s="477"/>
      <c r="AN63" s="477">
        <f>AC63/AH63</f>
        <v>0</v>
      </c>
      <c r="AO63" s="477"/>
      <c r="AP63" s="477"/>
      <c r="AQ63" s="477"/>
      <c r="AR63" s="477"/>
      <c r="AS63" s="668">
        <f t="shared" ref="AS63" si="0">U17</f>
        <v>0</v>
      </c>
      <c r="AT63" s="668"/>
      <c r="AU63" s="668"/>
      <c r="AV63" s="668"/>
      <c r="AW63" s="668"/>
      <c r="AX63" s="477">
        <f>AN63*AS63</f>
        <v>0</v>
      </c>
      <c r="AY63" s="477"/>
      <c r="AZ63" s="477"/>
      <c r="BA63" s="477"/>
      <c r="BB63" s="481"/>
    </row>
    <row r="64" spans="1:54" s="165" customFormat="1" ht="11.25" hidden="1" customHeight="1" x14ac:dyDescent="0.2">
      <c r="A64" s="652"/>
      <c r="B64" s="653"/>
      <c r="C64" s="653"/>
      <c r="D64" s="653"/>
      <c r="E64" s="653"/>
      <c r="F64" s="653"/>
      <c r="G64" s="653"/>
      <c r="H64" s="658" t="s">
        <v>26</v>
      </c>
      <c r="I64" s="659"/>
      <c r="J64" s="659"/>
      <c r="K64" s="659"/>
      <c r="L64" s="659"/>
      <c r="M64" s="659"/>
      <c r="N64" s="650">
        <v>0</v>
      </c>
      <c r="O64" s="650"/>
      <c r="P64" s="650"/>
      <c r="Q64" s="191" t="s">
        <v>27</v>
      </c>
      <c r="R64" s="650">
        <f>$AX$19*N64</f>
        <v>0</v>
      </c>
      <c r="S64" s="650"/>
      <c r="T64" s="650"/>
      <c r="U64" s="650"/>
      <c r="V64" s="650"/>
      <c r="W64" s="191" t="s">
        <v>28</v>
      </c>
      <c r="X64" s="191" t="s">
        <v>29</v>
      </c>
      <c r="Y64" s="191"/>
      <c r="Z64" s="191"/>
      <c r="AA64" s="191"/>
      <c r="AB64" s="195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664"/>
      <c r="AT64" s="664"/>
      <c r="AU64" s="664"/>
      <c r="AV64" s="664"/>
      <c r="AW64" s="664"/>
      <c r="AX64" s="529"/>
      <c r="AY64" s="529"/>
      <c r="AZ64" s="529"/>
      <c r="BA64" s="529"/>
      <c r="BB64" s="665"/>
    </row>
    <row r="65" spans="1:54" s="165" customFormat="1" ht="5.0999999999999996" hidden="1" customHeight="1" x14ac:dyDescent="0.2">
      <c r="A65" s="652"/>
      <c r="B65" s="653"/>
      <c r="C65" s="653"/>
      <c r="D65" s="653"/>
      <c r="E65" s="653"/>
      <c r="F65" s="653"/>
      <c r="G65" s="653"/>
      <c r="H65" s="196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91"/>
      <c r="AA65" s="191"/>
      <c r="AB65" s="195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65" customFormat="1" ht="11.25" hidden="1" customHeight="1" x14ac:dyDescent="0.2">
      <c r="A66" s="652"/>
      <c r="B66" s="653"/>
      <c r="C66" s="653"/>
      <c r="D66" s="653"/>
      <c r="E66" s="653"/>
      <c r="F66" s="653"/>
      <c r="G66" s="653"/>
      <c r="H66" s="197" t="s">
        <v>30</v>
      </c>
      <c r="I66" s="654">
        <v>0</v>
      </c>
      <c r="J66" s="654"/>
      <c r="K66" s="654"/>
      <c r="L66" s="191" t="s">
        <v>28</v>
      </c>
      <c r="M66" s="654">
        <v>0</v>
      </c>
      <c r="N66" s="654"/>
      <c r="O66" s="654"/>
      <c r="P66" s="191" t="s">
        <v>28</v>
      </c>
      <c r="Q66" s="654"/>
      <c r="R66" s="654"/>
      <c r="S66" s="654"/>
      <c r="T66" s="191" t="s">
        <v>28</v>
      </c>
      <c r="U66" s="654"/>
      <c r="V66" s="654"/>
      <c r="W66" s="654"/>
      <c r="X66" s="191" t="s">
        <v>31</v>
      </c>
      <c r="Y66" s="191" t="s">
        <v>28</v>
      </c>
      <c r="Z66" s="650">
        <v>2.6</v>
      </c>
      <c r="AA66" s="650"/>
      <c r="AB66" s="651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65" customFormat="1" ht="5.0999999999999996" hidden="1" customHeight="1" thickBot="1" x14ac:dyDescent="0.25">
      <c r="A67" s="652"/>
      <c r="B67" s="653"/>
      <c r="C67" s="653"/>
      <c r="D67" s="653"/>
      <c r="E67" s="653"/>
      <c r="F67" s="653"/>
      <c r="G67" s="653"/>
      <c r="H67" s="198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308"/>
      <c r="AA67" s="308"/>
      <c r="AB67" s="201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65" customFormat="1" ht="5.0999999999999996" hidden="1" customHeight="1" x14ac:dyDescent="0.2">
      <c r="A68" s="652"/>
      <c r="B68" s="653"/>
      <c r="C68" s="653"/>
      <c r="D68" s="653"/>
      <c r="E68" s="653"/>
      <c r="F68" s="653"/>
      <c r="G68" s="653"/>
      <c r="H68" s="19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94" t="e">
        <f>#REF!</f>
        <v>#REF!</v>
      </c>
      <c r="AA68" s="191"/>
      <c r="AB68" s="195"/>
      <c r="AC68" s="507">
        <f>((R69+(R69*U71)+(R69*Q71)+(R69*M71)+(R69*I71))*Z71)*1.15</f>
        <v>0</v>
      </c>
      <c r="AD68" s="507"/>
      <c r="AE68" s="507"/>
      <c r="AF68" s="507"/>
      <c r="AG68" s="507"/>
      <c r="AH68" s="529">
        <v>1</v>
      </c>
      <c r="AI68" s="529"/>
      <c r="AJ68" s="529"/>
      <c r="AK68" s="529"/>
      <c r="AL68" s="529"/>
      <c r="AM68" s="529"/>
      <c r="AN68" s="529">
        <f>AC68/AH68</f>
        <v>0</v>
      </c>
      <c r="AO68" s="529"/>
      <c r="AP68" s="529"/>
      <c r="AQ68" s="529"/>
      <c r="AR68" s="529"/>
      <c r="AS68" s="663">
        <f t="shared" ref="AS68" si="1">U22</f>
        <v>0</v>
      </c>
      <c r="AT68" s="663"/>
      <c r="AU68" s="663"/>
      <c r="AV68" s="663"/>
      <c r="AW68" s="663"/>
      <c r="AX68" s="529">
        <f>AN68*AS68</f>
        <v>0</v>
      </c>
      <c r="AY68" s="529"/>
      <c r="AZ68" s="529"/>
      <c r="BA68" s="529"/>
      <c r="BB68" s="665"/>
    </row>
    <row r="69" spans="1:54" s="165" customFormat="1" ht="11.25" hidden="1" customHeight="1" x14ac:dyDescent="0.2">
      <c r="A69" s="652"/>
      <c r="B69" s="653"/>
      <c r="C69" s="653"/>
      <c r="D69" s="653"/>
      <c r="E69" s="653"/>
      <c r="F69" s="653"/>
      <c r="G69" s="653"/>
      <c r="H69" s="658" t="s">
        <v>26</v>
      </c>
      <c r="I69" s="659"/>
      <c r="J69" s="659"/>
      <c r="K69" s="659"/>
      <c r="L69" s="659"/>
      <c r="M69" s="659"/>
      <c r="N69" s="650">
        <v>0</v>
      </c>
      <c r="O69" s="650"/>
      <c r="P69" s="650"/>
      <c r="Q69" s="191" t="s">
        <v>27</v>
      </c>
      <c r="R69" s="650">
        <f>$AX$19*N69</f>
        <v>0</v>
      </c>
      <c r="S69" s="650"/>
      <c r="T69" s="650"/>
      <c r="U69" s="650"/>
      <c r="V69" s="650"/>
      <c r="W69" s="191" t="s">
        <v>28</v>
      </c>
      <c r="X69" s="191" t="s">
        <v>29</v>
      </c>
      <c r="Y69" s="191"/>
      <c r="Z69" s="191"/>
      <c r="AA69" s="191"/>
      <c r="AB69" s="195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529"/>
      <c r="AP69" s="529"/>
      <c r="AQ69" s="529"/>
      <c r="AR69" s="529"/>
      <c r="AS69" s="664"/>
      <c r="AT69" s="664"/>
      <c r="AU69" s="664"/>
      <c r="AV69" s="664"/>
      <c r="AW69" s="664"/>
      <c r="AX69" s="529"/>
      <c r="AY69" s="529"/>
      <c r="AZ69" s="529"/>
      <c r="BA69" s="529"/>
      <c r="BB69" s="665"/>
    </row>
    <row r="70" spans="1:54" ht="5.0999999999999996" hidden="1" customHeight="1" x14ac:dyDescent="0.2">
      <c r="A70" s="652"/>
      <c r="B70" s="653"/>
      <c r="C70" s="653"/>
      <c r="D70" s="653"/>
      <c r="E70" s="653"/>
      <c r="F70" s="653"/>
      <c r="G70" s="653"/>
      <c r="H70" s="19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91"/>
      <c r="AA70" s="191"/>
      <c r="AB70" s="195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s="165" customFormat="1" ht="11.25" hidden="1" customHeight="1" x14ac:dyDescent="0.2">
      <c r="A71" s="652"/>
      <c r="B71" s="653"/>
      <c r="C71" s="653"/>
      <c r="D71" s="653"/>
      <c r="E71" s="653"/>
      <c r="F71" s="653"/>
      <c r="G71" s="653"/>
      <c r="H71" s="197" t="s">
        <v>30</v>
      </c>
      <c r="I71" s="654">
        <v>0</v>
      </c>
      <c r="J71" s="654"/>
      <c r="K71" s="654"/>
      <c r="L71" s="191" t="s">
        <v>28</v>
      </c>
      <c r="M71" s="654">
        <v>0</v>
      </c>
      <c r="N71" s="654"/>
      <c r="O71" s="654"/>
      <c r="P71" s="191" t="s">
        <v>28</v>
      </c>
      <c r="Q71" s="654"/>
      <c r="R71" s="654"/>
      <c r="S71" s="654"/>
      <c r="T71" s="191" t="s">
        <v>28</v>
      </c>
      <c r="U71" s="654"/>
      <c r="V71" s="654"/>
      <c r="W71" s="654"/>
      <c r="X71" s="191" t="s">
        <v>31</v>
      </c>
      <c r="Y71" s="191" t="s">
        <v>28</v>
      </c>
      <c r="Z71" s="650">
        <v>2.6</v>
      </c>
      <c r="AA71" s="650"/>
      <c r="AB71" s="651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65" customFormat="1" ht="11.25" hidden="1" customHeight="1" thickBot="1" x14ac:dyDescent="0.25">
      <c r="A72" s="652"/>
      <c r="B72" s="653"/>
      <c r="C72" s="653"/>
      <c r="D72" s="653"/>
      <c r="E72" s="653"/>
      <c r="F72" s="653"/>
      <c r="G72" s="653"/>
      <c r="H72" s="198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308"/>
      <c r="AA72" s="308"/>
      <c r="AB72" s="201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65" customFormat="1" ht="15" hidden="1" customHeight="1" x14ac:dyDescent="0.2">
      <c r="A73" s="660" t="s">
        <v>84</v>
      </c>
      <c r="B73" s="661"/>
      <c r="C73" s="661"/>
      <c r="D73" s="661"/>
      <c r="E73" s="661"/>
      <c r="F73" s="661"/>
      <c r="G73" s="661"/>
      <c r="H73" s="19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94" t="e">
        <f>#REF!</f>
        <v>#REF!</v>
      </c>
      <c r="AA73" s="191"/>
      <c r="AB73" s="195"/>
      <c r="AC73" s="507">
        <f>((R74+(R74*U76)+(R74*Q76)+(R74*M76)+(R74*I76))*Z76)</f>
        <v>0</v>
      </c>
      <c r="AD73" s="507"/>
      <c r="AE73" s="507"/>
      <c r="AF73" s="507"/>
      <c r="AG73" s="507"/>
      <c r="AH73" s="529">
        <v>75</v>
      </c>
      <c r="AI73" s="529"/>
      <c r="AJ73" s="529"/>
      <c r="AK73" s="529"/>
      <c r="AL73" s="529"/>
      <c r="AM73" s="529"/>
      <c r="AN73" s="529">
        <f>AC73/AH73</f>
        <v>0</v>
      </c>
      <c r="AO73" s="529"/>
      <c r="AP73" s="529"/>
      <c r="AQ73" s="529"/>
      <c r="AR73" s="529"/>
      <c r="AS73" s="663">
        <f t="shared" ref="AS73" si="2">U27</f>
        <v>0</v>
      </c>
      <c r="AT73" s="663"/>
      <c r="AU73" s="663"/>
      <c r="AV73" s="663"/>
      <c r="AW73" s="663"/>
      <c r="AX73" s="529">
        <f>AN73*AS73</f>
        <v>0</v>
      </c>
      <c r="AY73" s="529"/>
      <c r="AZ73" s="529"/>
      <c r="BA73" s="529"/>
      <c r="BB73" s="665"/>
    </row>
    <row r="74" spans="1:54" s="165" customFormat="1" ht="21" hidden="1" customHeight="1" thickBot="1" x14ac:dyDescent="0.25">
      <c r="A74" s="652"/>
      <c r="B74" s="653"/>
      <c r="C74" s="653"/>
      <c r="D74" s="653"/>
      <c r="E74" s="653"/>
      <c r="F74" s="653"/>
      <c r="G74" s="653"/>
      <c r="H74" s="658" t="s">
        <v>26</v>
      </c>
      <c r="I74" s="659"/>
      <c r="J74" s="659"/>
      <c r="K74" s="659"/>
      <c r="L74" s="659"/>
      <c r="M74" s="659"/>
      <c r="N74" s="650">
        <v>0</v>
      </c>
      <c r="O74" s="650"/>
      <c r="P74" s="650"/>
      <c r="Q74" s="191" t="s">
        <v>27</v>
      </c>
      <c r="R74" s="650">
        <f>$AX$19*N74</f>
        <v>0</v>
      </c>
      <c r="S74" s="650"/>
      <c r="T74" s="650"/>
      <c r="U74" s="650"/>
      <c r="V74" s="650"/>
      <c r="W74" s="191" t="s">
        <v>28</v>
      </c>
      <c r="X74" s="191" t="s">
        <v>29</v>
      </c>
      <c r="Y74" s="191"/>
      <c r="Z74" s="191"/>
      <c r="AA74" s="191"/>
      <c r="AB74" s="195"/>
      <c r="AC74" s="529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29"/>
      <c r="AS74" s="664"/>
      <c r="AT74" s="664"/>
      <c r="AU74" s="664"/>
      <c r="AV74" s="664"/>
      <c r="AW74" s="664"/>
      <c r="AX74" s="529"/>
      <c r="AY74" s="529"/>
      <c r="AZ74" s="529"/>
      <c r="BA74" s="529"/>
      <c r="BB74" s="665"/>
    </row>
    <row r="75" spans="1:54" s="165" customFormat="1" ht="12" hidden="1" customHeight="1" thickBot="1" x14ac:dyDescent="0.25">
      <c r="A75" s="652"/>
      <c r="B75" s="653"/>
      <c r="C75" s="653"/>
      <c r="D75" s="653"/>
      <c r="E75" s="653"/>
      <c r="F75" s="653"/>
      <c r="G75" s="653"/>
      <c r="H75" s="196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91"/>
      <c r="AA75" s="191"/>
      <c r="AB75" s="195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29"/>
      <c r="AS75" s="664"/>
      <c r="AT75" s="664"/>
      <c r="AU75" s="664"/>
      <c r="AV75" s="664"/>
      <c r="AW75" s="664"/>
      <c r="AX75" s="529"/>
      <c r="AY75" s="529"/>
      <c r="AZ75" s="529"/>
      <c r="BA75" s="529"/>
      <c r="BB75" s="665"/>
    </row>
    <row r="76" spans="1:54" s="165" customFormat="1" ht="15.75" hidden="1" customHeight="1" thickBot="1" x14ac:dyDescent="0.25">
      <c r="A76" s="652"/>
      <c r="B76" s="653"/>
      <c r="C76" s="653"/>
      <c r="D76" s="653"/>
      <c r="E76" s="653"/>
      <c r="F76" s="653"/>
      <c r="G76" s="653"/>
      <c r="H76" s="197" t="s">
        <v>30</v>
      </c>
      <c r="I76" s="654">
        <v>0.2</v>
      </c>
      <c r="J76" s="654"/>
      <c r="K76" s="654"/>
      <c r="L76" s="191" t="s">
        <v>28</v>
      </c>
      <c r="M76" s="654">
        <v>0.15</v>
      </c>
      <c r="N76" s="654"/>
      <c r="O76" s="654"/>
      <c r="P76" s="191" t="s">
        <v>28</v>
      </c>
      <c r="Q76" s="654">
        <v>0.5</v>
      </c>
      <c r="R76" s="654"/>
      <c r="S76" s="654"/>
      <c r="T76" s="191" t="s">
        <v>28</v>
      </c>
      <c r="U76" s="654">
        <v>0</v>
      </c>
      <c r="V76" s="654"/>
      <c r="W76" s="654"/>
      <c r="X76" s="191" t="s">
        <v>31</v>
      </c>
      <c r="Y76" s="191" t="s">
        <v>28</v>
      </c>
      <c r="Z76" s="650">
        <v>2.6</v>
      </c>
      <c r="AA76" s="650"/>
      <c r="AB76" s="651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29"/>
      <c r="AS76" s="664"/>
      <c r="AT76" s="664"/>
      <c r="AU76" s="664"/>
      <c r="AV76" s="664"/>
      <c r="AW76" s="664"/>
      <c r="AX76" s="529"/>
      <c r="AY76" s="529"/>
      <c r="AZ76" s="529"/>
      <c r="BA76" s="529"/>
      <c r="BB76" s="665"/>
    </row>
    <row r="77" spans="1:54" ht="13.5" hidden="1" customHeight="1" thickBot="1" x14ac:dyDescent="0.25">
      <c r="A77" s="652"/>
      <c r="B77" s="653"/>
      <c r="C77" s="653"/>
      <c r="D77" s="653"/>
      <c r="E77" s="653"/>
      <c r="F77" s="653"/>
      <c r="G77" s="653"/>
      <c r="H77" s="198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308"/>
      <c r="AA77" s="308"/>
      <c r="AB77" s="201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29"/>
      <c r="AS77" s="664"/>
      <c r="AT77" s="664"/>
      <c r="AU77" s="664"/>
      <c r="AV77" s="664"/>
      <c r="AW77" s="664"/>
      <c r="AX77" s="529"/>
      <c r="AY77" s="529"/>
      <c r="AZ77" s="529"/>
      <c r="BA77" s="529"/>
      <c r="BB77" s="665"/>
    </row>
    <row r="78" spans="1:54" s="165" customFormat="1" ht="8.25" hidden="1" customHeight="1" x14ac:dyDescent="0.2">
      <c r="A78" s="660" t="s">
        <v>86</v>
      </c>
      <c r="B78" s="661"/>
      <c r="C78" s="661"/>
      <c r="D78" s="661"/>
      <c r="E78" s="661"/>
      <c r="F78" s="661"/>
      <c r="G78" s="661"/>
      <c r="H78" s="19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94" t="e">
        <f>#REF!</f>
        <v>#REF!</v>
      </c>
      <c r="AA78" s="191"/>
      <c r="AB78" s="195"/>
      <c r="AC78" s="662">
        <f>((R79+(R79*U81)+(R79*Q81)+(R79*M81)+(R79*I81))*Z81)*1.15</f>
        <v>0</v>
      </c>
      <c r="AD78" s="662"/>
      <c r="AE78" s="662"/>
      <c r="AF78" s="662"/>
      <c r="AG78" s="662"/>
      <c r="AH78" s="601">
        <v>144</v>
      </c>
      <c r="AI78" s="601"/>
      <c r="AJ78" s="601"/>
      <c r="AK78" s="601"/>
      <c r="AL78" s="601"/>
      <c r="AM78" s="601"/>
      <c r="AN78" s="601">
        <f>AC78/AH78</f>
        <v>0</v>
      </c>
      <c r="AO78" s="601"/>
      <c r="AP78" s="601"/>
      <c r="AQ78" s="601"/>
      <c r="AR78" s="601"/>
      <c r="AS78" s="663">
        <v>72</v>
      </c>
      <c r="AT78" s="663"/>
      <c r="AU78" s="663"/>
      <c r="AV78" s="663"/>
      <c r="AW78" s="663"/>
      <c r="AX78" s="601">
        <f>AN78*AS78</f>
        <v>0</v>
      </c>
      <c r="AY78" s="601"/>
      <c r="AZ78" s="601"/>
      <c r="BA78" s="601"/>
      <c r="BB78" s="655"/>
    </row>
    <row r="79" spans="1:54" s="165" customFormat="1" ht="27" hidden="1" customHeight="1" thickBot="1" x14ac:dyDescent="0.25">
      <c r="A79" s="652"/>
      <c r="B79" s="653"/>
      <c r="C79" s="653"/>
      <c r="D79" s="653"/>
      <c r="E79" s="653"/>
      <c r="F79" s="653"/>
      <c r="G79" s="653"/>
      <c r="H79" s="658" t="s">
        <v>26</v>
      </c>
      <c r="I79" s="659"/>
      <c r="J79" s="659"/>
      <c r="K79" s="659"/>
      <c r="L79" s="659"/>
      <c r="M79" s="659"/>
      <c r="N79" s="650">
        <v>0</v>
      </c>
      <c r="O79" s="650"/>
      <c r="P79" s="650"/>
      <c r="Q79" s="191" t="s">
        <v>27</v>
      </c>
      <c r="R79" s="650">
        <f>$AX$19*N79</f>
        <v>0</v>
      </c>
      <c r="S79" s="650"/>
      <c r="T79" s="650"/>
      <c r="U79" s="650"/>
      <c r="V79" s="650"/>
      <c r="W79" s="191" t="s">
        <v>28</v>
      </c>
      <c r="X79" s="191" t="s">
        <v>29</v>
      </c>
      <c r="Y79" s="191"/>
      <c r="Z79" s="191"/>
      <c r="AA79" s="191"/>
      <c r="AB79" s="195"/>
      <c r="AC79" s="601"/>
      <c r="AD79" s="601"/>
      <c r="AE79" s="601"/>
      <c r="AF79" s="601"/>
      <c r="AG79" s="601"/>
      <c r="AH79" s="601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64"/>
      <c r="AT79" s="664"/>
      <c r="AU79" s="664"/>
      <c r="AV79" s="664"/>
      <c r="AW79" s="664"/>
      <c r="AX79" s="601"/>
      <c r="AY79" s="601"/>
      <c r="AZ79" s="601"/>
      <c r="BA79" s="601"/>
      <c r="BB79" s="655"/>
    </row>
    <row r="80" spans="1:54" s="165" customFormat="1" ht="6.75" hidden="1" customHeight="1" thickBot="1" x14ac:dyDescent="0.25">
      <c r="A80" s="652"/>
      <c r="B80" s="653"/>
      <c r="C80" s="653"/>
      <c r="D80" s="653"/>
      <c r="E80" s="653"/>
      <c r="F80" s="653"/>
      <c r="G80" s="653"/>
      <c r="H80" s="19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91"/>
      <c r="AA80" s="191"/>
      <c r="AB80" s="195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ht="12" hidden="1" customHeight="1" thickBot="1" x14ac:dyDescent="0.25">
      <c r="A81" s="652"/>
      <c r="B81" s="653"/>
      <c r="C81" s="653"/>
      <c r="D81" s="653"/>
      <c r="E81" s="653"/>
      <c r="F81" s="653"/>
      <c r="G81" s="653"/>
      <c r="H81" s="197" t="s">
        <v>30</v>
      </c>
      <c r="I81" s="654">
        <v>0.2</v>
      </c>
      <c r="J81" s="654"/>
      <c r="K81" s="654"/>
      <c r="L81" s="191" t="s">
        <v>28</v>
      </c>
      <c r="M81" s="654">
        <v>0</v>
      </c>
      <c r="N81" s="654"/>
      <c r="O81" s="654"/>
      <c r="P81" s="191" t="s">
        <v>28</v>
      </c>
      <c r="Q81" s="654">
        <v>0</v>
      </c>
      <c r="R81" s="654"/>
      <c r="S81" s="654"/>
      <c r="T81" s="191" t="s">
        <v>28</v>
      </c>
      <c r="U81" s="654">
        <v>0</v>
      </c>
      <c r="V81" s="654"/>
      <c r="W81" s="654"/>
      <c r="X81" s="191" t="s">
        <v>31</v>
      </c>
      <c r="Y81" s="191" t="s">
        <v>28</v>
      </c>
      <c r="Z81" s="650">
        <v>2.6</v>
      </c>
      <c r="AA81" s="650"/>
      <c r="AB81" s="651"/>
      <c r="AC81" s="601"/>
      <c r="AD81" s="601"/>
      <c r="AE81" s="601"/>
      <c r="AF81" s="601"/>
      <c r="AG81" s="601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3.5" hidden="1" customHeight="1" thickBot="1" x14ac:dyDescent="0.25">
      <c r="A82" s="652"/>
      <c r="B82" s="653"/>
      <c r="C82" s="653"/>
      <c r="D82" s="653"/>
      <c r="E82" s="653"/>
      <c r="F82" s="653"/>
      <c r="G82" s="653"/>
      <c r="H82" s="202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4"/>
      <c r="AA82" s="204"/>
      <c r="AB82" s="205"/>
      <c r="AC82" s="601"/>
      <c r="AD82" s="601"/>
      <c r="AE82" s="601"/>
      <c r="AF82" s="601"/>
      <c r="AG82" s="601"/>
      <c r="AH82" s="656"/>
      <c r="AI82" s="656"/>
      <c r="AJ82" s="656"/>
      <c r="AK82" s="656"/>
      <c r="AL82" s="656"/>
      <c r="AM82" s="656"/>
      <c r="AN82" s="656"/>
      <c r="AO82" s="656"/>
      <c r="AP82" s="656"/>
      <c r="AQ82" s="656"/>
      <c r="AR82" s="656"/>
      <c r="AS82" s="664"/>
      <c r="AT82" s="664"/>
      <c r="AU82" s="664"/>
      <c r="AV82" s="664"/>
      <c r="AW82" s="664"/>
      <c r="AX82" s="656"/>
      <c r="AY82" s="656"/>
      <c r="AZ82" s="656"/>
      <c r="BA82" s="656"/>
      <c r="BB82" s="657"/>
    </row>
    <row r="83" spans="1:54" ht="11.25" customHeight="1" x14ac:dyDescent="0.2">
      <c r="R83" s="169" t="s">
        <v>18</v>
      </c>
      <c r="S83" s="170"/>
      <c r="T83" s="170"/>
      <c r="U83" s="171"/>
      <c r="V83" s="171"/>
      <c r="W83" s="171"/>
      <c r="X83" s="171"/>
      <c r="Y83" s="171"/>
      <c r="Z83" s="171"/>
      <c r="AA83" s="171"/>
      <c r="AB83" s="171"/>
      <c r="AC83" s="171"/>
      <c r="AD83" s="171" t="s">
        <v>19</v>
      </c>
      <c r="AE83" s="171" t="s">
        <v>20</v>
      </c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2"/>
      <c r="AS83" s="453">
        <f>AX83/U12</f>
        <v>281.66666666666669</v>
      </c>
      <c r="AT83" s="453"/>
      <c r="AU83" s="453"/>
      <c r="AV83" s="453"/>
      <c r="AW83" s="453"/>
      <c r="AX83" s="453">
        <f>SUM(AX58:BB82)</f>
        <v>7886.666666666667</v>
      </c>
      <c r="AY83" s="453"/>
      <c r="AZ83" s="453"/>
      <c r="BA83" s="453"/>
      <c r="BB83" s="454"/>
    </row>
    <row r="84" spans="1:54" ht="11.25" customHeight="1" thickBot="1" x14ac:dyDescent="0.25">
      <c r="R84" s="175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 t="s">
        <v>19</v>
      </c>
      <c r="AE84" s="176" t="s">
        <v>21</v>
      </c>
      <c r="AF84" s="176"/>
      <c r="AG84" s="176"/>
      <c r="AH84" s="176"/>
      <c r="AI84" s="176"/>
      <c r="AJ84" s="176"/>
      <c r="AK84" s="176"/>
      <c r="AL84" s="176"/>
      <c r="AM84" s="176"/>
      <c r="AN84" s="176"/>
      <c r="AO84" s="630">
        <v>0.30199999999999999</v>
      </c>
      <c r="AP84" s="631"/>
      <c r="AQ84" s="631"/>
      <c r="AR84" s="632"/>
      <c r="AS84" s="463">
        <f>AX84/U12</f>
        <v>85.063333333333347</v>
      </c>
      <c r="AT84" s="463"/>
      <c r="AU84" s="463"/>
      <c r="AV84" s="463"/>
      <c r="AW84" s="463"/>
      <c r="AX84" s="463">
        <f>AX83*AO84</f>
        <v>2381.7733333333335</v>
      </c>
      <c r="AY84" s="463"/>
      <c r="AZ84" s="463"/>
      <c r="BA84" s="463"/>
      <c r="BB84" s="633"/>
    </row>
    <row r="85" spans="1:54" ht="11.25" customHeight="1" thickBot="1" x14ac:dyDescent="0.25">
      <c r="M85" s="164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206"/>
      <c r="AP85" s="315"/>
      <c r="AQ85" s="315"/>
      <c r="AR85" s="315"/>
      <c r="AS85" s="314"/>
      <c r="AT85" s="314"/>
      <c r="AU85" s="314"/>
      <c r="AV85" s="314"/>
      <c r="AW85" s="314"/>
      <c r="AX85" s="314"/>
      <c r="AY85" s="314"/>
      <c r="AZ85" s="314"/>
      <c r="BA85" s="314"/>
      <c r="BB85" s="314"/>
    </row>
    <row r="86" spans="1:54" ht="12" customHeight="1" x14ac:dyDescent="0.2">
      <c r="A86" s="634" t="s">
        <v>32</v>
      </c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34"/>
      <c r="O86" s="635" t="s">
        <v>33</v>
      </c>
      <c r="P86" s="636"/>
      <c r="Q86" s="636"/>
      <c r="R86" s="636"/>
      <c r="S86" s="636"/>
      <c r="T86" s="636"/>
      <c r="U86" s="636"/>
      <c r="V86" s="636"/>
      <c r="W86" s="636"/>
      <c r="X86" s="636"/>
      <c r="Y86" s="636"/>
      <c r="Z86" s="636"/>
      <c r="AA86" s="636"/>
      <c r="AB86" s="636"/>
      <c r="AC86" s="636"/>
      <c r="AD86" s="636"/>
      <c r="AE86" s="636"/>
      <c r="AF86" s="636"/>
      <c r="AG86" s="636"/>
      <c r="AH86" s="636"/>
      <c r="AI86" s="636"/>
      <c r="AJ86" s="636"/>
      <c r="AK86" s="636"/>
      <c r="AL86" s="636"/>
      <c r="AM86" s="636"/>
      <c r="AN86" s="636"/>
      <c r="AO86" s="637">
        <f>AS34+AS51+AS83</f>
        <v>394.33333333333337</v>
      </c>
      <c r="AP86" s="637"/>
      <c r="AQ86" s="637"/>
      <c r="AR86" s="637"/>
      <c r="AS86" s="637"/>
      <c r="AT86" s="637"/>
      <c r="AU86" s="637"/>
      <c r="AV86" s="637">
        <f>AX34+AX51+AX83</f>
        <v>11041.333333333334</v>
      </c>
      <c r="AW86" s="637"/>
      <c r="AX86" s="637"/>
      <c r="AY86" s="637"/>
      <c r="AZ86" s="637"/>
      <c r="BA86" s="637"/>
      <c r="BB86" s="638"/>
    </row>
    <row r="87" spans="1:54" ht="12" customHeight="1" thickBot="1" x14ac:dyDescent="0.25">
      <c r="M87" s="163"/>
      <c r="O87" s="643" t="s">
        <v>34</v>
      </c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4"/>
      <c r="AI87" s="644"/>
      <c r="AJ87" s="644"/>
      <c r="AK87" s="644"/>
      <c r="AL87" s="644"/>
      <c r="AM87" s="644"/>
      <c r="AN87" s="644"/>
      <c r="AO87" s="645">
        <f>AS35+AS52+AS84</f>
        <v>119.08866666666668</v>
      </c>
      <c r="AP87" s="645"/>
      <c r="AQ87" s="645"/>
      <c r="AR87" s="645"/>
      <c r="AS87" s="645"/>
      <c r="AT87" s="645"/>
      <c r="AU87" s="645"/>
      <c r="AV87" s="645">
        <f>AX35+AX52+AX84</f>
        <v>3334.4826666666668</v>
      </c>
      <c r="AW87" s="645"/>
      <c r="AX87" s="645"/>
      <c r="AY87" s="645"/>
      <c r="AZ87" s="645"/>
      <c r="BA87" s="645"/>
      <c r="BB87" s="646"/>
    </row>
    <row r="88" spans="1:54" ht="12" customHeight="1" thickBot="1" x14ac:dyDescent="0.25">
      <c r="M88" s="208" t="s">
        <v>35</v>
      </c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10"/>
      <c r="AO88" s="647">
        <f>AO87+AO86</f>
        <v>513.42200000000003</v>
      </c>
      <c r="AP88" s="648"/>
      <c r="AQ88" s="648"/>
      <c r="AR88" s="648"/>
      <c r="AS88" s="648"/>
      <c r="AT88" s="648"/>
      <c r="AU88" s="648"/>
      <c r="AV88" s="648">
        <f>AV86+AV87</f>
        <v>14375.816000000001</v>
      </c>
      <c r="AW88" s="648"/>
      <c r="AX88" s="648"/>
      <c r="AY88" s="648"/>
      <c r="AZ88" s="648"/>
      <c r="BA88" s="648"/>
      <c r="BB88" s="649"/>
    </row>
    <row r="89" spans="1:54" ht="10.5" customHeight="1" x14ac:dyDescent="0.2"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</row>
    <row r="90" spans="1:54" s="159" customFormat="1" ht="15" customHeight="1" x14ac:dyDescent="0.2">
      <c r="A90" s="159" t="s">
        <v>36</v>
      </c>
      <c r="C90" s="159" t="s">
        <v>37</v>
      </c>
      <c r="AX90" s="160"/>
      <c r="AY90" s="160"/>
      <c r="AZ90" s="160"/>
      <c r="BA90" s="160"/>
      <c r="BB90" s="160"/>
    </row>
    <row r="91" spans="1:54" ht="12" customHeight="1" thickBot="1" x14ac:dyDescent="0.25"/>
    <row r="92" spans="1:54" s="163" customFormat="1" ht="39" customHeight="1" x14ac:dyDescent="0.2">
      <c r="A92" s="499" t="s">
        <v>38</v>
      </c>
      <c r="B92" s="500"/>
      <c r="C92" s="500"/>
      <c r="D92" s="500"/>
      <c r="E92" s="500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35" t="s">
        <v>39</v>
      </c>
      <c r="R92" s="535"/>
      <c r="S92" s="535"/>
      <c r="T92" s="535"/>
      <c r="U92" s="535"/>
      <c r="V92" s="535"/>
      <c r="W92" s="535"/>
      <c r="X92" s="535" t="s">
        <v>40</v>
      </c>
      <c r="Y92" s="535"/>
      <c r="Z92" s="535"/>
      <c r="AA92" s="535"/>
      <c r="AB92" s="535"/>
      <c r="AC92" s="535"/>
      <c r="AD92" s="535"/>
      <c r="AE92" s="535" t="s">
        <v>41</v>
      </c>
      <c r="AF92" s="535"/>
      <c r="AG92" s="535"/>
      <c r="AH92" s="535"/>
      <c r="AI92" s="535"/>
      <c r="AJ92" s="535"/>
      <c r="AK92" s="535"/>
      <c r="AL92" s="535"/>
      <c r="AM92" s="500" t="s">
        <v>42</v>
      </c>
      <c r="AN92" s="500"/>
      <c r="AO92" s="500"/>
      <c r="AP92" s="500"/>
      <c r="AQ92" s="500"/>
      <c r="AR92" s="500"/>
      <c r="AS92" s="500"/>
      <c r="AT92" s="500"/>
      <c r="AU92" s="500"/>
      <c r="AV92" s="500" t="s">
        <v>43</v>
      </c>
      <c r="AW92" s="500"/>
      <c r="AX92" s="500"/>
      <c r="AY92" s="500"/>
      <c r="AZ92" s="500"/>
      <c r="BA92" s="500"/>
      <c r="BB92" s="639"/>
    </row>
    <row r="93" spans="1:54" s="163" customFormat="1" ht="12" customHeight="1" thickBot="1" x14ac:dyDescent="0.25">
      <c r="A93" s="640">
        <v>1</v>
      </c>
      <c r="B93" s="641"/>
      <c r="C93" s="641"/>
      <c r="D93" s="641"/>
      <c r="E93" s="641"/>
      <c r="F93" s="641"/>
      <c r="G93" s="641"/>
      <c r="H93" s="641"/>
      <c r="I93" s="641"/>
      <c r="J93" s="641"/>
      <c r="K93" s="641"/>
      <c r="L93" s="641"/>
      <c r="M93" s="641"/>
      <c r="N93" s="641"/>
      <c r="O93" s="641"/>
      <c r="P93" s="641"/>
      <c r="Q93" s="641">
        <v>2</v>
      </c>
      <c r="R93" s="641"/>
      <c r="S93" s="641"/>
      <c r="T93" s="641"/>
      <c r="U93" s="641"/>
      <c r="V93" s="641"/>
      <c r="W93" s="641"/>
      <c r="X93" s="641">
        <v>3</v>
      </c>
      <c r="Y93" s="641"/>
      <c r="Z93" s="641"/>
      <c r="AA93" s="641"/>
      <c r="AB93" s="641"/>
      <c r="AC93" s="641"/>
      <c r="AD93" s="641"/>
      <c r="AE93" s="641">
        <v>4</v>
      </c>
      <c r="AF93" s="641"/>
      <c r="AG93" s="641"/>
      <c r="AH93" s="641"/>
      <c r="AI93" s="641"/>
      <c r="AJ93" s="641"/>
      <c r="AK93" s="641"/>
      <c r="AL93" s="641"/>
      <c r="AM93" s="641">
        <v>5</v>
      </c>
      <c r="AN93" s="641"/>
      <c r="AO93" s="641"/>
      <c r="AP93" s="641"/>
      <c r="AQ93" s="641"/>
      <c r="AR93" s="641"/>
      <c r="AS93" s="641"/>
      <c r="AT93" s="641"/>
      <c r="AU93" s="641"/>
      <c r="AV93" s="641">
        <v>6</v>
      </c>
      <c r="AW93" s="641"/>
      <c r="AX93" s="641"/>
      <c r="AY93" s="641"/>
      <c r="AZ93" s="641"/>
      <c r="BA93" s="641"/>
      <c r="BB93" s="642"/>
    </row>
    <row r="94" spans="1:54" ht="15" customHeight="1" x14ac:dyDescent="0.2">
      <c r="A94" s="618" t="s">
        <v>44</v>
      </c>
      <c r="B94" s="619"/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9"/>
      <c r="Q94" s="572">
        <v>5014.7</v>
      </c>
      <c r="R94" s="573"/>
      <c r="S94" s="573"/>
      <c r="T94" s="573"/>
      <c r="U94" s="573"/>
      <c r="V94" s="573"/>
      <c r="W94" s="574"/>
      <c r="X94" s="572">
        <v>53.8</v>
      </c>
      <c r="Y94" s="573"/>
      <c r="Z94" s="573"/>
      <c r="AA94" s="573"/>
      <c r="AB94" s="573"/>
      <c r="AC94" s="573"/>
      <c r="AD94" s="574"/>
      <c r="AE94" s="477">
        <v>1543273.99</v>
      </c>
      <c r="AF94" s="477"/>
      <c r="AG94" s="477"/>
      <c r="AH94" s="477"/>
      <c r="AI94" s="477"/>
      <c r="AJ94" s="477"/>
      <c r="AK94" s="477"/>
      <c r="AL94" s="477"/>
      <c r="AM94" s="620" t="s">
        <v>45</v>
      </c>
      <c r="AN94" s="621"/>
      <c r="AO94" s="621"/>
      <c r="AP94" s="621"/>
      <c r="AQ94" s="621"/>
      <c r="AR94" s="621"/>
      <c r="AS94" s="621"/>
      <c r="AT94" s="621"/>
      <c r="AU94" s="622"/>
      <c r="AV94" s="615">
        <f>AE94/$Q$94*$X$94/($AN$95*$AN$96)</f>
        <v>5.5860157548413607</v>
      </c>
      <c r="AW94" s="615"/>
      <c r="AX94" s="615"/>
      <c r="AY94" s="615"/>
      <c r="AZ94" s="615"/>
      <c r="BA94" s="615"/>
      <c r="BB94" s="616"/>
    </row>
    <row r="95" spans="1:54" ht="15" customHeight="1" x14ac:dyDescent="0.2">
      <c r="A95" s="618" t="s">
        <v>46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/>
      <c r="R95" s="573"/>
      <c r="S95" s="573"/>
      <c r="T95" s="573"/>
      <c r="U95" s="573"/>
      <c r="V95" s="573"/>
      <c r="W95" s="574"/>
      <c r="X95" s="572"/>
      <c r="Y95" s="573"/>
      <c r="Z95" s="573"/>
      <c r="AA95" s="573"/>
      <c r="AB95" s="573"/>
      <c r="AC95" s="573"/>
      <c r="AD95" s="574"/>
      <c r="AE95" s="529">
        <v>2640483.81</v>
      </c>
      <c r="AF95" s="529"/>
      <c r="AG95" s="529"/>
      <c r="AH95" s="529"/>
      <c r="AI95" s="529"/>
      <c r="AJ95" s="529"/>
      <c r="AK95" s="529"/>
      <c r="AL95" s="529"/>
      <c r="AM95" s="213"/>
      <c r="AN95" s="623">
        <v>247</v>
      </c>
      <c r="AO95" s="623"/>
      <c r="AP95" s="623"/>
      <c r="AQ95" s="617" t="s">
        <v>47</v>
      </c>
      <c r="AR95" s="617"/>
      <c r="AS95" s="617"/>
      <c r="AT95" s="617"/>
      <c r="AU95" s="214"/>
      <c r="AV95" s="615">
        <f>AE95/$Q$94*$X$94/($AN$95*$AN$96)</f>
        <v>9.5574630678921384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449" t="s">
        <v>48</v>
      </c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  <c r="M96" s="450"/>
      <c r="N96" s="450"/>
      <c r="O96" s="450"/>
      <c r="P96" s="451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529">
        <v>4214618.8899999997</v>
      </c>
      <c r="AF96" s="529"/>
      <c r="AG96" s="529"/>
      <c r="AH96" s="529"/>
      <c r="AI96" s="529"/>
      <c r="AJ96" s="529"/>
      <c r="AK96" s="529"/>
      <c r="AL96" s="529"/>
      <c r="AM96" s="213"/>
      <c r="AN96" s="562">
        <v>12</v>
      </c>
      <c r="AO96" s="562"/>
      <c r="AP96" s="562"/>
      <c r="AQ96" s="617" t="s">
        <v>49</v>
      </c>
      <c r="AR96" s="617"/>
      <c r="AS96" s="617"/>
      <c r="AT96" s="617"/>
      <c r="AU96" s="214"/>
      <c r="AV96" s="615">
        <f>AE96/$Q$94*$X$94/($AN$95*$AN$96)</f>
        <v>15.255183248563661</v>
      </c>
      <c r="AW96" s="615"/>
      <c r="AX96" s="615"/>
      <c r="AY96" s="615"/>
      <c r="AZ96" s="615"/>
      <c r="BA96" s="615"/>
      <c r="BB96" s="616"/>
    </row>
    <row r="97" spans="1:57" ht="15" customHeight="1" thickBot="1" x14ac:dyDescent="0.25">
      <c r="A97" s="624" t="s">
        <v>50</v>
      </c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6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627">
        <v>1852856.09</v>
      </c>
      <c r="AF97" s="627"/>
      <c r="AG97" s="627"/>
      <c r="AH97" s="627"/>
      <c r="AI97" s="627"/>
      <c r="AJ97" s="627"/>
      <c r="AK97" s="627"/>
      <c r="AL97" s="627"/>
      <c r="AM97" s="213"/>
      <c r="AN97" s="186"/>
      <c r="AO97" s="186"/>
      <c r="AP97" s="186"/>
      <c r="AQ97" s="186"/>
      <c r="AR97" s="186"/>
      <c r="AS97" s="186"/>
      <c r="AT97" s="186"/>
      <c r="AU97" s="214"/>
      <c r="AV97" s="628">
        <f>AE97/$Q$94*$X$94/($AN$95*$AN$96)</f>
        <v>6.7065753568449384</v>
      </c>
      <c r="AW97" s="628"/>
      <c r="AX97" s="628"/>
      <c r="AY97" s="628"/>
      <c r="AZ97" s="628"/>
      <c r="BA97" s="628"/>
      <c r="BB97" s="629"/>
    </row>
    <row r="98" spans="1:57" s="161" customFormat="1" ht="15" customHeight="1" thickBot="1" x14ac:dyDescent="0.25">
      <c r="A98" s="610" t="s">
        <v>51</v>
      </c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531">
        <f>Q94</f>
        <v>5014.7</v>
      </c>
      <c r="R98" s="533"/>
      <c r="S98" s="533"/>
      <c r="T98" s="533"/>
      <c r="U98" s="533"/>
      <c r="V98" s="533"/>
      <c r="W98" s="534"/>
      <c r="X98" s="531">
        <f>X94</f>
        <v>53.8</v>
      </c>
      <c r="Y98" s="533"/>
      <c r="Z98" s="533"/>
      <c r="AA98" s="533"/>
      <c r="AB98" s="533"/>
      <c r="AC98" s="533"/>
      <c r="AD98" s="534"/>
      <c r="AE98" s="612">
        <f>SUM(AE94:AL97)</f>
        <v>10251232.779999999</v>
      </c>
      <c r="AF98" s="612"/>
      <c r="AG98" s="612"/>
      <c r="AH98" s="612"/>
      <c r="AI98" s="612"/>
      <c r="AJ98" s="612"/>
      <c r="AK98" s="612"/>
      <c r="AL98" s="612"/>
      <c r="AM98" s="531" t="s">
        <v>17</v>
      </c>
      <c r="AN98" s="533"/>
      <c r="AO98" s="533"/>
      <c r="AP98" s="533"/>
      <c r="AQ98" s="533"/>
      <c r="AR98" s="533"/>
      <c r="AS98" s="533"/>
      <c r="AT98" s="533"/>
      <c r="AU98" s="534"/>
      <c r="AV98" s="613">
        <f>SUM(AV94:BB97)</f>
        <v>37.105237428142097</v>
      </c>
      <c r="AW98" s="613"/>
      <c r="AX98" s="613"/>
      <c r="AY98" s="613"/>
      <c r="AZ98" s="613"/>
      <c r="BA98" s="613"/>
      <c r="BB98" s="614"/>
    </row>
    <row r="99" spans="1:57" ht="12" customHeight="1" x14ac:dyDescent="0.2"/>
    <row r="100" spans="1:57" s="159" customFormat="1" ht="15" customHeight="1" x14ac:dyDescent="0.2">
      <c r="A100" s="159" t="s">
        <v>52</v>
      </c>
      <c r="C100" s="159" t="s">
        <v>53</v>
      </c>
      <c r="AX100" s="160"/>
      <c r="AY100" s="160"/>
      <c r="AZ100" s="160"/>
      <c r="BA100" s="160"/>
      <c r="BB100" s="160"/>
    </row>
    <row r="101" spans="1:57" ht="12" customHeight="1" thickBot="1" x14ac:dyDescent="0.25"/>
    <row r="102" spans="1:57" ht="39" customHeight="1" x14ac:dyDescent="0.2">
      <c r="A102" s="585" t="s">
        <v>54</v>
      </c>
      <c r="B102" s="586"/>
      <c r="C102" s="586"/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7"/>
      <c r="AA102" s="536" t="s">
        <v>55</v>
      </c>
      <c r="AB102" s="537"/>
      <c r="AC102" s="537"/>
      <c r="AD102" s="537"/>
      <c r="AE102" s="537"/>
      <c r="AF102" s="538"/>
      <c r="AG102" s="536" t="s">
        <v>56</v>
      </c>
      <c r="AH102" s="537"/>
      <c r="AI102" s="537"/>
      <c r="AJ102" s="537"/>
      <c r="AK102" s="537"/>
      <c r="AL102" s="538"/>
      <c r="AM102" s="588" t="s">
        <v>57</v>
      </c>
      <c r="AN102" s="586"/>
      <c r="AO102" s="586"/>
      <c r="AP102" s="586"/>
      <c r="AQ102" s="586"/>
      <c r="AR102" s="586"/>
      <c r="AS102" s="586"/>
      <c r="AT102" s="587"/>
      <c r="AU102" s="588" t="s">
        <v>43</v>
      </c>
      <c r="AV102" s="586"/>
      <c r="AW102" s="586"/>
      <c r="AX102" s="586"/>
      <c r="AY102" s="586"/>
      <c r="AZ102" s="586"/>
      <c r="BA102" s="586"/>
      <c r="BB102" s="589"/>
    </row>
    <row r="103" spans="1:57" ht="15.75" customHeight="1" thickBot="1" x14ac:dyDescent="0.25">
      <c r="A103" s="564">
        <v>1</v>
      </c>
      <c r="B103" s="475"/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5"/>
      <c r="O103" s="475"/>
      <c r="P103" s="475"/>
      <c r="Q103" s="475"/>
      <c r="R103" s="475"/>
      <c r="S103" s="475"/>
      <c r="T103" s="475"/>
      <c r="U103" s="475"/>
      <c r="V103" s="475"/>
      <c r="W103" s="475"/>
      <c r="X103" s="475"/>
      <c r="Y103" s="475"/>
      <c r="Z103" s="476"/>
      <c r="AA103" s="474">
        <v>2</v>
      </c>
      <c r="AB103" s="475"/>
      <c r="AC103" s="475"/>
      <c r="AD103" s="475"/>
      <c r="AE103" s="475"/>
      <c r="AF103" s="476"/>
      <c r="AG103" s="474">
        <v>3</v>
      </c>
      <c r="AH103" s="475"/>
      <c r="AI103" s="475"/>
      <c r="AJ103" s="475"/>
      <c r="AK103" s="475"/>
      <c r="AL103" s="476"/>
      <c r="AM103" s="474">
        <v>4</v>
      </c>
      <c r="AN103" s="475"/>
      <c r="AO103" s="475"/>
      <c r="AP103" s="475"/>
      <c r="AQ103" s="475"/>
      <c r="AR103" s="475"/>
      <c r="AS103" s="475"/>
      <c r="AT103" s="476"/>
      <c r="AU103" s="474">
        <v>5</v>
      </c>
      <c r="AV103" s="475"/>
      <c r="AW103" s="475"/>
      <c r="AX103" s="475"/>
      <c r="AY103" s="475"/>
      <c r="AZ103" s="475"/>
      <c r="BA103" s="475"/>
      <c r="BB103" s="565"/>
    </row>
    <row r="104" spans="1:57" ht="1.5" hidden="1" customHeight="1" x14ac:dyDescent="0.2">
      <c r="A104" s="566" t="s">
        <v>77</v>
      </c>
      <c r="B104" s="567"/>
      <c r="C104" s="567"/>
      <c r="D104" s="567"/>
      <c r="E104" s="567"/>
      <c r="F104" s="567"/>
      <c r="G104" s="567"/>
      <c r="H104" s="567"/>
      <c r="I104" s="567"/>
      <c r="J104" s="567"/>
      <c r="K104" s="567"/>
      <c r="L104" s="567"/>
      <c r="M104" s="567"/>
      <c r="N104" s="567"/>
      <c r="O104" s="567"/>
      <c r="P104" s="567"/>
      <c r="Q104" s="567"/>
      <c r="R104" s="567"/>
      <c r="S104" s="567"/>
      <c r="T104" s="567"/>
      <c r="U104" s="567"/>
      <c r="V104" s="567"/>
      <c r="W104" s="567"/>
      <c r="X104" s="567"/>
      <c r="Y104" s="567"/>
      <c r="Z104" s="568"/>
      <c r="AA104" s="604"/>
      <c r="AB104" s="605"/>
      <c r="AC104" s="605"/>
      <c r="AD104" s="605"/>
      <c r="AE104" s="605"/>
      <c r="AF104" s="606"/>
      <c r="AG104" s="569">
        <f>U12</f>
        <v>28</v>
      </c>
      <c r="AH104" s="570"/>
      <c r="AI104" s="570"/>
      <c r="AJ104" s="570"/>
      <c r="AK104" s="570"/>
      <c r="AL104" s="571"/>
      <c r="AM104" s="569" t="s">
        <v>58</v>
      </c>
      <c r="AN104" s="570"/>
      <c r="AO104" s="570"/>
      <c r="AP104" s="570"/>
      <c r="AQ104" s="570"/>
      <c r="AR104" s="570"/>
      <c r="AS104" s="570"/>
      <c r="AT104" s="571"/>
      <c r="AU104" s="607">
        <f>AA104/AG104</f>
        <v>0</v>
      </c>
      <c r="AV104" s="608"/>
      <c r="AW104" s="608"/>
      <c r="AX104" s="608"/>
      <c r="AY104" s="608"/>
      <c r="AZ104" s="608"/>
      <c r="BA104" s="608"/>
      <c r="BB104" s="609"/>
    </row>
    <row r="105" spans="1:57" ht="20.25" customHeight="1" x14ac:dyDescent="0.2">
      <c r="A105" s="853" t="s">
        <v>90</v>
      </c>
      <c r="B105" s="854"/>
      <c r="C105" s="854"/>
      <c r="D105" s="854"/>
      <c r="E105" s="854"/>
      <c r="F105" s="854"/>
      <c r="G105" s="854"/>
      <c r="H105" s="854"/>
      <c r="I105" s="854"/>
      <c r="J105" s="854"/>
      <c r="K105" s="854"/>
      <c r="L105" s="854"/>
      <c r="M105" s="854"/>
      <c r="N105" s="854"/>
      <c r="O105" s="854"/>
      <c r="P105" s="854"/>
      <c r="Q105" s="854"/>
      <c r="R105" s="854"/>
      <c r="S105" s="854"/>
      <c r="T105" s="854"/>
      <c r="U105" s="854"/>
      <c r="V105" s="854"/>
      <c r="W105" s="854"/>
      <c r="X105" s="854"/>
      <c r="Y105" s="854"/>
      <c r="Z105" s="855"/>
      <c r="AA105" s="596">
        <v>300</v>
      </c>
      <c r="AB105" s="597"/>
      <c r="AC105" s="597"/>
      <c r="AD105" s="597"/>
      <c r="AE105" s="597"/>
      <c r="AF105" s="59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590">
        <f>AA105/AG104</f>
        <v>10.714285714285714</v>
      </c>
      <c r="AV105" s="591"/>
      <c r="AW105" s="591"/>
      <c r="AX105" s="591"/>
      <c r="AY105" s="591"/>
      <c r="AZ105" s="591"/>
      <c r="BA105" s="591"/>
      <c r="BB105" s="592"/>
    </row>
    <row r="106" spans="1:57" ht="20.25" customHeight="1" x14ac:dyDescent="0.2">
      <c r="A106" s="853" t="s">
        <v>138</v>
      </c>
      <c r="B106" s="854"/>
      <c r="C106" s="854"/>
      <c r="D106" s="854"/>
      <c r="E106" s="854"/>
      <c r="F106" s="854"/>
      <c r="G106" s="854"/>
      <c r="H106" s="854"/>
      <c r="I106" s="854"/>
      <c r="J106" s="854"/>
      <c r="K106" s="854"/>
      <c r="L106" s="854"/>
      <c r="M106" s="854"/>
      <c r="N106" s="854"/>
      <c r="O106" s="854"/>
      <c r="P106" s="854"/>
      <c r="Q106" s="854"/>
      <c r="R106" s="854"/>
      <c r="S106" s="854"/>
      <c r="T106" s="854"/>
      <c r="U106" s="854"/>
      <c r="V106" s="854"/>
      <c r="W106" s="854"/>
      <c r="X106" s="854"/>
      <c r="Y106" s="854"/>
      <c r="Z106" s="855"/>
      <c r="AA106" s="596">
        <v>200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AA106/AG104</f>
        <v>7.1428571428571432</v>
      </c>
      <c r="AV106" s="591"/>
      <c r="AW106" s="591"/>
      <c r="AX106" s="591"/>
      <c r="AY106" s="591"/>
      <c r="AZ106" s="591"/>
      <c r="BA106" s="591"/>
      <c r="BB106" s="592"/>
      <c r="BE106" s="117">
        <f>AU106*12*4</f>
        <v>342.85714285714289</v>
      </c>
    </row>
    <row r="107" spans="1:57" ht="22.5" customHeight="1" x14ac:dyDescent="0.2">
      <c r="A107" s="853" t="s">
        <v>520</v>
      </c>
      <c r="B107" s="854"/>
      <c r="C107" s="854"/>
      <c r="D107" s="854"/>
      <c r="E107" s="854"/>
      <c r="F107" s="854"/>
      <c r="G107" s="854"/>
      <c r="H107" s="854"/>
      <c r="I107" s="854"/>
      <c r="J107" s="854"/>
      <c r="K107" s="854"/>
      <c r="L107" s="854"/>
      <c r="M107" s="854"/>
      <c r="N107" s="854"/>
      <c r="O107" s="854"/>
      <c r="P107" s="854"/>
      <c r="Q107" s="854"/>
      <c r="R107" s="854"/>
      <c r="S107" s="854"/>
      <c r="T107" s="854"/>
      <c r="U107" s="854"/>
      <c r="V107" s="854"/>
      <c r="W107" s="854"/>
      <c r="X107" s="854"/>
      <c r="Y107" s="854"/>
      <c r="Z107" s="855"/>
      <c r="AA107" s="596">
        <v>180</v>
      </c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AA107/AG104</f>
        <v>6.4285714285714288</v>
      </c>
      <c r="AV107" s="591"/>
      <c r="AW107" s="591"/>
      <c r="AX107" s="591"/>
      <c r="AY107" s="591"/>
      <c r="AZ107" s="591"/>
      <c r="BA107" s="591"/>
      <c r="BB107" s="592"/>
    </row>
    <row r="108" spans="1:57" ht="26.25" customHeight="1" x14ac:dyDescent="0.2">
      <c r="A108" s="833" t="s">
        <v>103</v>
      </c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3"/>
      <c r="AA108" s="596">
        <v>268.75</v>
      </c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>
        <f>AA108/AG104</f>
        <v>9.5982142857142865</v>
      </c>
      <c r="AV108" s="591"/>
      <c r="AW108" s="591"/>
      <c r="AX108" s="591"/>
      <c r="AY108" s="591"/>
      <c r="AZ108" s="591"/>
      <c r="BA108" s="591"/>
      <c r="BB108" s="592"/>
    </row>
    <row r="109" spans="1:57" ht="19.5" customHeight="1" x14ac:dyDescent="0.2">
      <c r="A109" s="853" t="s">
        <v>104</v>
      </c>
      <c r="B109" s="854"/>
      <c r="C109" s="854"/>
      <c r="D109" s="854"/>
      <c r="E109" s="854"/>
      <c r="F109" s="854"/>
      <c r="G109" s="854"/>
      <c r="H109" s="854"/>
      <c r="I109" s="854"/>
      <c r="J109" s="854"/>
      <c r="K109" s="854"/>
      <c r="L109" s="854"/>
      <c r="M109" s="854"/>
      <c r="N109" s="854"/>
      <c r="O109" s="854"/>
      <c r="P109" s="854"/>
      <c r="Q109" s="854"/>
      <c r="R109" s="854"/>
      <c r="S109" s="854"/>
      <c r="T109" s="854"/>
      <c r="U109" s="854"/>
      <c r="V109" s="854"/>
      <c r="W109" s="854"/>
      <c r="X109" s="854"/>
      <c r="Y109" s="854"/>
      <c r="Z109" s="855"/>
      <c r="AA109" s="596">
        <v>100</v>
      </c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590">
        <f>AA109/AG104</f>
        <v>3.5714285714285716</v>
      </c>
      <c r="AV109" s="591"/>
      <c r="AW109" s="591"/>
      <c r="AX109" s="591"/>
      <c r="AY109" s="591"/>
      <c r="AZ109" s="591"/>
      <c r="BA109" s="591"/>
      <c r="BB109" s="592"/>
    </row>
    <row r="110" spans="1:57" ht="19.5" customHeight="1" x14ac:dyDescent="0.2">
      <c r="A110" s="853" t="s">
        <v>76</v>
      </c>
      <c r="B110" s="854"/>
      <c r="C110" s="854"/>
      <c r="D110" s="854"/>
      <c r="E110" s="854"/>
      <c r="F110" s="854"/>
      <c r="G110" s="854"/>
      <c r="H110" s="854"/>
      <c r="I110" s="854"/>
      <c r="J110" s="854"/>
      <c r="K110" s="854"/>
      <c r="L110" s="854"/>
      <c r="M110" s="854"/>
      <c r="N110" s="854"/>
      <c r="O110" s="854"/>
      <c r="P110" s="854"/>
      <c r="Q110" s="854"/>
      <c r="R110" s="854"/>
      <c r="S110" s="854"/>
      <c r="T110" s="854"/>
      <c r="U110" s="854"/>
      <c r="V110" s="854"/>
      <c r="W110" s="854"/>
      <c r="X110" s="854"/>
      <c r="Y110" s="854"/>
      <c r="Z110" s="855"/>
      <c r="AA110" s="596">
        <v>220</v>
      </c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590">
        <f>AA110/AG104</f>
        <v>7.8571428571428568</v>
      </c>
      <c r="AV110" s="591"/>
      <c r="AW110" s="591"/>
      <c r="AX110" s="591"/>
      <c r="AY110" s="591"/>
      <c r="AZ110" s="591"/>
      <c r="BA110" s="591"/>
      <c r="BB110" s="592"/>
    </row>
    <row r="111" spans="1:57" ht="19.5" customHeight="1" x14ac:dyDescent="0.2">
      <c r="A111" s="853" t="s">
        <v>121</v>
      </c>
      <c r="B111" s="854"/>
      <c r="C111" s="854"/>
      <c r="D111" s="854"/>
      <c r="E111" s="854"/>
      <c r="F111" s="854"/>
      <c r="G111" s="854"/>
      <c r="H111" s="854"/>
      <c r="I111" s="854"/>
      <c r="J111" s="854"/>
      <c r="K111" s="854"/>
      <c r="L111" s="854"/>
      <c r="M111" s="854"/>
      <c r="N111" s="854"/>
      <c r="O111" s="854"/>
      <c r="P111" s="854"/>
      <c r="Q111" s="854"/>
      <c r="R111" s="854"/>
      <c r="S111" s="854"/>
      <c r="T111" s="854"/>
      <c r="U111" s="854"/>
      <c r="V111" s="854"/>
      <c r="W111" s="854"/>
      <c r="X111" s="854"/>
      <c r="Y111" s="854"/>
      <c r="Z111" s="855"/>
      <c r="AA111" s="596">
        <v>170</v>
      </c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AA111/AG104</f>
        <v>6.0714285714285712</v>
      </c>
      <c r="AV111" s="591"/>
      <c r="AW111" s="591"/>
      <c r="AX111" s="591"/>
      <c r="AY111" s="591"/>
      <c r="AZ111" s="591"/>
      <c r="BA111" s="591"/>
      <c r="BB111" s="592"/>
    </row>
    <row r="112" spans="1:57" ht="19.5" customHeight="1" x14ac:dyDescent="0.25">
      <c r="A112" s="853" t="s">
        <v>654</v>
      </c>
      <c r="B112" s="1376"/>
      <c r="C112" s="1376"/>
      <c r="D112" s="1376"/>
      <c r="E112" s="1376"/>
      <c r="F112" s="1376"/>
      <c r="G112" s="1376"/>
      <c r="H112" s="1376"/>
      <c r="I112" s="1376"/>
      <c r="J112" s="1376"/>
      <c r="K112" s="1376"/>
      <c r="L112" s="1376"/>
      <c r="M112" s="1376"/>
      <c r="N112" s="1376"/>
      <c r="O112" s="1376"/>
      <c r="P112" s="1376"/>
      <c r="Q112" s="1376"/>
      <c r="R112" s="1376"/>
      <c r="S112" s="1376"/>
      <c r="T112" s="1376"/>
      <c r="U112" s="1376"/>
      <c r="V112" s="1376"/>
      <c r="W112" s="1376"/>
      <c r="X112" s="1376"/>
      <c r="Y112" s="1376"/>
      <c r="Z112" s="1377"/>
      <c r="AA112" s="596">
        <v>67.385499999999993</v>
      </c>
      <c r="AB112" s="838"/>
      <c r="AC112" s="838"/>
      <c r="AD112" s="838"/>
      <c r="AE112" s="838"/>
      <c r="AF112" s="839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AA112/AG103</f>
        <v>22.461833333333331</v>
      </c>
      <c r="AV112" s="836"/>
      <c r="AW112" s="836"/>
      <c r="AX112" s="836"/>
      <c r="AY112" s="836"/>
      <c r="AZ112" s="836"/>
      <c r="BA112" s="836"/>
      <c r="BB112" s="837"/>
    </row>
    <row r="113" spans="1:54" ht="19.5" customHeight="1" x14ac:dyDescent="0.25">
      <c r="A113" s="853" t="s">
        <v>653</v>
      </c>
      <c r="B113" s="1376"/>
      <c r="C113" s="1376"/>
      <c r="D113" s="1376"/>
      <c r="E113" s="1376"/>
      <c r="F113" s="1376"/>
      <c r="G113" s="1376"/>
      <c r="H113" s="1376"/>
      <c r="I113" s="1376"/>
      <c r="J113" s="1376"/>
      <c r="K113" s="1376"/>
      <c r="L113" s="1376"/>
      <c r="M113" s="1376"/>
      <c r="N113" s="1376"/>
      <c r="O113" s="1376"/>
      <c r="P113" s="1376"/>
      <c r="Q113" s="1376"/>
      <c r="R113" s="1376"/>
      <c r="S113" s="1376"/>
      <c r="T113" s="1376"/>
      <c r="U113" s="1376"/>
      <c r="V113" s="1376"/>
      <c r="W113" s="1376"/>
      <c r="X113" s="1376"/>
      <c r="Y113" s="1376"/>
      <c r="Z113" s="1377"/>
      <c r="AA113" s="596">
        <v>300</v>
      </c>
      <c r="AB113" s="838"/>
      <c r="AC113" s="838"/>
      <c r="AD113" s="838"/>
      <c r="AE113" s="838"/>
      <c r="AF113" s="839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AA113/AG104</f>
        <v>10.714285714285714</v>
      </c>
      <c r="AV113" s="836"/>
      <c r="AW113" s="836"/>
      <c r="AX113" s="836"/>
      <c r="AY113" s="836"/>
      <c r="AZ113" s="836"/>
      <c r="BA113" s="836"/>
      <c r="BB113" s="837"/>
    </row>
    <row r="114" spans="1:54" ht="19.5" customHeight="1" x14ac:dyDescent="0.2">
      <c r="A114" s="853" t="s">
        <v>511</v>
      </c>
      <c r="B114" s="854"/>
      <c r="C114" s="854"/>
      <c r="D114" s="854"/>
      <c r="E114" s="854"/>
      <c r="F114" s="854"/>
      <c r="G114" s="854"/>
      <c r="H114" s="854"/>
      <c r="I114" s="854"/>
      <c r="J114" s="854"/>
      <c r="K114" s="854"/>
      <c r="L114" s="854"/>
      <c r="M114" s="854"/>
      <c r="N114" s="854"/>
      <c r="O114" s="854"/>
      <c r="P114" s="854"/>
      <c r="Q114" s="854"/>
      <c r="R114" s="854"/>
      <c r="S114" s="854"/>
      <c r="T114" s="854"/>
      <c r="U114" s="854"/>
      <c r="V114" s="854"/>
      <c r="W114" s="854"/>
      <c r="X114" s="854"/>
      <c r="Y114" s="854"/>
      <c r="Z114" s="855"/>
      <c r="AA114" s="596">
        <v>280</v>
      </c>
      <c r="AB114" s="597"/>
      <c r="AC114" s="597"/>
      <c r="AD114" s="597"/>
      <c r="AE114" s="597"/>
      <c r="AF114" s="598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AA114/AG104</f>
        <v>10</v>
      </c>
      <c r="AV114" s="591"/>
      <c r="AW114" s="591"/>
      <c r="AX114" s="591"/>
      <c r="AY114" s="591"/>
      <c r="AZ114" s="591"/>
      <c r="BA114" s="591"/>
      <c r="BB114" s="592"/>
    </row>
    <row r="115" spans="1:54" ht="19.5" customHeight="1" x14ac:dyDescent="0.2">
      <c r="A115" s="853" t="s">
        <v>512</v>
      </c>
      <c r="B115" s="854"/>
      <c r="C115" s="854"/>
      <c r="D115" s="854"/>
      <c r="E115" s="854"/>
      <c r="F115" s="854"/>
      <c r="G115" s="854"/>
      <c r="H115" s="854"/>
      <c r="I115" s="854"/>
      <c r="J115" s="854"/>
      <c r="K115" s="854"/>
      <c r="L115" s="854"/>
      <c r="M115" s="854"/>
      <c r="N115" s="854"/>
      <c r="O115" s="854"/>
      <c r="P115" s="854"/>
      <c r="Q115" s="854"/>
      <c r="R115" s="854"/>
      <c r="S115" s="854"/>
      <c r="T115" s="854"/>
      <c r="U115" s="854"/>
      <c r="V115" s="854"/>
      <c r="W115" s="854"/>
      <c r="X115" s="854"/>
      <c r="Y115" s="854"/>
      <c r="Z115" s="855"/>
      <c r="AA115" s="596">
        <v>300</v>
      </c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AA115/AG104</f>
        <v>10.714285714285714</v>
      </c>
      <c r="AV115" s="591"/>
      <c r="AW115" s="591"/>
      <c r="AX115" s="591"/>
      <c r="AY115" s="591"/>
      <c r="AZ115" s="591"/>
      <c r="BA115" s="591"/>
      <c r="BB115" s="592"/>
    </row>
    <row r="116" spans="1:54" ht="21.75" customHeight="1" x14ac:dyDescent="0.2">
      <c r="A116" s="853" t="s">
        <v>105</v>
      </c>
      <c r="B116" s="854"/>
      <c r="C116" s="854"/>
      <c r="D116" s="854"/>
      <c r="E116" s="854"/>
      <c r="F116" s="854"/>
      <c r="G116" s="854"/>
      <c r="H116" s="854"/>
      <c r="I116" s="854"/>
      <c r="J116" s="854"/>
      <c r="K116" s="854"/>
      <c r="L116" s="854"/>
      <c r="M116" s="854"/>
      <c r="N116" s="854"/>
      <c r="O116" s="854"/>
      <c r="P116" s="854"/>
      <c r="Q116" s="854"/>
      <c r="R116" s="854"/>
      <c r="S116" s="854"/>
      <c r="T116" s="854"/>
      <c r="U116" s="854"/>
      <c r="V116" s="854"/>
      <c r="W116" s="854"/>
      <c r="X116" s="854"/>
      <c r="Y116" s="854"/>
      <c r="Z116" s="855"/>
      <c r="AA116" s="596">
        <v>200</v>
      </c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AA116/AG104</f>
        <v>7.1428571428571432</v>
      </c>
      <c r="AV116" s="591"/>
      <c r="AW116" s="591"/>
      <c r="AX116" s="591"/>
      <c r="AY116" s="591"/>
      <c r="AZ116" s="591"/>
      <c r="BA116" s="591"/>
      <c r="BB116" s="592"/>
    </row>
    <row r="117" spans="1:54" ht="19.5" hidden="1" customHeight="1" x14ac:dyDescent="0.2">
      <c r="A117" s="593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AA117/AG104</f>
        <v>0</v>
      </c>
      <c r="AV117" s="591"/>
      <c r="AW117" s="591"/>
      <c r="AX117" s="591"/>
      <c r="AY117" s="591"/>
      <c r="AZ117" s="591"/>
      <c r="BA117" s="591"/>
      <c r="BB117" s="592"/>
    </row>
    <row r="118" spans="1:54" ht="20.25" hidden="1" customHeight="1" x14ac:dyDescent="0.2">
      <c r="A118" s="593"/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596"/>
      <c r="AB118" s="597"/>
      <c r="AC118" s="597"/>
      <c r="AD118" s="597"/>
      <c r="AE118" s="597"/>
      <c r="AF118" s="59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AA118/AG104</f>
        <v>0</v>
      </c>
      <c r="AV118" s="591"/>
      <c r="AW118" s="591"/>
      <c r="AX118" s="591"/>
      <c r="AY118" s="591"/>
      <c r="AZ118" s="591"/>
      <c r="BA118" s="591"/>
      <c r="BB118" s="592"/>
    </row>
    <row r="119" spans="1:54" ht="16.5" hidden="1" customHeight="1" x14ac:dyDescent="0.2">
      <c r="A119" s="593"/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596"/>
      <c r="AB119" s="597"/>
      <c r="AC119" s="597"/>
      <c r="AD119" s="597"/>
      <c r="AE119" s="597"/>
      <c r="AF119" s="59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AA119/AG104</f>
        <v>0</v>
      </c>
      <c r="AV119" s="591"/>
      <c r="AW119" s="591"/>
      <c r="AX119" s="591"/>
      <c r="AY119" s="591"/>
      <c r="AZ119" s="591"/>
      <c r="BA119" s="591"/>
      <c r="BB119" s="592"/>
    </row>
    <row r="120" spans="1:54" s="161" customFormat="1" ht="19.5" hidden="1" customHeight="1" x14ac:dyDescent="0.2">
      <c r="A120" s="593"/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5"/>
      <c r="AA120" s="596"/>
      <c r="AB120" s="597"/>
      <c r="AC120" s="597"/>
      <c r="AD120" s="597"/>
      <c r="AE120" s="597"/>
      <c r="AF120" s="598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90">
        <f>AA120/AG104</f>
        <v>0</v>
      </c>
      <c r="AV120" s="591"/>
      <c r="AW120" s="591"/>
      <c r="AX120" s="591"/>
      <c r="AY120" s="591"/>
      <c r="AZ120" s="591"/>
      <c r="BA120" s="591"/>
      <c r="BB120" s="592"/>
    </row>
    <row r="121" spans="1:54" ht="1.5" hidden="1" customHeight="1" x14ac:dyDescent="0.2">
      <c r="A121" s="593"/>
      <c r="B121" s="594"/>
      <c r="C121" s="594"/>
      <c r="D121" s="594"/>
      <c r="E121" s="594"/>
      <c r="F121" s="594"/>
      <c r="G121" s="594"/>
      <c r="H121" s="594"/>
      <c r="I121" s="594"/>
      <c r="J121" s="594"/>
      <c r="K121" s="594"/>
      <c r="L121" s="594"/>
      <c r="M121" s="594"/>
      <c r="N121" s="594"/>
      <c r="O121" s="594"/>
      <c r="P121" s="594"/>
      <c r="Q121" s="594"/>
      <c r="R121" s="594"/>
      <c r="S121" s="594"/>
      <c r="T121" s="594"/>
      <c r="U121" s="594"/>
      <c r="V121" s="594"/>
      <c r="W121" s="594"/>
      <c r="X121" s="594"/>
      <c r="Y121" s="594"/>
      <c r="Z121" s="595"/>
      <c r="AA121" s="596"/>
      <c r="AB121" s="597"/>
      <c r="AC121" s="597"/>
      <c r="AD121" s="597"/>
      <c r="AE121" s="597"/>
      <c r="AF121" s="598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590">
        <f>AA121/AG104</f>
        <v>0</v>
      </c>
      <c r="AV121" s="591"/>
      <c r="AW121" s="591"/>
      <c r="AX121" s="591"/>
      <c r="AY121" s="591"/>
      <c r="AZ121" s="591"/>
      <c r="BA121" s="591"/>
      <c r="BB121" s="592"/>
    </row>
    <row r="122" spans="1:54" s="159" customFormat="1" ht="17.25" hidden="1" customHeight="1" x14ac:dyDescent="0.2">
      <c r="A122" s="593"/>
      <c r="B122" s="594"/>
      <c r="C122" s="594"/>
      <c r="D122" s="594"/>
      <c r="E122" s="594"/>
      <c r="F122" s="594"/>
      <c r="G122" s="594"/>
      <c r="H122" s="594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4"/>
      <c r="Z122" s="595"/>
      <c r="AA122" s="596"/>
      <c r="AB122" s="597"/>
      <c r="AC122" s="597"/>
      <c r="AD122" s="597"/>
      <c r="AE122" s="597"/>
      <c r="AF122" s="598"/>
      <c r="AG122" s="572"/>
      <c r="AH122" s="573"/>
      <c r="AI122" s="573"/>
      <c r="AJ122" s="573"/>
      <c r="AK122" s="573"/>
      <c r="AL122" s="574"/>
      <c r="AM122" s="572"/>
      <c r="AN122" s="573"/>
      <c r="AO122" s="573"/>
      <c r="AP122" s="573"/>
      <c r="AQ122" s="573"/>
      <c r="AR122" s="573"/>
      <c r="AS122" s="573"/>
      <c r="AT122" s="574"/>
      <c r="AU122" s="590">
        <f>AA122/AG104</f>
        <v>0</v>
      </c>
      <c r="AV122" s="591"/>
      <c r="AW122" s="591"/>
      <c r="AX122" s="591"/>
      <c r="AY122" s="591"/>
      <c r="AZ122" s="591"/>
      <c r="BA122" s="591"/>
      <c r="BB122" s="592"/>
    </row>
    <row r="123" spans="1:54" ht="20.25" hidden="1" customHeight="1" x14ac:dyDescent="0.2">
      <c r="A123" s="593"/>
      <c r="B123" s="594"/>
      <c r="C123" s="594"/>
      <c r="D123" s="594"/>
      <c r="E123" s="594"/>
      <c r="F123" s="594"/>
      <c r="G123" s="594"/>
      <c r="H123" s="594"/>
      <c r="I123" s="594"/>
      <c r="J123" s="594"/>
      <c r="K123" s="594"/>
      <c r="L123" s="594"/>
      <c r="M123" s="594"/>
      <c r="N123" s="594"/>
      <c r="O123" s="594"/>
      <c r="P123" s="594"/>
      <c r="Q123" s="594"/>
      <c r="R123" s="594"/>
      <c r="S123" s="594"/>
      <c r="T123" s="594"/>
      <c r="U123" s="594"/>
      <c r="V123" s="594"/>
      <c r="W123" s="594"/>
      <c r="X123" s="594"/>
      <c r="Y123" s="594"/>
      <c r="Z123" s="595"/>
      <c r="AA123" s="596"/>
      <c r="AB123" s="597"/>
      <c r="AC123" s="597"/>
      <c r="AD123" s="597"/>
      <c r="AE123" s="597"/>
      <c r="AF123" s="598"/>
      <c r="AG123" s="572"/>
      <c r="AH123" s="573"/>
      <c r="AI123" s="573"/>
      <c r="AJ123" s="573"/>
      <c r="AK123" s="573"/>
      <c r="AL123" s="574"/>
      <c r="AM123" s="572"/>
      <c r="AN123" s="573"/>
      <c r="AO123" s="573"/>
      <c r="AP123" s="573"/>
      <c r="AQ123" s="573"/>
      <c r="AR123" s="573"/>
      <c r="AS123" s="573"/>
      <c r="AT123" s="574"/>
      <c r="AU123" s="590">
        <f>AA123/AG104</f>
        <v>0</v>
      </c>
      <c r="AV123" s="591"/>
      <c r="AW123" s="591"/>
      <c r="AX123" s="591"/>
      <c r="AY123" s="591"/>
      <c r="AZ123" s="591"/>
      <c r="BA123" s="591"/>
      <c r="BB123" s="592"/>
    </row>
    <row r="124" spans="1:54" ht="18.75" hidden="1" customHeight="1" x14ac:dyDescent="0.2">
      <c r="A124" s="593"/>
      <c r="B124" s="594"/>
      <c r="C124" s="594"/>
      <c r="D124" s="594"/>
      <c r="E124" s="594"/>
      <c r="F124" s="594"/>
      <c r="G124" s="594"/>
      <c r="H124" s="594"/>
      <c r="I124" s="594"/>
      <c r="J124" s="594"/>
      <c r="K124" s="594"/>
      <c r="L124" s="594"/>
      <c r="M124" s="594"/>
      <c r="N124" s="594"/>
      <c r="O124" s="594"/>
      <c r="P124" s="594"/>
      <c r="Q124" s="594"/>
      <c r="R124" s="594"/>
      <c r="S124" s="594"/>
      <c r="T124" s="594"/>
      <c r="U124" s="594"/>
      <c r="V124" s="594"/>
      <c r="W124" s="594"/>
      <c r="X124" s="594"/>
      <c r="Y124" s="594"/>
      <c r="Z124" s="595"/>
      <c r="AA124" s="596"/>
      <c r="AB124" s="597"/>
      <c r="AC124" s="597"/>
      <c r="AD124" s="597"/>
      <c r="AE124" s="597"/>
      <c r="AF124" s="598"/>
      <c r="AG124" s="572"/>
      <c r="AH124" s="573"/>
      <c r="AI124" s="573"/>
      <c r="AJ124" s="573"/>
      <c r="AK124" s="573"/>
      <c r="AL124" s="574"/>
      <c r="AM124" s="572"/>
      <c r="AN124" s="573"/>
      <c r="AO124" s="573"/>
      <c r="AP124" s="573"/>
      <c r="AQ124" s="573"/>
      <c r="AR124" s="573"/>
      <c r="AS124" s="573"/>
      <c r="AT124" s="574"/>
      <c r="AU124" s="590">
        <f>AA124/AG104</f>
        <v>0</v>
      </c>
      <c r="AV124" s="591"/>
      <c r="AW124" s="591"/>
      <c r="AX124" s="591"/>
      <c r="AY124" s="591"/>
      <c r="AZ124" s="591"/>
      <c r="BA124" s="591"/>
      <c r="BB124" s="592"/>
    </row>
    <row r="125" spans="1:54" ht="37.5" hidden="1" customHeight="1" x14ac:dyDescent="0.2">
      <c r="A125" s="593"/>
      <c r="B125" s="594"/>
      <c r="C125" s="594"/>
      <c r="D125" s="594"/>
      <c r="E125" s="594"/>
      <c r="F125" s="594"/>
      <c r="G125" s="594"/>
      <c r="H125" s="594"/>
      <c r="I125" s="594"/>
      <c r="J125" s="594"/>
      <c r="K125" s="594"/>
      <c r="L125" s="594"/>
      <c r="M125" s="594"/>
      <c r="N125" s="594"/>
      <c r="O125" s="594"/>
      <c r="P125" s="594"/>
      <c r="Q125" s="594"/>
      <c r="R125" s="594"/>
      <c r="S125" s="594"/>
      <c r="T125" s="594"/>
      <c r="U125" s="594"/>
      <c r="V125" s="594"/>
      <c r="W125" s="594"/>
      <c r="X125" s="594"/>
      <c r="Y125" s="594"/>
      <c r="Z125" s="595"/>
      <c r="AA125" s="596"/>
      <c r="AB125" s="597"/>
      <c r="AC125" s="597"/>
      <c r="AD125" s="597"/>
      <c r="AE125" s="597"/>
      <c r="AF125" s="598"/>
      <c r="AG125" s="572"/>
      <c r="AH125" s="573"/>
      <c r="AI125" s="573"/>
      <c r="AJ125" s="573"/>
      <c r="AK125" s="573"/>
      <c r="AL125" s="574"/>
      <c r="AM125" s="572"/>
      <c r="AN125" s="573"/>
      <c r="AO125" s="573"/>
      <c r="AP125" s="573"/>
      <c r="AQ125" s="573"/>
      <c r="AR125" s="573"/>
      <c r="AS125" s="573"/>
      <c r="AT125" s="574"/>
      <c r="AU125" s="590">
        <f>AA125/AG104</f>
        <v>0</v>
      </c>
      <c r="AV125" s="591"/>
      <c r="AW125" s="591"/>
      <c r="AX125" s="591"/>
      <c r="AY125" s="591"/>
      <c r="AZ125" s="591"/>
      <c r="BA125" s="591"/>
      <c r="BB125" s="592"/>
    </row>
    <row r="126" spans="1:54" ht="28.5" hidden="1" customHeight="1" x14ac:dyDescent="0.2">
      <c r="A126" s="593"/>
      <c r="B126" s="594"/>
      <c r="C126" s="594"/>
      <c r="D126" s="594"/>
      <c r="E126" s="594"/>
      <c r="F126" s="594"/>
      <c r="G126" s="594"/>
      <c r="H126" s="594"/>
      <c r="I126" s="594"/>
      <c r="J126" s="594"/>
      <c r="K126" s="594"/>
      <c r="L126" s="594"/>
      <c r="M126" s="594"/>
      <c r="N126" s="594"/>
      <c r="O126" s="594"/>
      <c r="P126" s="594"/>
      <c r="Q126" s="594"/>
      <c r="R126" s="594"/>
      <c r="S126" s="594"/>
      <c r="T126" s="594"/>
      <c r="U126" s="594"/>
      <c r="V126" s="594"/>
      <c r="W126" s="594"/>
      <c r="X126" s="594"/>
      <c r="Y126" s="594"/>
      <c r="Z126" s="595"/>
      <c r="AA126" s="596"/>
      <c r="AB126" s="597"/>
      <c r="AC126" s="597"/>
      <c r="AD126" s="597"/>
      <c r="AE126" s="597"/>
      <c r="AF126" s="598"/>
      <c r="AG126" s="572"/>
      <c r="AH126" s="573"/>
      <c r="AI126" s="573"/>
      <c r="AJ126" s="573"/>
      <c r="AK126" s="573"/>
      <c r="AL126" s="574"/>
      <c r="AM126" s="572"/>
      <c r="AN126" s="573"/>
      <c r="AO126" s="573"/>
      <c r="AP126" s="573"/>
      <c r="AQ126" s="573"/>
      <c r="AR126" s="573"/>
      <c r="AS126" s="573"/>
      <c r="AT126" s="574"/>
      <c r="AU126" s="590">
        <f>AA126/AG104</f>
        <v>0</v>
      </c>
      <c r="AV126" s="591"/>
      <c r="AW126" s="591"/>
      <c r="AX126" s="591"/>
      <c r="AY126" s="591"/>
      <c r="AZ126" s="591"/>
      <c r="BA126" s="591"/>
      <c r="BB126" s="592"/>
    </row>
    <row r="127" spans="1:54" ht="21" hidden="1" customHeight="1" x14ac:dyDescent="0.2">
      <c r="A127" s="593"/>
      <c r="B127" s="594"/>
      <c r="C127" s="594"/>
      <c r="D127" s="594"/>
      <c r="E127" s="594"/>
      <c r="F127" s="594"/>
      <c r="G127" s="594"/>
      <c r="H127" s="594"/>
      <c r="I127" s="594"/>
      <c r="J127" s="594"/>
      <c r="K127" s="594"/>
      <c r="L127" s="594"/>
      <c r="M127" s="594"/>
      <c r="N127" s="594"/>
      <c r="O127" s="594"/>
      <c r="P127" s="594"/>
      <c r="Q127" s="594"/>
      <c r="R127" s="594"/>
      <c r="S127" s="594"/>
      <c r="T127" s="594"/>
      <c r="U127" s="594"/>
      <c r="V127" s="594"/>
      <c r="W127" s="594"/>
      <c r="X127" s="594"/>
      <c r="Y127" s="594"/>
      <c r="Z127" s="595"/>
      <c r="AA127" s="596"/>
      <c r="AB127" s="597"/>
      <c r="AC127" s="597"/>
      <c r="AD127" s="597"/>
      <c r="AE127" s="597"/>
      <c r="AF127" s="598"/>
      <c r="AG127" s="572"/>
      <c r="AH127" s="573"/>
      <c r="AI127" s="573"/>
      <c r="AJ127" s="573"/>
      <c r="AK127" s="573"/>
      <c r="AL127" s="574"/>
      <c r="AM127" s="572"/>
      <c r="AN127" s="573"/>
      <c r="AO127" s="573"/>
      <c r="AP127" s="573"/>
      <c r="AQ127" s="573"/>
      <c r="AR127" s="573"/>
      <c r="AS127" s="573"/>
      <c r="AT127" s="574"/>
      <c r="AU127" s="590">
        <f>AA127/AG104</f>
        <v>0</v>
      </c>
      <c r="AV127" s="591"/>
      <c r="AW127" s="591"/>
      <c r="AX127" s="591"/>
      <c r="AY127" s="591"/>
      <c r="AZ127" s="591"/>
      <c r="BA127" s="591"/>
      <c r="BB127" s="592"/>
    </row>
    <row r="128" spans="1:54" ht="21" hidden="1" customHeight="1" x14ac:dyDescent="0.2">
      <c r="A128" s="599"/>
      <c r="B128" s="600"/>
      <c r="C128" s="600"/>
      <c r="D128" s="600"/>
      <c r="E128" s="600"/>
      <c r="F128" s="600"/>
      <c r="G128" s="600"/>
      <c r="H128" s="600"/>
      <c r="I128" s="600"/>
      <c r="J128" s="600"/>
      <c r="K128" s="600"/>
      <c r="L128" s="600"/>
      <c r="M128" s="600"/>
      <c r="N128" s="600"/>
      <c r="O128" s="600"/>
      <c r="P128" s="600"/>
      <c r="Q128" s="600"/>
      <c r="R128" s="600"/>
      <c r="S128" s="600"/>
      <c r="T128" s="600"/>
      <c r="U128" s="600"/>
      <c r="V128" s="600"/>
      <c r="W128" s="600"/>
      <c r="X128" s="600"/>
      <c r="Y128" s="600"/>
      <c r="Z128" s="600"/>
      <c r="AA128" s="601"/>
      <c r="AB128" s="601"/>
      <c r="AC128" s="601"/>
      <c r="AD128" s="601"/>
      <c r="AE128" s="601"/>
      <c r="AF128" s="601"/>
      <c r="AG128" s="572"/>
      <c r="AH128" s="573"/>
      <c r="AI128" s="573"/>
      <c r="AJ128" s="573"/>
      <c r="AK128" s="573"/>
      <c r="AL128" s="574"/>
      <c r="AM128" s="572"/>
      <c r="AN128" s="573"/>
      <c r="AO128" s="573"/>
      <c r="AP128" s="573"/>
      <c r="AQ128" s="573"/>
      <c r="AR128" s="573"/>
      <c r="AS128" s="573"/>
      <c r="AT128" s="574"/>
      <c r="AU128" s="602">
        <f>AA128/AG104</f>
        <v>0</v>
      </c>
      <c r="AV128" s="602"/>
      <c r="AW128" s="602"/>
      <c r="AX128" s="602"/>
      <c r="AY128" s="602"/>
      <c r="AZ128" s="602"/>
      <c r="BA128" s="602"/>
      <c r="BB128" s="603"/>
    </row>
    <row r="129" spans="1:54" ht="0.75" customHeight="1" thickBot="1" x14ac:dyDescent="0.25">
      <c r="A129" s="864"/>
      <c r="B129" s="865"/>
      <c r="C129" s="865"/>
      <c r="D129" s="865"/>
      <c r="E129" s="865"/>
      <c r="F129" s="865"/>
      <c r="G129" s="865"/>
      <c r="H129" s="865"/>
      <c r="I129" s="865"/>
      <c r="J129" s="865"/>
      <c r="K129" s="865"/>
      <c r="L129" s="865"/>
      <c r="M129" s="865"/>
      <c r="N129" s="865"/>
      <c r="O129" s="865"/>
      <c r="P129" s="865"/>
      <c r="Q129" s="865"/>
      <c r="R129" s="865"/>
      <c r="S129" s="865"/>
      <c r="T129" s="865"/>
      <c r="U129" s="865"/>
      <c r="V129" s="865"/>
      <c r="W129" s="865"/>
      <c r="X129" s="865"/>
      <c r="Y129" s="865"/>
      <c r="Z129" s="865"/>
      <c r="AA129" s="656"/>
      <c r="AB129" s="656"/>
      <c r="AC129" s="656"/>
      <c r="AD129" s="656"/>
      <c r="AE129" s="656"/>
      <c r="AF129" s="656"/>
      <c r="AG129" s="859"/>
      <c r="AH129" s="860"/>
      <c r="AI129" s="860"/>
      <c r="AJ129" s="860"/>
      <c r="AK129" s="860"/>
      <c r="AL129" s="861"/>
      <c r="AM129" s="859"/>
      <c r="AN129" s="860"/>
      <c r="AO129" s="860"/>
      <c r="AP129" s="860"/>
      <c r="AQ129" s="860"/>
      <c r="AR129" s="860"/>
      <c r="AS129" s="860"/>
      <c r="AT129" s="861"/>
      <c r="AU129" s="866">
        <f>AA129/AG104</f>
        <v>0</v>
      </c>
      <c r="AV129" s="866"/>
      <c r="AW129" s="866"/>
      <c r="AX129" s="866"/>
      <c r="AY129" s="866"/>
      <c r="AZ129" s="866"/>
      <c r="BA129" s="866"/>
      <c r="BB129" s="867"/>
    </row>
    <row r="130" spans="1:54" ht="16.5" customHeight="1" thickBot="1" x14ac:dyDescent="0.25">
      <c r="A130" s="545" t="s">
        <v>51</v>
      </c>
      <c r="B130" s="546"/>
      <c r="C130" s="546"/>
      <c r="D130" s="546"/>
      <c r="E130" s="546"/>
      <c r="F130" s="546"/>
      <c r="G130" s="546"/>
      <c r="H130" s="546"/>
      <c r="I130" s="546"/>
      <c r="J130" s="546"/>
      <c r="K130" s="546"/>
      <c r="L130" s="546"/>
      <c r="M130" s="546"/>
      <c r="N130" s="546"/>
      <c r="O130" s="546"/>
      <c r="P130" s="546"/>
      <c r="Q130" s="546"/>
      <c r="R130" s="546"/>
      <c r="S130" s="546"/>
      <c r="T130" s="546"/>
      <c r="U130" s="546"/>
      <c r="V130" s="546"/>
      <c r="W130" s="546"/>
      <c r="X130" s="546"/>
      <c r="Y130" s="546"/>
      <c r="Z130" s="547"/>
      <c r="AA130" s="582">
        <f>SUM(AA104:AF129)</f>
        <v>2586.1355000000003</v>
      </c>
      <c r="AB130" s="583"/>
      <c r="AC130" s="583"/>
      <c r="AD130" s="583"/>
      <c r="AE130" s="583"/>
      <c r="AF130" s="583"/>
      <c r="AG130" s="532">
        <f>AG104</f>
        <v>28</v>
      </c>
      <c r="AH130" s="533"/>
      <c r="AI130" s="533"/>
      <c r="AJ130" s="533"/>
      <c r="AK130" s="533"/>
      <c r="AL130" s="534"/>
      <c r="AM130" s="551" t="s">
        <v>17</v>
      </c>
      <c r="AN130" s="552"/>
      <c r="AO130" s="552"/>
      <c r="AP130" s="552"/>
      <c r="AQ130" s="552"/>
      <c r="AR130" s="552"/>
      <c r="AS130" s="552"/>
      <c r="AT130" s="584"/>
      <c r="AU130" s="555">
        <f>SUM(AU104:BB129)</f>
        <v>112.41719047619046</v>
      </c>
      <c r="AV130" s="555"/>
      <c r="AW130" s="555"/>
      <c r="AX130" s="555"/>
      <c r="AY130" s="555"/>
      <c r="AZ130" s="555"/>
      <c r="BA130" s="555"/>
      <c r="BB130" s="556"/>
    </row>
    <row r="131" spans="1:54" ht="33" customHeight="1" x14ac:dyDescent="0.2"/>
    <row r="132" spans="1:54" s="161" customFormat="1" ht="15" customHeight="1" x14ac:dyDescent="0.2">
      <c r="A132" s="159" t="s">
        <v>59</v>
      </c>
      <c r="B132" s="159"/>
      <c r="C132" s="159" t="s">
        <v>60</v>
      </c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  <c r="AU132" s="159"/>
      <c r="AV132" s="159"/>
      <c r="AW132" s="159"/>
      <c r="AX132" s="160"/>
      <c r="AY132" s="160"/>
      <c r="AZ132" s="160"/>
      <c r="BA132" s="160"/>
      <c r="BB132" s="160"/>
    </row>
    <row r="133" spans="1:54" ht="12" customHeight="1" thickBot="1" x14ac:dyDescent="0.25"/>
    <row r="134" spans="1:54" s="159" customFormat="1" ht="12" customHeight="1" x14ac:dyDescent="0.2">
      <c r="A134" s="585" t="s">
        <v>54</v>
      </c>
      <c r="B134" s="586"/>
      <c r="C134" s="586"/>
      <c r="D134" s="586"/>
      <c r="E134" s="586"/>
      <c r="F134" s="586"/>
      <c r="G134" s="586"/>
      <c r="H134" s="586"/>
      <c r="I134" s="586"/>
      <c r="J134" s="586"/>
      <c r="K134" s="586"/>
      <c r="L134" s="586"/>
      <c r="M134" s="586"/>
      <c r="N134" s="586"/>
      <c r="O134" s="586"/>
      <c r="P134" s="586"/>
      <c r="Q134" s="586"/>
      <c r="R134" s="586"/>
      <c r="S134" s="586"/>
      <c r="T134" s="586"/>
      <c r="U134" s="586"/>
      <c r="V134" s="586"/>
      <c r="W134" s="586"/>
      <c r="X134" s="586"/>
      <c r="Y134" s="586"/>
      <c r="Z134" s="587"/>
      <c r="AA134" s="536" t="s">
        <v>55</v>
      </c>
      <c r="AB134" s="537"/>
      <c r="AC134" s="537"/>
      <c r="AD134" s="537"/>
      <c r="AE134" s="537"/>
      <c r="AF134" s="538"/>
      <c r="AG134" s="536" t="s">
        <v>56</v>
      </c>
      <c r="AH134" s="537"/>
      <c r="AI134" s="537"/>
      <c r="AJ134" s="537"/>
      <c r="AK134" s="537"/>
      <c r="AL134" s="538"/>
      <c r="AM134" s="588" t="s">
        <v>57</v>
      </c>
      <c r="AN134" s="586"/>
      <c r="AO134" s="586"/>
      <c r="AP134" s="586"/>
      <c r="AQ134" s="586"/>
      <c r="AR134" s="586"/>
      <c r="AS134" s="586"/>
      <c r="AT134" s="587"/>
      <c r="AU134" s="588" t="s">
        <v>43</v>
      </c>
      <c r="AV134" s="586"/>
      <c r="AW134" s="586"/>
      <c r="AX134" s="586"/>
      <c r="AY134" s="586"/>
      <c r="AZ134" s="586"/>
      <c r="BA134" s="586"/>
      <c r="BB134" s="589"/>
    </row>
    <row r="135" spans="1:54" ht="11.25" customHeight="1" thickBot="1" x14ac:dyDescent="0.25">
      <c r="A135" s="564">
        <v>1</v>
      </c>
      <c r="B135" s="475"/>
      <c r="C135" s="475"/>
      <c r="D135" s="475"/>
      <c r="E135" s="475"/>
      <c r="F135" s="475"/>
      <c r="G135" s="475"/>
      <c r="H135" s="475"/>
      <c r="I135" s="475"/>
      <c r="J135" s="475"/>
      <c r="K135" s="475"/>
      <c r="L135" s="475"/>
      <c r="M135" s="475"/>
      <c r="N135" s="475"/>
      <c r="O135" s="475"/>
      <c r="P135" s="475"/>
      <c r="Q135" s="475"/>
      <c r="R135" s="475"/>
      <c r="S135" s="475"/>
      <c r="T135" s="475"/>
      <c r="U135" s="475"/>
      <c r="V135" s="475"/>
      <c r="W135" s="475"/>
      <c r="X135" s="475"/>
      <c r="Y135" s="475"/>
      <c r="Z135" s="476"/>
      <c r="AA135" s="474">
        <v>2</v>
      </c>
      <c r="AB135" s="475"/>
      <c r="AC135" s="475"/>
      <c r="AD135" s="475"/>
      <c r="AE135" s="475"/>
      <c r="AF135" s="476"/>
      <c r="AG135" s="474">
        <v>3</v>
      </c>
      <c r="AH135" s="475"/>
      <c r="AI135" s="475"/>
      <c r="AJ135" s="475"/>
      <c r="AK135" s="475"/>
      <c r="AL135" s="476"/>
      <c r="AM135" s="474">
        <v>4</v>
      </c>
      <c r="AN135" s="475"/>
      <c r="AO135" s="475"/>
      <c r="AP135" s="475"/>
      <c r="AQ135" s="475"/>
      <c r="AR135" s="475"/>
      <c r="AS135" s="475"/>
      <c r="AT135" s="476"/>
      <c r="AU135" s="474">
        <v>5</v>
      </c>
      <c r="AV135" s="475"/>
      <c r="AW135" s="475"/>
      <c r="AX135" s="475"/>
      <c r="AY135" s="475"/>
      <c r="AZ135" s="475"/>
      <c r="BA135" s="475"/>
      <c r="BB135" s="565"/>
    </row>
    <row r="136" spans="1:54" ht="31.5" hidden="1" customHeight="1" x14ac:dyDescent="0.2">
      <c r="A136" s="566"/>
      <c r="B136" s="567"/>
      <c r="C136" s="567"/>
      <c r="D136" s="567"/>
      <c r="E136" s="567"/>
      <c r="F136" s="567"/>
      <c r="G136" s="567"/>
      <c r="H136" s="567"/>
      <c r="I136" s="567"/>
      <c r="J136" s="567"/>
      <c r="K136" s="567"/>
      <c r="L136" s="567"/>
      <c r="M136" s="567"/>
      <c r="N136" s="567"/>
      <c r="O136" s="567"/>
      <c r="P136" s="567"/>
      <c r="Q136" s="567"/>
      <c r="R136" s="567"/>
      <c r="S136" s="567"/>
      <c r="T136" s="567"/>
      <c r="U136" s="567"/>
      <c r="V136" s="567"/>
      <c r="W136" s="567"/>
      <c r="X136" s="567"/>
      <c r="Y136" s="567"/>
      <c r="Z136" s="568"/>
      <c r="AA136" s="569">
        <v>0</v>
      </c>
      <c r="AB136" s="570"/>
      <c r="AC136" s="570"/>
      <c r="AD136" s="570"/>
      <c r="AE136" s="570"/>
      <c r="AF136" s="571"/>
      <c r="AG136" s="569">
        <f>U12</f>
        <v>28</v>
      </c>
      <c r="AH136" s="570"/>
      <c r="AI136" s="570"/>
      <c r="AJ136" s="570"/>
      <c r="AK136" s="570"/>
      <c r="AL136" s="571"/>
      <c r="AM136" s="569" t="s">
        <v>61</v>
      </c>
      <c r="AN136" s="570"/>
      <c r="AO136" s="570"/>
      <c r="AP136" s="570"/>
      <c r="AQ136" s="570"/>
      <c r="AR136" s="570"/>
      <c r="AS136" s="570"/>
      <c r="AT136" s="571"/>
      <c r="AU136" s="607">
        <f>AA136/AG136</f>
        <v>0</v>
      </c>
      <c r="AV136" s="608"/>
      <c r="AW136" s="608"/>
      <c r="AX136" s="608"/>
      <c r="AY136" s="608"/>
      <c r="AZ136" s="608"/>
      <c r="BA136" s="608"/>
      <c r="BB136" s="609"/>
    </row>
    <row r="137" spans="1:54" ht="4.5" hidden="1" customHeight="1" x14ac:dyDescent="0.2">
      <c r="A137" s="561"/>
      <c r="B137" s="562"/>
      <c r="C137" s="562"/>
      <c r="D137" s="562"/>
      <c r="E137" s="562"/>
      <c r="F137" s="562"/>
      <c r="G137" s="562"/>
      <c r="H137" s="562"/>
      <c r="I137" s="562"/>
      <c r="J137" s="562"/>
      <c r="K137" s="562"/>
      <c r="L137" s="562"/>
      <c r="M137" s="562"/>
      <c r="N137" s="562"/>
      <c r="O137" s="562"/>
      <c r="P137" s="562"/>
      <c r="Q137" s="562"/>
      <c r="R137" s="562"/>
      <c r="S137" s="562"/>
      <c r="T137" s="562"/>
      <c r="U137" s="562"/>
      <c r="V137" s="562"/>
      <c r="W137" s="562"/>
      <c r="X137" s="562"/>
      <c r="Y137" s="562"/>
      <c r="Z137" s="563"/>
      <c r="AA137" s="518"/>
      <c r="AB137" s="518"/>
      <c r="AC137" s="518"/>
      <c r="AD137" s="518"/>
      <c r="AE137" s="518"/>
      <c r="AF137" s="518"/>
      <c r="AG137" s="572"/>
      <c r="AH137" s="573"/>
      <c r="AI137" s="573"/>
      <c r="AJ137" s="573"/>
      <c r="AK137" s="573"/>
      <c r="AL137" s="574"/>
      <c r="AM137" s="572"/>
      <c r="AN137" s="573"/>
      <c r="AO137" s="573"/>
      <c r="AP137" s="573"/>
      <c r="AQ137" s="573"/>
      <c r="AR137" s="573"/>
      <c r="AS137" s="573"/>
      <c r="AT137" s="574"/>
      <c r="AU137" s="558">
        <f>AA137/AG136</f>
        <v>0</v>
      </c>
      <c r="AV137" s="559"/>
      <c r="AW137" s="559"/>
      <c r="AX137" s="559"/>
      <c r="AY137" s="559"/>
      <c r="AZ137" s="559"/>
      <c r="BA137" s="559"/>
      <c r="BB137" s="560"/>
    </row>
    <row r="138" spans="1:54" ht="21" customHeight="1" x14ac:dyDescent="0.2">
      <c r="A138" s="449"/>
      <c r="B138" s="450"/>
      <c r="C138" s="450"/>
      <c r="D138" s="450"/>
      <c r="E138" s="450"/>
      <c r="F138" s="450"/>
      <c r="G138" s="450"/>
      <c r="H138" s="450"/>
      <c r="I138" s="450"/>
      <c r="J138" s="450"/>
      <c r="K138" s="450"/>
      <c r="L138" s="450"/>
      <c r="M138" s="450"/>
      <c r="N138" s="450"/>
      <c r="O138" s="450"/>
      <c r="P138" s="450"/>
      <c r="Q138" s="450"/>
      <c r="R138" s="450"/>
      <c r="S138" s="450"/>
      <c r="T138" s="450"/>
      <c r="U138" s="450"/>
      <c r="V138" s="450"/>
      <c r="W138" s="450"/>
      <c r="X138" s="450"/>
      <c r="Y138" s="450"/>
      <c r="Z138" s="451"/>
      <c r="AA138" s="557"/>
      <c r="AB138" s="557"/>
      <c r="AC138" s="557"/>
      <c r="AD138" s="557"/>
      <c r="AE138" s="557"/>
      <c r="AF138" s="557"/>
      <c r="AG138" s="572"/>
      <c r="AH138" s="573"/>
      <c r="AI138" s="573"/>
      <c r="AJ138" s="573"/>
      <c r="AK138" s="573"/>
      <c r="AL138" s="574"/>
      <c r="AM138" s="572"/>
      <c r="AN138" s="573"/>
      <c r="AO138" s="573"/>
      <c r="AP138" s="573"/>
      <c r="AQ138" s="573"/>
      <c r="AR138" s="573"/>
      <c r="AS138" s="573"/>
      <c r="AT138" s="574"/>
      <c r="AU138" s="558">
        <f>AA138/AG136</f>
        <v>0</v>
      </c>
      <c r="AV138" s="559"/>
      <c r="AW138" s="559"/>
      <c r="AX138" s="559"/>
      <c r="AY138" s="559"/>
      <c r="AZ138" s="559"/>
      <c r="BA138" s="559"/>
      <c r="BB138" s="560"/>
    </row>
    <row r="139" spans="1:54" ht="21" customHeight="1" x14ac:dyDescent="0.2">
      <c r="A139" s="449"/>
      <c r="B139" s="450"/>
      <c r="C139" s="450"/>
      <c r="D139" s="450"/>
      <c r="E139" s="450"/>
      <c r="F139" s="450"/>
      <c r="G139" s="450"/>
      <c r="H139" s="450"/>
      <c r="I139" s="450"/>
      <c r="J139" s="450"/>
      <c r="K139" s="450"/>
      <c r="L139" s="450"/>
      <c r="M139" s="450"/>
      <c r="N139" s="450"/>
      <c r="O139" s="450"/>
      <c r="P139" s="450"/>
      <c r="Q139" s="450"/>
      <c r="R139" s="450"/>
      <c r="S139" s="450"/>
      <c r="T139" s="450"/>
      <c r="U139" s="450"/>
      <c r="V139" s="450"/>
      <c r="W139" s="450"/>
      <c r="X139" s="450"/>
      <c r="Y139" s="450"/>
      <c r="Z139" s="451"/>
      <c r="AA139" s="557"/>
      <c r="AB139" s="557"/>
      <c r="AC139" s="557"/>
      <c r="AD139" s="557"/>
      <c r="AE139" s="557"/>
      <c r="AF139" s="557"/>
      <c r="AG139" s="572"/>
      <c r="AH139" s="573"/>
      <c r="AI139" s="573"/>
      <c r="AJ139" s="573"/>
      <c r="AK139" s="573"/>
      <c r="AL139" s="574"/>
      <c r="AM139" s="572"/>
      <c r="AN139" s="573"/>
      <c r="AO139" s="573"/>
      <c r="AP139" s="573"/>
      <c r="AQ139" s="573"/>
      <c r="AR139" s="573"/>
      <c r="AS139" s="573"/>
      <c r="AT139" s="574"/>
      <c r="AU139" s="558">
        <f>AA139/AG136</f>
        <v>0</v>
      </c>
      <c r="AV139" s="559"/>
      <c r="AW139" s="559"/>
      <c r="AX139" s="559"/>
      <c r="AY139" s="559"/>
      <c r="AZ139" s="559"/>
      <c r="BA139" s="559"/>
      <c r="BB139" s="560"/>
    </row>
    <row r="140" spans="1:54" ht="6" hidden="1" customHeight="1" x14ac:dyDescent="0.2">
      <c r="A140" s="449"/>
      <c r="B140" s="450"/>
      <c r="C140" s="450"/>
      <c r="D140" s="450"/>
      <c r="E140" s="450"/>
      <c r="F140" s="450"/>
      <c r="G140" s="450"/>
      <c r="H140" s="450"/>
      <c r="I140" s="450"/>
      <c r="J140" s="450"/>
      <c r="K140" s="450"/>
      <c r="L140" s="450"/>
      <c r="M140" s="450"/>
      <c r="N140" s="450"/>
      <c r="O140" s="450"/>
      <c r="P140" s="450"/>
      <c r="Q140" s="450"/>
      <c r="R140" s="450"/>
      <c r="S140" s="450"/>
      <c r="T140" s="450"/>
      <c r="U140" s="450"/>
      <c r="V140" s="450"/>
      <c r="W140" s="450"/>
      <c r="X140" s="450"/>
      <c r="Y140" s="450"/>
      <c r="Z140" s="451"/>
      <c r="AA140" s="557"/>
      <c r="AB140" s="557"/>
      <c r="AC140" s="557"/>
      <c r="AD140" s="557"/>
      <c r="AE140" s="557"/>
      <c r="AF140" s="557"/>
      <c r="AG140" s="572"/>
      <c r="AH140" s="573"/>
      <c r="AI140" s="573"/>
      <c r="AJ140" s="573"/>
      <c r="AK140" s="573"/>
      <c r="AL140" s="574"/>
      <c r="AM140" s="572"/>
      <c r="AN140" s="573"/>
      <c r="AO140" s="573"/>
      <c r="AP140" s="573"/>
      <c r="AQ140" s="573"/>
      <c r="AR140" s="573"/>
      <c r="AS140" s="573"/>
      <c r="AT140" s="574"/>
      <c r="AU140" s="558">
        <f>AA140/AG136</f>
        <v>0</v>
      </c>
      <c r="AV140" s="559"/>
      <c r="AW140" s="559"/>
      <c r="AX140" s="559"/>
      <c r="AY140" s="559"/>
      <c r="AZ140" s="559"/>
      <c r="BA140" s="559"/>
      <c r="BB140" s="560"/>
    </row>
    <row r="141" spans="1:54" ht="0.75" customHeight="1" thickBot="1" x14ac:dyDescent="0.25">
      <c r="A141" s="624"/>
      <c r="B141" s="625"/>
      <c r="C141" s="625"/>
      <c r="D141" s="625"/>
      <c r="E141" s="625"/>
      <c r="F141" s="625"/>
      <c r="G141" s="625"/>
      <c r="H141" s="625"/>
      <c r="I141" s="625"/>
      <c r="J141" s="625"/>
      <c r="K141" s="625"/>
      <c r="L141" s="625"/>
      <c r="M141" s="625"/>
      <c r="N141" s="625"/>
      <c r="O141" s="625"/>
      <c r="P141" s="625"/>
      <c r="Q141" s="625"/>
      <c r="R141" s="625"/>
      <c r="S141" s="625"/>
      <c r="T141" s="625"/>
      <c r="U141" s="625"/>
      <c r="V141" s="625"/>
      <c r="W141" s="625"/>
      <c r="X141" s="625"/>
      <c r="Y141" s="625"/>
      <c r="Z141" s="626"/>
      <c r="AA141" s="1372">
        <v>0</v>
      </c>
      <c r="AB141" s="1372"/>
      <c r="AC141" s="1372"/>
      <c r="AD141" s="1372"/>
      <c r="AE141" s="1372"/>
      <c r="AF141" s="1372"/>
      <c r="AG141" s="859"/>
      <c r="AH141" s="860"/>
      <c r="AI141" s="860"/>
      <c r="AJ141" s="860"/>
      <c r="AK141" s="860"/>
      <c r="AL141" s="861"/>
      <c r="AM141" s="859"/>
      <c r="AN141" s="860"/>
      <c r="AO141" s="860"/>
      <c r="AP141" s="860"/>
      <c r="AQ141" s="860"/>
      <c r="AR141" s="860"/>
      <c r="AS141" s="860"/>
      <c r="AT141" s="861"/>
      <c r="AU141" s="1373">
        <f>AA141/AG136</f>
        <v>0</v>
      </c>
      <c r="AV141" s="1374"/>
      <c r="AW141" s="1374"/>
      <c r="AX141" s="1374"/>
      <c r="AY141" s="1374"/>
      <c r="AZ141" s="1374"/>
      <c r="BA141" s="1374"/>
      <c r="BB141" s="1375"/>
    </row>
    <row r="142" spans="1:54" ht="15" customHeight="1" thickBot="1" x14ac:dyDescent="0.25">
      <c r="A142" s="545" t="s">
        <v>51</v>
      </c>
      <c r="B142" s="546"/>
      <c r="C142" s="546"/>
      <c r="D142" s="546"/>
      <c r="E142" s="546"/>
      <c r="F142" s="546"/>
      <c r="G142" s="546"/>
      <c r="H142" s="546"/>
      <c r="I142" s="546"/>
      <c r="J142" s="546"/>
      <c r="K142" s="546"/>
      <c r="L142" s="546"/>
      <c r="M142" s="546"/>
      <c r="N142" s="546"/>
      <c r="O142" s="546"/>
      <c r="P142" s="546"/>
      <c r="Q142" s="546"/>
      <c r="R142" s="546"/>
      <c r="S142" s="546"/>
      <c r="T142" s="546"/>
      <c r="U142" s="546"/>
      <c r="V142" s="546"/>
      <c r="W142" s="546"/>
      <c r="X142" s="546"/>
      <c r="Y142" s="546"/>
      <c r="Z142" s="547"/>
      <c r="AA142" s="548">
        <f>SUM(AA136:AF139)</f>
        <v>0</v>
      </c>
      <c r="AB142" s="549"/>
      <c r="AC142" s="549"/>
      <c r="AD142" s="549"/>
      <c r="AE142" s="549"/>
      <c r="AF142" s="550"/>
      <c r="AG142" s="531">
        <f>AG136</f>
        <v>28</v>
      </c>
      <c r="AH142" s="533"/>
      <c r="AI142" s="533"/>
      <c r="AJ142" s="533"/>
      <c r="AK142" s="533"/>
      <c r="AL142" s="534"/>
      <c r="AM142" s="551" t="s">
        <v>17</v>
      </c>
      <c r="AN142" s="552"/>
      <c r="AO142" s="552"/>
      <c r="AP142" s="552"/>
      <c r="AQ142" s="552"/>
      <c r="AR142" s="552"/>
      <c r="AS142" s="552"/>
      <c r="AT142" s="553"/>
      <c r="AU142" s="554">
        <f>SUM(AU136:BB141)</f>
        <v>0</v>
      </c>
      <c r="AV142" s="555"/>
      <c r="AW142" s="555"/>
      <c r="AX142" s="555"/>
      <c r="AY142" s="555"/>
      <c r="AZ142" s="555"/>
      <c r="BA142" s="555"/>
      <c r="BB142" s="556"/>
    </row>
    <row r="143" spans="1:54" s="161" customFormat="1" ht="15" customHeight="1" x14ac:dyDescent="0.2">
      <c r="A143" s="117"/>
      <c r="B143" s="117"/>
      <c r="C143" s="117"/>
      <c r="D143" s="117"/>
      <c r="E143" s="117"/>
      <c r="F143" s="117"/>
      <c r="G143" s="117"/>
      <c r="H143" s="117"/>
      <c r="I143" s="117"/>
      <c r="J143" s="117"/>
      <c r="K143" s="117"/>
      <c r="L143" s="117"/>
      <c r="M143" s="117"/>
      <c r="N143" s="117"/>
      <c r="O143" s="117"/>
      <c r="P143" s="117"/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</row>
    <row r="144" spans="1:54" ht="27" customHeight="1" x14ac:dyDescent="0.2">
      <c r="A144" s="159" t="s">
        <v>62</v>
      </c>
      <c r="B144" s="159"/>
      <c r="C144" s="159" t="s">
        <v>63</v>
      </c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  <c r="AU144" s="159"/>
      <c r="AV144" s="159"/>
      <c r="AW144" s="159"/>
      <c r="AX144" s="160"/>
      <c r="AY144" s="160"/>
      <c r="AZ144" s="160"/>
      <c r="BA144" s="160"/>
      <c r="BB144" s="160"/>
    </row>
    <row r="145" spans="1:79" ht="21.75" customHeight="1" thickBot="1" x14ac:dyDescent="0.25"/>
    <row r="146" spans="1:79" ht="63" customHeight="1" x14ac:dyDescent="0.2">
      <c r="A146" s="499" t="s">
        <v>54</v>
      </c>
      <c r="B146" s="500"/>
      <c r="C146" s="500"/>
      <c r="D146" s="500"/>
      <c r="E146" s="500"/>
      <c r="F146" s="500"/>
      <c r="G146" s="500"/>
      <c r="H146" s="535" t="s">
        <v>64</v>
      </c>
      <c r="I146" s="535"/>
      <c r="J146" s="535"/>
      <c r="K146" s="535"/>
      <c r="L146" s="535"/>
      <c r="M146" s="535" t="s">
        <v>94</v>
      </c>
      <c r="N146" s="535"/>
      <c r="O146" s="535"/>
      <c r="P146" s="535"/>
      <c r="Q146" s="535"/>
      <c r="R146" s="535" t="s">
        <v>82</v>
      </c>
      <c r="S146" s="535"/>
      <c r="T146" s="535"/>
      <c r="U146" s="535"/>
      <c r="V146" s="535" t="s">
        <v>65</v>
      </c>
      <c r="W146" s="535"/>
      <c r="X146" s="535"/>
      <c r="Y146" s="535"/>
      <c r="Z146" s="535" t="s">
        <v>66</v>
      </c>
      <c r="AA146" s="535"/>
      <c r="AB146" s="535"/>
      <c r="AC146" s="535"/>
      <c r="AD146" s="535" t="s">
        <v>67</v>
      </c>
      <c r="AE146" s="535"/>
      <c r="AF146" s="535"/>
      <c r="AG146" s="535"/>
      <c r="AH146" s="535"/>
      <c r="AI146" s="535"/>
      <c r="AJ146" s="535"/>
      <c r="AK146" s="535"/>
      <c r="AL146" s="535"/>
      <c r="AM146" s="535"/>
      <c r="AN146" s="535"/>
      <c r="AO146" s="535"/>
      <c r="AP146" s="535"/>
      <c r="AQ146" s="535" t="s">
        <v>665</v>
      </c>
      <c r="AR146" s="535"/>
      <c r="AS146" s="535"/>
      <c r="AT146" s="535"/>
      <c r="AU146" s="536" t="s">
        <v>666</v>
      </c>
      <c r="AV146" s="537"/>
      <c r="AW146" s="537"/>
      <c r="AX146" s="538"/>
      <c r="AY146" s="536" t="s">
        <v>87</v>
      </c>
      <c r="AZ146" s="537"/>
      <c r="BA146" s="537"/>
      <c r="BB146" s="539"/>
    </row>
    <row r="147" spans="1:79" ht="71.25" customHeight="1" thickBot="1" x14ac:dyDescent="0.25">
      <c r="A147" s="888"/>
      <c r="B147" s="889"/>
      <c r="C147" s="889"/>
      <c r="D147" s="889"/>
      <c r="E147" s="889"/>
      <c r="F147" s="889"/>
      <c r="G147" s="889"/>
      <c r="H147" s="894" t="s">
        <v>68</v>
      </c>
      <c r="I147" s="894"/>
      <c r="J147" s="894"/>
      <c r="K147" s="894"/>
      <c r="L147" s="894"/>
      <c r="M147" s="894" t="s">
        <v>68</v>
      </c>
      <c r="N147" s="894"/>
      <c r="O147" s="894"/>
      <c r="P147" s="894"/>
      <c r="Q147" s="894"/>
      <c r="R147" s="894"/>
      <c r="S147" s="894"/>
      <c r="T147" s="894"/>
      <c r="U147" s="894"/>
      <c r="V147" s="894"/>
      <c r="W147" s="894"/>
      <c r="X147" s="894"/>
      <c r="Y147" s="894"/>
      <c r="Z147" s="894"/>
      <c r="AA147" s="894"/>
      <c r="AB147" s="894"/>
      <c r="AC147" s="894"/>
      <c r="AD147" s="894" t="s">
        <v>68</v>
      </c>
      <c r="AE147" s="894"/>
      <c r="AF147" s="894"/>
      <c r="AG147" s="894"/>
      <c r="AH147" s="894"/>
      <c r="AI147" s="894"/>
      <c r="AJ147" s="895" t="s">
        <v>69</v>
      </c>
      <c r="AK147" s="896"/>
      <c r="AL147" s="896"/>
      <c r="AM147" s="896"/>
      <c r="AN147" s="896"/>
      <c r="AO147" s="896"/>
      <c r="AP147" s="897"/>
      <c r="AQ147" s="894" t="s">
        <v>68</v>
      </c>
      <c r="AR147" s="894"/>
      <c r="AS147" s="894"/>
      <c r="AT147" s="894"/>
      <c r="AU147" s="894" t="s">
        <v>68</v>
      </c>
      <c r="AV147" s="894"/>
      <c r="AW147" s="894"/>
      <c r="AX147" s="894"/>
      <c r="AY147" s="894" t="s">
        <v>68</v>
      </c>
      <c r="AZ147" s="894"/>
      <c r="BA147" s="894"/>
      <c r="BB147" s="898"/>
    </row>
    <row r="148" spans="1:79" ht="22.5" customHeight="1" thickBot="1" x14ac:dyDescent="0.25">
      <c r="A148" s="530">
        <v>1</v>
      </c>
      <c r="B148" s="503"/>
      <c r="C148" s="503"/>
      <c r="D148" s="503"/>
      <c r="E148" s="503"/>
      <c r="F148" s="503"/>
      <c r="G148" s="503"/>
      <c r="H148" s="503">
        <v>2</v>
      </c>
      <c r="I148" s="503"/>
      <c r="J148" s="503"/>
      <c r="K148" s="503"/>
      <c r="L148" s="503"/>
      <c r="M148" s="503">
        <v>3</v>
      </c>
      <c r="N148" s="503"/>
      <c r="O148" s="503"/>
      <c r="P148" s="503"/>
      <c r="Q148" s="503"/>
      <c r="R148" s="503">
        <v>4</v>
      </c>
      <c r="S148" s="503"/>
      <c r="T148" s="503"/>
      <c r="U148" s="503"/>
      <c r="V148" s="503">
        <v>5</v>
      </c>
      <c r="W148" s="503"/>
      <c r="X148" s="503"/>
      <c r="Y148" s="503"/>
      <c r="Z148" s="503">
        <v>6</v>
      </c>
      <c r="AA148" s="503"/>
      <c r="AB148" s="503"/>
      <c r="AC148" s="531"/>
      <c r="AD148" s="503">
        <v>7</v>
      </c>
      <c r="AE148" s="503"/>
      <c r="AF148" s="503"/>
      <c r="AG148" s="503"/>
      <c r="AH148" s="503"/>
      <c r="AI148" s="503"/>
      <c r="AJ148" s="533">
        <v>8</v>
      </c>
      <c r="AK148" s="533"/>
      <c r="AL148" s="533"/>
      <c r="AM148" s="533"/>
      <c r="AN148" s="533"/>
      <c r="AO148" s="533"/>
      <c r="AP148" s="534"/>
      <c r="AQ148" s="503">
        <v>9</v>
      </c>
      <c r="AR148" s="503"/>
      <c r="AS148" s="503"/>
      <c r="AT148" s="503"/>
      <c r="AU148" s="503">
        <v>10</v>
      </c>
      <c r="AV148" s="503"/>
      <c r="AW148" s="503"/>
      <c r="AX148" s="503"/>
      <c r="AY148" s="503">
        <v>11</v>
      </c>
      <c r="AZ148" s="503"/>
      <c r="BA148" s="503"/>
      <c r="BB148" s="504"/>
    </row>
    <row r="149" spans="1:79" ht="24.75" customHeight="1" x14ac:dyDescent="0.2">
      <c r="A149" s="505" t="s">
        <v>70</v>
      </c>
      <c r="B149" s="506"/>
      <c r="C149" s="506"/>
      <c r="D149" s="506"/>
      <c r="E149" s="506"/>
      <c r="F149" s="506"/>
      <c r="G149" s="506"/>
      <c r="H149" s="507">
        <f>AO88/V149</f>
        <v>42.785166666666669</v>
      </c>
      <c r="I149" s="507"/>
      <c r="J149" s="507"/>
      <c r="K149" s="507"/>
      <c r="L149" s="507"/>
      <c r="M149" s="507">
        <f>H149</f>
        <v>42.785166666666669</v>
      </c>
      <c r="N149" s="507"/>
      <c r="O149" s="507"/>
      <c r="P149" s="507"/>
      <c r="Q149" s="507"/>
      <c r="R149" s="508">
        <f>U12</f>
        <v>28</v>
      </c>
      <c r="S149" s="509"/>
      <c r="T149" s="509"/>
      <c r="U149" s="510"/>
      <c r="V149" s="517">
        <f>Y16</f>
        <v>12</v>
      </c>
      <c r="W149" s="517"/>
      <c r="X149" s="517"/>
      <c r="Y149" s="517"/>
      <c r="Z149" s="517">
        <f>U16</f>
        <v>1</v>
      </c>
      <c r="AA149" s="517"/>
      <c r="AB149" s="517"/>
      <c r="AC149" s="517"/>
      <c r="AD149" s="520" t="s">
        <v>71</v>
      </c>
      <c r="AE149" s="521"/>
      <c r="AF149" s="521"/>
      <c r="AG149" s="521"/>
      <c r="AH149" s="521"/>
      <c r="AI149" s="522"/>
      <c r="AJ149" s="523"/>
      <c r="AK149" s="524"/>
      <c r="AL149" s="524"/>
      <c r="AM149" s="524"/>
      <c r="AN149" s="524"/>
      <c r="AO149" s="524"/>
      <c r="AP149" s="525"/>
      <c r="AQ149" s="507">
        <f>H149*8</f>
        <v>342.28133333333335</v>
      </c>
      <c r="AR149" s="507"/>
      <c r="AS149" s="507"/>
      <c r="AT149" s="507"/>
      <c r="AU149" s="507">
        <f>M149*2</f>
        <v>85.570333333333338</v>
      </c>
      <c r="AV149" s="507"/>
      <c r="AW149" s="507"/>
      <c r="AX149" s="507"/>
      <c r="AY149" s="507">
        <f>H149*R149</f>
        <v>1197.9846666666667</v>
      </c>
      <c r="AZ149" s="507"/>
      <c r="BA149" s="507"/>
      <c r="BB149" s="526"/>
    </row>
    <row r="150" spans="1:79" ht="21.75" customHeight="1" x14ac:dyDescent="0.2">
      <c r="A150" s="527" t="s">
        <v>72</v>
      </c>
      <c r="B150" s="528"/>
      <c r="C150" s="528"/>
      <c r="D150" s="528"/>
      <c r="E150" s="528"/>
      <c r="F150" s="528"/>
      <c r="G150" s="528"/>
      <c r="H150" s="529">
        <f>AV98</f>
        <v>37.105237428142097</v>
      </c>
      <c r="I150" s="529"/>
      <c r="J150" s="529"/>
      <c r="K150" s="529"/>
      <c r="L150" s="529"/>
      <c r="M150" s="477">
        <f t="shared" ref="M150:M152" si="3">H150</f>
        <v>37.105237428142097</v>
      </c>
      <c r="N150" s="477"/>
      <c r="O150" s="477"/>
      <c r="P150" s="477"/>
      <c r="Q150" s="477"/>
      <c r="R150" s="511"/>
      <c r="S150" s="512"/>
      <c r="T150" s="512"/>
      <c r="U150" s="513"/>
      <c r="V150" s="518"/>
      <c r="W150" s="518"/>
      <c r="X150" s="518"/>
      <c r="Y150" s="518"/>
      <c r="Z150" s="518"/>
      <c r="AA150" s="518"/>
      <c r="AB150" s="518"/>
      <c r="AC150" s="518"/>
      <c r="AD150" s="477" t="s">
        <v>71</v>
      </c>
      <c r="AE150" s="477"/>
      <c r="AF150" s="477"/>
      <c r="AG150" s="477"/>
      <c r="AH150" s="477"/>
      <c r="AI150" s="477"/>
      <c r="AJ150" s="478"/>
      <c r="AK150" s="479"/>
      <c r="AL150" s="479"/>
      <c r="AM150" s="479"/>
      <c r="AN150" s="479"/>
      <c r="AO150" s="479"/>
      <c r="AP150" s="480"/>
      <c r="AQ150" s="477">
        <f>H150*8</f>
        <v>296.84189942513677</v>
      </c>
      <c r="AR150" s="477"/>
      <c r="AS150" s="477"/>
      <c r="AT150" s="477"/>
      <c r="AU150" s="529">
        <f>M150*2</f>
        <v>74.210474856284193</v>
      </c>
      <c r="AV150" s="529"/>
      <c r="AW150" s="529"/>
      <c r="AX150" s="529"/>
      <c r="AY150" s="477">
        <f>H150*R149</f>
        <v>1038.9466479879786</v>
      </c>
      <c r="AZ150" s="477"/>
      <c r="BA150" s="477"/>
      <c r="BB150" s="481"/>
    </row>
    <row r="151" spans="1:79" ht="15" customHeight="1" x14ac:dyDescent="0.2">
      <c r="A151" s="527" t="s">
        <v>73</v>
      </c>
      <c r="B151" s="528"/>
      <c r="C151" s="528"/>
      <c r="D151" s="528"/>
      <c r="E151" s="528"/>
      <c r="F151" s="528"/>
      <c r="G151" s="528"/>
      <c r="H151" s="529">
        <f>AU130</f>
        <v>112.41719047619046</v>
      </c>
      <c r="I151" s="529"/>
      <c r="J151" s="529"/>
      <c r="K151" s="529"/>
      <c r="L151" s="529"/>
      <c r="M151" s="477">
        <f t="shared" si="3"/>
        <v>112.41719047619046</v>
      </c>
      <c r="N151" s="477"/>
      <c r="O151" s="477"/>
      <c r="P151" s="477"/>
      <c r="Q151" s="477"/>
      <c r="R151" s="511"/>
      <c r="S151" s="512"/>
      <c r="T151" s="512"/>
      <c r="U151" s="513"/>
      <c r="V151" s="518"/>
      <c r="W151" s="518"/>
      <c r="X151" s="518"/>
      <c r="Y151" s="518"/>
      <c r="Z151" s="518"/>
      <c r="AA151" s="518"/>
      <c r="AB151" s="518"/>
      <c r="AC151" s="518"/>
      <c r="AD151" s="477" t="s">
        <v>71</v>
      </c>
      <c r="AE151" s="477"/>
      <c r="AF151" s="477"/>
      <c r="AG151" s="477"/>
      <c r="AH151" s="477"/>
      <c r="AI151" s="477"/>
      <c r="AJ151" s="478"/>
      <c r="AK151" s="479"/>
      <c r="AL151" s="479"/>
      <c r="AM151" s="479"/>
      <c r="AN151" s="479"/>
      <c r="AO151" s="479"/>
      <c r="AP151" s="480"/>
      <c r="AQ151" s="477">
        <f>H151*8</f>
        <v>899.33752380952365</v>
      </c>
      <c r="AR151" s="477"/>
      <c r="AS151" s="477"/>
      <c r="AT151" s="477"/>
      <c r="AU151" s="529">
        <f>M151*2</f>
        <v>224.83438095238091</v>
      </c>
      <c r="AV151" s="529"/>
      <c r="AW151" s="529"/>
      <c r="AX151" s="529"/>
      <c r="AY151" s="477">
        <f>H151*R149</f>
        <v>3147.681333333333</v>
      </c>
      <c r="AZ151" s="477"/>
      <c r="BA151" s="477"/>
      <c r="BB151" s="481"/>
    </row>
    <row r="152" spans="1:79" ht="18" customHeight="1" thickBot="1" x14ac:dyDescent="0.25">
      <c r="A152" s="494" t="s">
        <v>74</v>
      </c>
      <c r="B152" s="495"/>
      <c r="C152" s="495"/>
      <c r="D152" s="495"/>
      <c r="E152" s="495"/>
      <c r="F152" s="495"/>
      <c r="G152" s="495"/>
      <c r="H152" s="483">
        <f>AU142</f>
        <v>0</v>
      </c>
      <c r="I152" s="483"/>
      <c r="J152" s="483"/>
      <c r="K152" s="483"/>
      <c r="L152" s="483"/>
      <c r="M152" s="482">
        <f t="shared" si="3"/>
        <v>0</v>
      </c>
      <c r="N152" s="482"/>
      <c r="O152" s="482"/>
      <c r="P152" s="482"/>
      <c r="Q152" s="482"/>
      <c r="R152" s="514"/>
      <c r="S152" s="515"/>
      <c r="T152" s="515"/>
      <c r="U152" s="516"/>
      <c r="V152" s="519"/>
      <c r="W152" s="519"/>
      <c r="X152" s="519"/>
      <c r="Y152" s="519"/>
      <c r="Z152" s="519"/>
      <c r="AA152" s="519"/>
      <c r="AB152" s="519"/>
      <c r="AC152" s="519"/>
      <c r="AD152" s="482" t="s">
        <v>71</v>
      </c>
      <c r="AE152" s="482"/>
      <c r="AF152" s="482"/>
      <c r="AG152" s="482"/>
      <c r="AH152" s="482"/>
      <c r="AI152" s="482"/>
      <c r="AJ152" s="496" t="s">
        <v>17</v>
      </c>
      <c r="AK152" s="497"/>
      <c r="AL152" s="497"/>
      <c r="AM152" s="497"/>
      <c r="AN152" s="497"/>
      <c r="AO152" s="497"/>
      <c r="AP152" s="498"/>
      <c r="AQ152" s="477">
        <f>H152*8</f>
        <v>0</v>
      </c>
      <c r="AR152" s="477"/>
      <c r="AS152" s="477"/>
      <c r="AT152" s="477"/>
      <c r="AU152" s="483">
        <f>M152*2</f>
        <v>0</v>
      </c>
      <c r="AV152" s="483"/>
      <c r="AW152" s="483"/>
      <c r="AX152" s="483"/>
      <c r="AY152" s="483">
        <f>H152*R149</f>
        <v>0</v>
      </c>
      <c r="AZ152" s="483"/>
      <c r="BA152" s="483"/>
      <c r="BB152" s="484"/>
    </row>
    <row r="153" spans="1:79" ht="25.5" customHeight="1" x14ac:dyDescent="0.2">
      <c r="A153" s="485" t="s">
        <v>80</v>
      </c>
      <c r="B153" s="486"/>
      <c r="C153" s="486"/>
      <c r="D153" s="486"/>
      <c r="E153" s="486"/>
      <c r="F153" s="486"/>
      <c r="G153" s="487"/>
      <c r="H153" s="488">
        <f>SUM(H149:L152)</f>
        <v>192.30759457099921</v>
      </c>
      <c r="I153" s="488"/>
      <c r="J153" s="488"/>
      <c r="K153" s="488"/>
      <c r="L153" s="488"/>
      <c r="M153" s="488">
        <f>SUM(M149:Q152)</f>
        <v>192.30759457099921</v>
      </c>
      <c r="N153" s="488"/>
      <c r="O153" s="488"/>
      <c r="P153" s="488"/>
      <c r="Q153" s="488"/>
      <c r="R153" s="489">
        <f>R149</f>
        <v>28</v>
      </c>
      <c r="S153" s="489"/>
      <c r="T153" s="489"/>
      <c r="U153" s="489"/>
      <c r="V153" s="490">
        <f>V149</f>
        <v>12</v>
      </c>
      <c r="W153" s="490"/>
      <c r="X153" s="490"/>
      <c r="Y153" s="490"/>
      <c r="Z153" s="490">
        <f>Z149</f>
        <v>1</v>
      </c>
      <c r="AA153" s="490"/>
      <c r="AB153" s="490"/>
      <c r="AC153" s="490"/>
      <c r="AD153" s="488" t="s">
        <v>17</v>
      </c>
      <c r="AE153" s="488"/>
      <c r="AF153" s="488"/>
      <c r="AG153" s="488"/>
      <c r="AH153" s="488"/>
      <c r="AI153" s="488"/>
      <c r="AJ153" s="491" t="s">
        <v>17</v>
      </c>
      <c r="AK153" s="492"/>
      <c r="AL153" s="492"/>
      <c r="AM153" s="492"/>
      <c r="AN153" s="492"/>
      <c r="AO153" s="492"/>
      <c r="AP153" s="493"/>
      <c r="AQ153" s="453">
        <f>SUM(AQ149:AT152)</f>
        <v>1538.4607565679937</v>
      </c>
      <c r="AR153" s="453"/>
      <c r="AS153" s="453"/>
      <c r="AT153" s="453"/>
      <c r="AU153" s="453">
        <f>SUM(AU149:AX152)</f>
        <v>384.61518914199843</v>
      </c>
      <c r="AV153" s="453"/>
      <c r="AW153" s="453"/>
      <c r="AX153" s="453"/>
      <c r="AY153" s="453">
        <f>SUM(AY149:BB152)</f>
        <v>5384.6126479879786</v>
      </c>
      <c r="AZ153" s="453"/>
      <c r="BA153" s="453"/>
      <c r="BB153" s="454"/>
    </row>
    <row r="154" spans="1:79" ht="30.75" customHeight="1" x14ac:dyDescent="0.2">
      <c r="A154" s="455" t="s">
        <v>75</v>
      </c>
      <c r="B154" s="456"/>
      <c r="C154" s="456"/>
      <c r="D154" s="456"/>
      <c r="E154" s="456"/>
      <c r="F154" s="456"/>
      <c r="G154" s="215">
        <v>0.3</v>
      </c>
      <c r="H154" s="457">
        <f>H153*G154</f>
        <v>57.692278371299764</v>
      </c>
      <c r="I154" s="457"/>
      <c r="J154" s="457"/>
      <c r="K154" s="457"/>
      <c r="L154" s="457"/>
      <c r="M154" s="457">
        <f>M153*G154</f>
        <v>57.692278371299764</v>
      </c>
      <c r="N154" s="457"/>
      <c r="O154" s="457"/>
      <c r="P154" s="457"/>
      <c r="Q154" s="457"/>
      <c r="R154" s="818">
        <f>R149</f>
        <v>28</v>
      </c>
      <c r="S154" s="819"/>
      <c r="T154" s="819"/>
      <c r="U154" s="820"/>
      <c r="V154" s="821">
        <f>V149</f>
        <v>12</v>
      </c>
      <c r="W154" s="819"/>
      <c r="X154" s="819"/>
      <c r="Y154" s="820"/>
      <c r="Z154" s="821">
        <f>Z149</f>
        <v>1</v>
      </c>
      <c r="AA154" s="819"/>
      <c r="AB154" s="819"/>
      <c r="AC154" s="820"/>
      <c r="AD154" s="462" t="s">
        <v>17</v>
      </c>
      <c r="AE154" s="462"/>
      <c r="AF154" s="462"/>
      <c r="AG154" s="462"/>
      <c r="AH154" s="462"/>
      <c r="AI154" s="462"/>
      <c r="AJ154" s="462" t="s">
        <v>17</v>
      </c>
      <c r="AK154" s="462"/>
      <c r="AL154" s="462"/>
      <c r="AM154" s="462"/>
      <c r="AN154" s="462"/>
      <c r="AO154" s="462"/>
      <c r="AP154" s="462"/>
      <c r="AQ154" s="466">
        <f>AQ153*G154</f>
        <v>461.53822697039811</v>
      </c>
      <c r="AR154" s="466"/>
      <c r="AS154" s="466"/>
      <c r="AT154" s="466"/>
      <c r="AU154" s="466">
        <f>AU153*G154</f>
        <v>115.38455674259953</v>
      </c>
      <c r="AV154" s="466"/>
      <c r="AW154" s="466"/>
      <c r="AX154" s="466"/>
      <c r="AY154" s="466">
        <f>AY153*G154</f>
        <v>1615.3837943963936</v>
      </c>
      <c r="AZ154" s="466"/>
      <c r="BA154" s="466"/>
      <c r="BB154" s="467"/>
    </row>
    <row r="155" spans="1:79" ht="30.75" customHeight="1" thickBot="1" x14ac:dyDescent="0.25">
      <c r="A155" s="468" t="s">
        <v>81</v>
      </c>
      <c r="B155" s="469"/>
      <c r="C155" s="469"/>
      <c r="D155" s="469"/>
      <c r="E155" s="469"/>
      <c r="F155" s="469"/>
      <c r="G155" s="470"/>
      <c r="H155" s="464">
        <f>H153+H154</f>
        <v>249.99987294229896</v>
      </c>
      <c r="I155" s="464"/>
      <c r="J155" s="464"/>
      <c r="K155" s="464"/>
      <c r="L155" s="464"/>
      <c r="M155" s="471">
        <f>M153+M154</f>
        <v>249.99987294229896</v>
      </c>
      <c r="N155" s="472"/>
      <c r="O155" s="472"/>
      <c r="P155" s="472"/>
      <c r="Q155" s="473"/>
      <c r="R155" s="825">
        <f>R149</f>
        <v>28</v>
      </c>
      <c r="S155" s="826"/>
      <c r="T155" s="826"/>
      <c r="U155" s="827"/>
      <c r="V155" s="828">
        <f>V149</f>
        <v>12</v>
      </c>
      <c r="W155" s="829"/>
      <c r="X155" s="829"/>
      <c r="Y155" s="830"/>
      <c r="Z155" s="828">
        <f>Z149</f>
        <v>1</v>
      </c>
      <c r="AA155" s="829"/>
      <c r="AB155" s="829"/>
      <c r="AC155" s="830"/>
      <c r="AD155" s="463" t="s">
        <v>17</v>
      </c>
      <c r="AE155" s="463"/>
      <c r="AF155" s="463"/>
      <c r="AG155" s="463"/>
      <c r="AH155" s="463"/>
      <c r="AI155" s="463"/>
      <c r="AJ155" s="463" t="s">
        <v>17</v>
      </c>
      <c r="AK155" s="463"/>
      <c r="AL155" s="463"/>
      <c r="AM155" s="463"/>
      <c r="AN155" s="463"/>
      <c r="AO155" s="463"/>
      <c r="AP155" s="463"/>
      <c r="AQ155" s="464">
        <f>AQ153+AQ154</f>
        <v>1999.9989835383917</v>
      </c>
      <c r="AR155" s="464"/>
      <c r="AS155" s="464"/>
      <c r="AT155" s="464"/>
      <c r="AU155" s="464">
        <f>AU153+AU154</f>
        <v>499.99974588459793</v>
      </c>
      <c r="AV155" s="464"/>
      <c r="AW155" s="464"/>
      <c r="AX155" s="464"/>
      <c r="AY155" s="464">
        <f>AY153+AY154</f>
        <v>6999.9964423843721</v>
      </c>
      <c r="AZ155" s="464"/>
      <c r="BA155" s="464"/>
      <c r="BB155" s="465"/>
      <c r="BE155" s="216"/>
      <c r="BF155" s="216"/>
    </row>
    <row r="156" spans="1:79" ht="16.5" customHeight="1" x14ac:dyDescent="0.2">
      <c r="BC156" s="432"/>
      <c r="BD156" s="432"/>
      <c r="BE156" s="216"/>
      <c r="BF156" s="216"/>
      <c r="BG156" s="216"/>
      <c r="BH156" s="216"/>
      <c r="BI156" s="216"/>
    </row>
    <row r="157" spans="1:79" ht="12" customHeight="1" x14ac:dyDescent="0.2">
      <c r="BC157" s="432"/>
      <c r="BD157" s="432"/>
      <c r="BE157" s="216"/>
      <c r="BF157" s="216"/>
    </row>
    <row r="158" spans="1:79" ht="14.25" customHeight="1" x14ac:dyDescent="0.2">
      <c r="B158" s="452" t="s">
        <v>221</v>
      </c>
      <c r="C158" s="452"/>
      <c r="D158" s="452"/>
      <c r="E158" s="452"/>
      <c r="F158" s="452"/>
      <c r="G158" s="452"/>
      <c r="H158" s="452"/>
      <c r="I158" s="452"/>
      <c r="J158" s="452"/>
      <c r="K158" s="452"/>
      <c r="L158" s="452"/>
      <c r="M158" s="452"/>
      <c r="N158" s="452"/>
      <c r="O158" s="452"/>
      <c r="P158" s="452"/>
      <c r="Q158" s="452"/>
      <c r="R158" s="452"/>
      <c r="S158" s="452"/>
      <c r="U158" s="164"/>
      <c r="V158" s="164"/>
      <c r="W158" s="164"/>
      <c r="X158" s="217"/>
      <c r="Y158" s="217"/>
      <c r="Z158" s="217"/>
      <c r="AA158" s="217"/>
      <c r="AB158" s="217"/>
      <c r="AC158" s="217"/>
      <c r="AD158" s="217"/>
      <c r="AE158" s="217"/>
      <c r="AF158" s="217"/>
      <c r="AG158" s="217"/>
      <c r="AH158" s="217"/>
      <c r="AI158" s="217"/>
      <c r="AJ158" s="217"/>
      <c r="AK158" s="217"/>
      <c r="AM158" s="442" t="s">
        <v>222</v>
      </c>
      <c r="AN158" s="763"/>
      <c r="AO158" s="763"/>
      <c r="AP158" s="763"/>
      <c r="AQ158" s="763"/>
      <c r="AR158" s="763"/>
      <c r="AS158" s="763"/>
      <c r="AT158" s="763"/>
      <c r="AU158" s="763"/>
      <c r="AV158" s="763"/>
      <c r="AW158" s="763"/>
      <c r="AX158" s="763"/>
      <c r="AY158" s="763"/>
      <c r="AZ158" s="763"/>
      <c r="BA158" s="763"/>
      <c r="BB158" s="763"/>
      <c r="BC158" s="442"/>
      <c r="BD158" s="442"/>
      <c r="BE158" s="216"/>
      <c r="BF158" s="216"/>
    </row>
    <row r="159" spans="1:79" ht="8.25" customHeight="1" x14ac:dyDescent="0.2">
      <c r="B159" s="452" t="s">
        <v>78</v>
      </c>
      <c r="C159" s="452"/>
      <c r="D159" s="452"/>
      <c r="E159" s="452"/>
      <c r="F159" s="452"/>
      <c r="G159" s="452"/>
      <c r="H159" s="452"/>
      <c r="I159" s="452"/>
      <c r="J159" s="452"/>
      <c r="K159" s="452"/>
      <c r="L159" s="452"/>
      <c r="M159" s="452"/>
      <c r="N159" s="452"/>
      <c r="O159" s="452"/>
      <c r="P159" s="452"/>
      <c r="Q159" s="452"/>
      <c r="R159" s="452"/>
      <c r="S159" s="452"/>
      <c r="AM159" s="442" t="s">
        <v>418</v>
      </c>
      <c r="AN159" s="442"/>
      <c r="AO159" s="442"/>
      <c r="AP159" s="442"/>
      <c r="AQ159" s="442"/>
      <c r="AR159" s="442"/>
      <c r="AS159" s="442"/>
      <c r="AT159" s="442"/>
      <c r="AU159" s="442"/>
      <c r="AV159" s="442"/>
      <c r="AW159" s="442"/>
      <c r="AX159" s="442"/>
      <c r="AY159" s="442"/>
      <c r="AZ159" s="442"/>
      <c r="BA159" s="442"/>
      <c r="BB159" s="442"/>
      <c r="BC159" s="442"/>
      <c r="BD159" s="219"/>
    </row>
    <row r="160" spans="1:79" ht="19.5" customHeight="1" x14ac:dyDescent="0.2">
      <c r="B160" s="452"/>
      <c r="C160" s="452"/>
      <c r="D160" s="452"/>
      <c r="E160" s="452"/>
      <c r="F160" s="452"/>
      <c r="G160" s="452"/>
      <c r="H160" s="452"/>
      <c r="I160" s="452"/>
      <c r="J160" s="452"/>
      <c r="K160" s="452"/>
      <c r="L160" s="452"/>
      <c r="M160" s="452"/>
      <c r="N160" s="452"/>
      <c r="O160" s="452"/>
      <c r="P160" s="452"/>
      <c r="Q160" s="452"/>
      <c r="R160" s="452"/>
      <c r="S160" s="452"/>
      <c r="U160" s="164"/>
      <c r="V160" s="164"/>
      <c r="W160" s="164"/>
      <c r="X160" s="217"/>
      <c r="Y160" s="217"/>
      <c r="Z160" s="217"/>
      <c r="AA160" s="217"/>
      <c r="AB160" s="217"/>
      <c r="AC160" s="217"/>
      <c r="AD160" s="217"/>
      <c r="AE160" s="217"/>
      <c r="AF160" s="217"/>
      <c r="AG160" s="217"/>
      <c r="AH160" s="217"/>
      <c r="AI160" s="217"/>
      <c r="AJ160" s="217"/>
      <c r="AK160" s="217"/>
      <c r="AM160" s="442"/>
      <c r="AN160" s="442"/>
      <c r="AO160" s="442"/>
      <c r="AP160" s="442"/>
      <c r="AQ160" s="442"/>
      <c r="AR160" s="442"/>
      <c r="AS160" s="442"/>
      <c r="AT160" s="442"/>
      <c r="AU160" s="442"/>
      <c r="AV160" s="442"/>
      <c r="AW160" s="442"/>
      <c r="AX160" s="442"/>
      <c r="AY160" s="442"/>
      <c r="AZ160" s="442"/>
      <c r="BA160" s="442"/>
      <c r="BB160" s="442"/>
      <c r="BC160" s="442"/>
      <c r="BD160" s="219"/>
      <c r="BE160" s="432"/>
      <c r="BF160" s="432"/>
      <c r="BG160" s="432"/>
      <c r="BH160" s="432"/>
      <c r="BI160" s="432"/>
      <c r="BJ160" s="432"/>
      <c r="BK160" s="432"/>
      <c r="BL160" s="432"/>
      <c r="BM160" s="432"/>
      <c r="BN160" s="432"/>
      <c r="BO160" s="432"/>
      <c r="BP160" s="432"/>
      <c r="BQ160" s="432"/>
      <c r="BR160" s="432"/>
      <c r="BS160" s="432"/>
      <c r="BT160" s="432"/>
      <c r="BU160" s="432"/>
      <c r="BV160" s="432"/>
      <c r="BW160" s="432"/>
      <c r="BX160" s="432"/>
      <c r="BY160" s="432"/>
      <c r="BZ160" s="432"/>
      <c r="CA160" s="432"/>
    </row>
    <row r="161" spans="1:98" ht="15.75" customHeight="1" x14ac:dyDescent="0.2">
      <c r="BE161" s="432"/>
      <c r="BF161" s="432"/>
      <c r="BG161" s="432"/>
      <c r="BH161" s="433"/>
      <c r="BI161" s="433"/>
      <c r="BJ161" s="433"/>
      <c r="BK161" s="433"/>
      <c r="BL161" s="433"/>
      <c r="BM161" s="311"/>
      <c r="BN161" s="311"/>
      <c r="BO161" s="311"/>
      <c r="BP161" s="311"/>
      <c r="BQ161" s="311"/>
      <c r="BR161" s="311"/>
      <c r="BS161" s="311"/>
      <c r="BT161" s="311"/>
    </row>
    <row r="162" spans="1:98" ht="13.5" customHeight="1" x14ac:dyDescent="0.2">
      <c r="A162" s="219" t="s">
        <v>125</v>
      </c>
      <c r="B162" s="219"/>
      <c r="C162" s="219"/>
      <c r="D162" s="219"/>
      <c r="BE162" s="434"/>
      <c r="BF162" s="432"/>
      <c r="BG162" s="432"/>
      <c r="BH162" s="216"/>
      <c r="BI162" s="432"/>
      <c r="BJ162" s="432"/>
      <c r="BK162" s="432"/>
      <c r="BL162" s="432"/>
      <c r="BM162" s="432"/>
      <c r="BN162" s="432"/>
      <c r="BO162" s="432"/>
      <c r="BP162" s="432"/>
      <c r="BQ162" s="432"/>
      <c r="BR162" s="432"/>
      <c r="BS162" s="432"/>
      <c r="BT162" s="432"/>
    </row>
    <row r="163" spans="1:98" ht="8.25" hidden="1" customHeight="1" x14ac:dyDescent="0.2"/>
    <row r="164" spans="1:98" ht="12" hidden="1" x14ac:dyDescent="0.2">
      <c r="BE164" s="432" t="s">
        <v>547</v>
      </c>
      <c r="BF164" s="432"/>
      <c r="BG164" s="432"/>
      <c r="BH164" s="432"/>
      <c r="BI164" s="432"/>
      <c r="BJ164" s="432"/>
      <c r="BK164" s="432"/>
      <c r="BL164" s="432"/>
      <c r="BM164" s="432"/>
      <c r="BN164" s="432"/>
      <c r="BO164" s="432"/>
      <c r="BP164" s="432"/>
      <c r="BQ164" s="432"/>
      <c r="BR164" s="432"/>
      <c r="BS164" s="432"/>
      <c r="BT164" s="432"/>
      <c r="BU164" s="432"/>
      <c r="BV164" s="432"/>
      <c r="BW164" s="432"/>
      <c r="BX164" s="432"/>
      <c r="BY164" s="432"/>
      <c r="BZ164" s="432"/>
      <c r="CA164" s="432"/>
    </row>
    <row r="165" spans="1:98" ht="12" hidden="1" x14ac:dyDescent="0.2">
      <c r="BE165" s="432" t="s">
        <v>126</v>
      </c>
      <c r="BF165" s="432"/>
      <c r="BG165" s="432"/>
      <c r="BH165" s="433">
        <f>200*80</f>
        <v>16000</v>
      </c>
      <c r="BI165" s="433"/>
      <c r="BJ165" s="433"/>
      <c r="BK165" s="433"/>
      <c r="BL165" s="433"/>
      <c r="BM165" s="311" t="s">
        <v>127</v>
      </c>
      <c r="BN165" s="311"/>
      <c r="BO165" s="311"/>
      <c r="BP165" s="311"/>
      <c r="BQ165" s="311"/>
      <c r="BR165" s="311"/>
      <c r="BS165" s="311"/>
      <c r="BT165" s="311"/>
    </row>
    <row r="166" spans="1:98" ht="15" hidden="1" x14ac:dyDescent="0.25">
      <c r="BE166" s="434">
        <v>0.6</v>
      </c>
      <c r="BF166" s="432"/>
      <c r="BG166" s="432"/>
      <c r="BH166" s="216">
        <f>BH165*BE166</f>
        <v>9600</v>
      </c>
      <c r="BI166" s="432" t="s">
        <v>128</v>
      </c>
      <c r="BJ166" s="432"/>
      <c r="BK166" s="432"/>
      <c r="BL166" s="432"/>
      <c r="BM166" s="432"/>
      <c r="BN166" s="432" t="s">
        <v>129</v>
      </c>
      <c r="BO166" s="432"/>
      <c r="BP166" s="432"/>
      <c r="BQ166" s="432"/>
      <c r="BR166" s="432"/>
      <c r="BS166" s="432"/>
      <c r="BT166" s="432"/>
      <c r="CE166" s="432" t="s">
        <v>368</v>
      </c>
      <c r="CF166" s="443"/>
      <c r="CG166" s="443"/>
      <c r="CH166" s="443"/>
      <c r="CI166" s="443"/>
      <c r="CJ166" s="443"/>
      <c r="CM166" s="432" t="s">
        <v>366</v>
      </c>
      <c r="CN166" s="443"/>
      <c r="CO166" s="443"/>
      <c r="CP166" s="443"/>
      <c r="CQ166" s="443"/>
      <c r="CR166" s="443"/>
      <c r="CS166" s="443"/>
      <c r="CT166" s="443"/>
    </row>
    <row r="167" spans="1:98" ht="15" hidden="1" x14ac:dyDescent="0.25">
      <c r="BE167" s="432">
        <v>211</v>
      </c>
      <c r="BF167" s="432"/>
      <c r="BG167" s="432"/>
      <c r="BH167" s="216">
        <f>BH166-BH168</f>
        <v>7373.2718894009213</v>
      </c>
      <c r="BI167" s="435">
        <f>BH167*0.2</f>
        <v>1474.6543778801843</v>
      </c>
      <c r="BJ167" s="435"/>
      <c r="BK167" s="435"/>
      <c r="BL167" s="435"/>
      <c r="BM167" s="435"/>
      <c r="BN167" s="436">
        <f>BH167-BI167</f>
        <v>5898.617511520737</v>
      </c>
      <c r="BO167" s="445"/>
      <c r="BP167" s="445"/>
      <c r="BQ167" s="445"/>
      <c r="BR167" s="445"/>
      <c r="BS167" s="445"/>
      <c r="BT167" s="445"/>
      <c r="CE167" s="437">
        <f>BI167*15/20</f>
        <v>1105.9907834101382</v>
      </c>
      <c r="CF167" s="446"/>
      <c r="CG167" s="446"/>
      <c r="CH167" s="446"/>
      <c r="CI167" s="446"/>
      <c r="CJ167" s="446"/>
      <c r="CM167" s="437">
        <f>BI167*5/20</f>
        <v>368.66359447004606</v>
      </c>
      <c r="CN167" s="446"/>
      <c r="CO167" s="446"/>
      <c r="CP167" s="446"/>
      <c r="CQ167" s="446"/>
      <c r="CR167" s="446"/>
      <c r="CS167" s="446"/>
      <c r="CT167" s="446"/>
    </row>
    <row r="168" spans="1:98" ht="12" hidden="1" x14ac:dyDescent="0.2">
      <c r="BE168" s="432">
        <v>213</v>
      </c>
      <c r="BF168" s="432"/>
      <c r="BG168" s="432"/>
      <c r="BH168" s="216">
        <f>BH166*30.2/130.2</f>
        <v>2226.7281105990787</v>
      </c>
      <c r="BI168" s="435">
        <f>BI167*30.2%</f>
        <v>445.34562211981563</v>
      </c>
      <c r="BJ168" s="435"/>
      <c r="BK168" s="435"/>
      <c r="BL168" s="435"/>
      <c r="BM168" s="435"/>
      <c r="BN168" s="435">
        <f>BN167*30.2%</f>
        <v>1781.3824884792625</v>
      </c>
      <c r="BO168" s="435"/>
      <c r="BP168" s="435"/>
      <c r="BQ168" s="435"/>
      <c r="BR168" s="435"/>
      <c r="BS168" s="435"/>
      <c r="BT168" s="435"/>
    </row>
    <row r="169" spans="1:98" ht="8.25" hidden="1" customHeight="1" x14ac:dyDescent="0.2"/>
    <row r="170" spans="1:98" ht="8.25" hidden="1" customHeight="1" x14ac:dyDescent="0.2"/>
    <row r="171" spans="1:98" ht="12" hidden="1" x14ac:dyDescent="0.2">
      <c r="BE171" s="432" t="s">
        <v>573</v>
      </c>
      <c r="BF171" s="432"/>
      <c r="BG171" s="432"/>
      <c r="BH171" s="432"/>
      <c r="BI171" s="432"/>
      <c r="BJ171" s="432"/>
      <c r="BK171" s="432"/>
      <c r="BL171" s="432"/>
      <c r="BM171" s="432"/>
      <c r="BN171" s="432"/>
      <c r="BO171" s="432"/>
      <c r="BP171" s="432"/>
      <c r="BQ171" s="432"/>
      <c r="BR171" s="432"/>
      <c r="BS171" s="432"/>
      <c r="BT171" s="432"/>
      <c r="BU171" s="432"/>
      <c r="BV171" s="432"/>
      <c r="BW171" s="432"/>
      <c r="BX171" s="432"/>
      <c r="BY171" s="432"/>
      <c r="BZ171" s="432"/>
      <c r="CA171" s="432"/>
    </row>
    <row r="172" spans="1:98" ht="12" hidden="1" x14ac:dyDescent="0.2">
      <c r="BE172" s="432" t="s">
        <v>126</v>
      </c>
      <c r="BF172" s="432"/>
      <c r="BG172" s="432"/>
      <c r="BH172" s="433">
        <f>200*64</f>
        <v>12800</v>
      </c>
      <c r="BI172" s="433"/>
      <c r="BJ172" s="433"/>
      <c r="BK172" s="433"/>
      <c r="BL172" s="433"/>
      <c r="BM172" s="324" t="s">
        <v>127</v>
      </c>
      <c r="BN172" s="324"/>
      <c r="BO172" s="324"/>
      <c r="BP172" s="324"/>
      <c r="BQ172" s="324"/>
      <c r="BR172" s="324"/>
      <c r="BS172" s="324"/>
      <c r="BT172" s="324"/>
    </row>
    <row r="173" spans="1:98" ht="15" hidden="1" x14ac:dyDescent="0.25">
      <c r="BE173" s="434">
        <v>0.6</v>
      </c>
      <c r="BF173" s="432"/>
      <c r="BG173" s="432"/>
      <c r="BH173" s="216">
        <f>BH172*BE173</f>
        <v>7680</v>
      </c>
      <c r="BI173" s="432" t="s">
        <v>128</v>
      </c>
      <c r="BJ173" s="432"/>
      <c r="BK173" s="432"/>
      <c r="BL173" s="432"/>
      <c r="BM173" s="432"/>
      <c r="BN173" s="432" t="s">
        <v>129</v>
      </c>
      <c r="BO173" s="432"/>
      <c r="BP173" s="432"/>
      <c r="BQ173" s="432"/>
      <c r="BR173" s="432"/>
      <c r="BS173" s="432"/>
      <c r="BT173" s="432"/>
      <c r="CE173" s="432" t="s">
        <v>368</v>
      </c>
      <c r="CF173" s="443"/>
      <c r="CG173" s="443"/>
      <c r="CH173" s="443"/>
      <c r="CI173" s="443"/>
      <c r="CJ173" s="443"/>
      <c r="CM173" s="432" t="s">
        <v>366</v>
      </c>
      <c r="CN173" s="443"/>
      <c r="CO173" s="443"/>
      <c r="CP173" s="443"/>
      <c r="CQ173" s="443"/>
      <c r="CR173" s="443"/>
      <c r="CS173" s="443"/>
      <c r="CT173" s="443"/>
    </row>
    <row r="174" spans="1:98" ht="15" hidden="1" x14ac:dyDescent="0.25">
      <c r="BE174" s="432">
        <v>211</v>
      </c>
      <c r="BF174" s="432"/>
      <c r="BG174" s="432"/>
      <c r="BH174" s="216">
        <f>BH173-BH175</f>
        <v>5898.617511520737</v>
      </c>
      <c r="BI174" s="435">
        <f>BH174*0.2</f>
        <v>1179.7235023041474</v>
      </c>
      <c r="BJ174" s="435"/>
      <c r="BK174" s="435"/>
      <c r="BL174" s="435"/>
      <c r="BM174" s="435"/>
      <c r="BN174" s="436">
        <f>BH174-BI174</f>
        <v>4718.8940092165894</v>
      </c>
      <c r="BO174" s="445"/>
      <c r="BP174" s="445"/>
      <c r="BQ174" s="445"/>
      <c r="BR174" s="445"/>
      <c r="BS174" s="445"/>
      <c r="BT174" s="445"/>
      <c r="CE174" s="437">
        <f>BI174*15/20</f>
        <v>884.79262672811058</v>
      </c>
      <c r="CF174" s="446"/>
      <c r="CG174" s="446"/>
      <c r="CH174" s="446"/>
      <c r="CI174" s="446"/>
      <c r="CJ174" s="446"/>
      <c r="CM174" s="437">
        <f>BI174*5/20</f>
        <v>294.93087557603684</v>
      </c>
      <c r="CN174" s="446"/>
      <c r="CO174" s="446"/>
      <c r="CP174" s="446"/>
      <c r="CQ174" s="446"/>
      <c r="CR174" s="446"/>
      <c r="CS174" s="446"/>
      <c r="CT174" s="446"/>
    </row>
    <row r="175" spans="1:98" ht="12" hidden="1" x14ac:dyDescent="0.2">
      <c r="BE175" s="432">
        <v>213</v>
      </c>
      <c r="BF175" s="432"/>
      <c r="BG175" s="432"/>
      <c r="BH175" s="216">
        <f>BH173*30.2/130.2</f>
        <v>1781.3824884792627</v>
      </c>
      <c r="BI175" s="435">
        <f>BI174*30.2%</f>
        <v>356.27649769585247</v>
      </c>
      <c r="BJ175" s="435"/>
      <c r="BK175" s="435"/>
      <c r="BL175" s="435"/>
      <c r="BM175" s="435"/>
      <c r="BN175" s="435">
        <f>BN174*30.2%</f>
        <v>1425.1059907834099</v>
      </c>
      <c r="BO175" s="435"/>
      <c r="BP175" s="435"/>
      <c r="BQ175" s="435"/>
      <c r="BR175" s="435"/>
      <c r="BS175" s="435"/>
      <c r="BT175" s="435"/>
    </row>
    <row r="176" spans="1:98" ht="8.25" hidden="1" customHeight="1" x14ac:dyDescent="0.2"/>
    <row r="177" spans="57:98" ht="8.25" hidden="1" customHeight="1" x14ac:dyDescent="0.2"/>
    <row r="178" spans="57:98" ht="12" hidden="1" x14ac:dyDescent="0.2">
      <c r="BE178" s="432" t="s">
        <v>588</v>
      </c>
      <c r="BF178" s="432"/>
      <c r="BG178" s="432"/>
      <c r="BH178" s="432"/>
      <c r="BI178" s="432"/>
      <c r="BJ178" s="432"/>
      <c r="BK178" s="432"/>
      <c r="BL178" s="432"/>
      <c r="BM178" s="432"/>
      <c r="BN178" s="432"/>
      <c r="BO178" s="432"/>
      <c r="BP178" s="432"/>
      <c r="BQ178" s="432"/>
      <c r="BR178" s="432"/>
      <c r="BS178" s="432"/>
      <c r="BT178" s="432"/>
      <c r="BU178" s="432"/>
      <c r="BV178" s="432"/>
      <c r="BW178" s="432"/>
      <c r="BX178" s="432"/>
      <c r="BY178" s="432"/>
      <c r="BZ178" s="432"/>
      <c r="CA178" s="432"/>
    </row>
    <row r="179" spans="57:98" ht="12" hidden="1" x14ac:dyDescent="0.2">
      <c r="BE179" s="432" t="s">
        <v>126</v>
      </c>
      <c r="BF179" s="432"/>
      <c r="BG179" s="432"/>
      <c r="BH179" s="433">
        <f>200*103</f>
        <v>20600</v>
      </c>
      <c r="BI179" s="433"/>
      <c r="BJ179" s="433"/>
      <c r="BK179" s="433"/>
      <c r="BL179" s="433"/>
      <c r="BM179" s="340" t="s">
        <v>127</v>
      </c>
      <c r="BN179" s="340"/>
      <c r="BO179" s="340"/>
      <c r="BP179" s="340"/>
      <c r="BQ179" s="340"/>
      <c r="BR179" s="340"/>
      <c r="BS179" s="340"/>
      <c r="BT179" s="340"/>
    </row>
    <row r="180" spans="57:98" ht="15" hidden="1" x14ac:dyDescent="0.25">
      <c r="BE180" s="434">
        <v>0.6</v>
      </c>
      <c r="BF180" s="432"/>
      <c r="BG180" s="432"/>
      <c r="BH180" s="216">
        <f>BH179*BE180</f>
        <v>12360</v>
      </c>
      <c r="BI180" s="432" t="s">
        <v>128</v>
      </c>
      <c r="BJ180" s="432"/>
      <c r="BK180" s="432"/>
      <c r="BL180" s="432"/>
      <c r="BM180" s="432"/>
      <c r="BN180" s="432" t="s">
        <v>129</v>
      </c>
      <c r="BO180" s="432"/>
      <c r="BP180" s="432"/>
      <c r="BQ180" s="432"/>
      <c r="BR180" s="432"/>
      <c r="BS180" s="432"/>
      <c r="BT180" s="432"/>
      <c r="CE180" s="432" t="s">
        <v>368</v>
      </c>
      <c r="CF180" s="443"/>
      <c r="CG180" s="443"/>
      <c r="CH180" s="443"/>
      <c r="CI180" s="443"/>
      <c r="CJ180" s="443"/>
      <c r="CM180" s="432" t="s">
        <v>366</v>
      </c>
      <c r="CN180" s="443"/>
      <c r="CO180" s="443"/>
      <c r="CP180" s="443"/>
      <c r="CQ180" s="443"/>
      <c r="CR180" s="443"/>
      <c r="CS180" s="443"/>
      <c r="CT180" s="443"/>
    </row>
    <row r="181" spans="57:98" ht="15" hidden="1" x14ac:dyDescent="0.25">
      <c r="BE181" s="432">
        <v>211</v>
      </c>
      <c r="BF181" s="432"/>
      <c r="BG181" s="432"/>
      <c r="BH181" s="216">
        <f>BH180-BH182</f>
        <v>9493.0875576036869</v>
      </c>
      <c r="BI181" s="435">
        <f>BH181*0.2</f>
        <v>1898.6175115207375</v>
      </c>
      <c r="BJ181" s="435"/>
      <c r="BK181" s="435"/>
      <c r="BL181" s="435"/>
      <c r="BM181" s="435"/>
      <c r="BN181" s="436">
        <f>BH181-BI181</f>
        <v>7594.4700460829499</v>
      </c>
      <c r="BO181" s="445"/>
      <c r="BP181" s="445"/>
      <c r="BQ181" s="445"/>
      <c r="BR181" s="445"/>
      <c r="BS181" s="445"/>
      <c r="BT181" s="445"/>
      <c r="CE181" s="437">
        <f>BI181*15/20</f>
        <v>1423.9631336405532</v>
      </c>
      <c r="CF181" s="446"/>
      <c r="CG181" s="446"/>
      <c r="CH181" s="446"/>
      <c r="CI181" s="446"/>
      <c r="CJ181" s="446"/>
      <c r="CM181" s="437">
        <f>BI181*5/20</f>
        <v>474.65437788018437</v>
      </c>
      <c r="CN181" s="446"/>
      <c r="CO181" s="446"/>
      <c r="CP181" s="446"/>
      <c r="CQ181" s="446"/>
      <c r="CR181" s="446"/>
      <c r="CS181" s="446"/>
      <c r="CT181" s="446"/>
    </row>
    <row r="182" spans="57:98" ht="12" hidden="1" x14ac:dyDescent="0.2">
      <c r="BE182" s="432">
        <v>213</v>
      </c>
      <c r="BF182" s="432"/>
      <c r="BG182" s="432"/>
      <c r="BH182" s="216">
        <f>BH180*30.2/130.2</f>
        <v>2866.9124423963135</v>
      </c>
      <c r="BI182" s="435">
        <f>BI181*30.2%</f>
        <v>573.38248847926275</v>
      </c>
      <c r="BJ182" s="435"/>
      <c r="BK182" s="435"/>
      <c r="BL182" s="435"/>
      <c r="BM182" s="435"/>
      <c r="BN182" s="435">
        <f>BN181*30.2%</f>
        <v>2293.529953917051</v>
      </c>
      <c r="BO182" s="435"/>
      <c r="BP182" s="435"/>
      <c r="BQ182" s="435"/>
      <c r="BR182" s="435"/>
      <c r="BS182" s="435"/>
      <c r="BT182" s="435"/>
    </row>
    <row r="183" spans="57:98" ht="8.25" hidden="1" customHeight="1" x14ac:dyDescent="0.2"/>
    <row r="184" spans="57:98" ht="8.25" hidden="1" customHeight="1" x14ac:dyDescent="0.2"/>
    <row r="185" spans="57:98" ht="12" hidden="1" x14ac:dyDescent="0.2">
      <c r="BE185" s="432" t="s">
        <v>606</v>
      </c>
      <c r="BF185" s="432"/>
      <c r="BG185" s="432"/>
      <c r="BH185" s="432"/>
      <c r="BI185" s="432"/>
      <c r="BJ185" s="432"/>
      <c r="BK185" s="432"/>
      <c r="BL185" s="432"/>
      <c r="BM185" s="432"/>
      <c r="BN185" s="432"/>
      <c r="BO185" s="432"/>
      <c r="BP185" s="432"/>
      <c r="BQ185" s="432"/>
      <c r="BR185" s="432"/>
      <c r="BS185" s="432"/>
      <c r="BT185" s="432"/>
      <c r="BU185" s="432"/>
      <c r="BV185" s="432"/>
      <c r="BW185" s="432"/>
      <c r="BX185" s="432"/>
      <c r="BY185" s="432"/>
      <c r="BZ185" s="432"/>
      <c r="CA185" s="432"/>
    </row>
    <row r="186" spans="57:98" ht="12" hidden="1" x14ac:dyDescent="0.2">
      <c r="BE186" s="432" t="s">
        <v>126</v>
      </c>
      <c r="BF186" s="432"/>
      <c r="BG186" s="432"/>
      <c r="BH186" s="433">
        <f>200*26</f>
        <v>5200</v>
      </c>
      <c r="BI186" s="433"/>
      <c r="BJ186" s="433"/>
      <c r="BK186" s="433"/>
      <c r="BL186" s="433"/>
      <c r="BM186" s="348" t="s">
        <v>127</v>
      </c>
      <c r="BN186" s="348"/>
      <c r="BO186" s="348"/>
      <c r="BP186" s="348"/>
      <c r="BQ186" s="348"/>
      <c r="BR186" s="348"/>
      <c r="BS186" s="348"/>
      <c r="BT186" s="348"/>
    </row>
    <row r="187" spans="57:98" ht="15" hidden="1" x14ac:dyDescent="0.25">
      <c r="BE187" s="434">
        <v>0.6</v>
      </c>
      <c r="BF187" s="432"/>
      <c r="BG187" s="432"/>
      <c r="BH187" s="216">
        <f>BH186*BE187</f>
        <v>3120</v>
      </c>
      <c r="BI187" s="432" t="s">
        <v>128</v>
      </c>
      <c r="BJ187" s="432"/>
      <c r="BK187" s="432"/>
      <c r="BL187" s="432"/>
      <c r="BM187" s="432"/>
      <c r="BN187" s="432" t="s">
        <v>129</v>
      </c>
      <c r="BO187" s="432"/>
      <c r="BP187" s="432"/>
      <c r="BQ187" s="432"/>
      <c r="BR187" s="432"/>
      <c r="BS187" s="432"/>
      <c r="BT187" s="432"/>
      <c r="CE187" s="432" t="s">
        <v>368</v>
      </c>
      <c r="CF187" s="443"/>
      <c r="CG187" s="443"/>
      <c r="CH187" s="443"/>
      <c r="CI187" s="443"/>
      <c r="CJ187" s="443"/>
      <c r="CM187" s="432" t="s">
        <v>366</v>
      </c>
      <c r="CN187" s="443"/>
      <c r="CO187" s="443"/>
      <c r="CP187" s="443"/>
      <c r="CQ187" s="443"/>
      <c r="CR187" s="443"/>
      <c r="CS187" s="443"/>
      <c r="CT187" s="443"/>
    </row>
    <row r="188" spans="57:98" ht="15" hidden="1" x14ac:dyDescent="0.25">
      <c r="BE188" s="432">
        <v>211</v>
      </c>
      <c r="BF188" s="432"/>
      <c r="BG188" s="432"/>
      <c r="BH188" s="216">
        <f>BH187-BH189</f>
        <v>2396.3133640552996</v>
      </c>
      <c r="BI188" s="435">
        <f>BH188*0.2</f>
        <v>479.26267281105993</v>
      </c>
      <c r="BJ188" s="435"/>
      <c r="BK188" s="435"/>
      <c r="BL188" s="435"/>
      <c r="BM188" s="435"/>
      <c r="BN188" s="436">
        <f>BH188-BI188</f>
        <v>1917.0506912442397</v>
      </c>
      <c r="BO188" s="445"/>
      <c r="BP188" s="445"/>
      <c r="BQ188" s="445"/>
      <c r="BR188" s="445"/>
      <c r="BS188" s="445"/>
      <c r="BT188" s="445"/>
      <c r="CE188" s="437">
        <f>BI188*15/20</f>
        <v>359.44700460829495</v>
      </c>
      <c r="CF188" s="446"/>
      <c r="CG188" s="446"/>
      <c r="CH188" s="446"/>
      <c r="CI188" s="446"/>
      <c r="CJ188" s="446"/>
      <c r="CM188" s="437">
        <f>BI188*5/20</f>
        <v>119.81566820276498</v>
      </c>
      <c r="CN188" s="446"/>
      <c r="CO188" s="446"/>
      <c r="CP188" s="446"/>
      <c r="CQ188" s="446"/>
      <c r="CR188" s="446"/>
      <c r="CS188" s="446"/>
      <c r="CT188" s="446"/>
    </row>
    <row r="189" spans="57:98" ht="12" hidden="1" x14ac:dyDescent="0.2">
      <c r="BE189" s="432">
        <v>213</v>
      </c>
      <c r="BF189" s="432"/>
      <c r="BG189" s="432"/>
      <c r="BH189" s="216">
        <f>BH187*30.2/130.2</f>
        <v>723.68663594470047</v>
      </c>
      <c r="BI189" s="435">
        <f>BI188*30.2%</f>
        <v>144.7373271889401</v>
      </c>
      <c r="BJ189" s="435"/>
      <c r="BK189" s="435"/>
      <c r="BL189" s="435"/>
      <c r="BM189" s="435"/>
      <c r="BN189" s="435">
        <f>BN188*30.2%</f>
        <v>578.9493087557604</v>
      </c>
      <c r="BO189" s="435"/>
      <c r="BP189" s="435"/>
      <c r="BQ189" s="435"/>
      <c r="BR189" s="435"/>
      <c r="BS189" s="435"/>
      <c r="BT189" s="435"/>
    </row>
    <row r="190" spans="57:98" ht="8.25" hidden="1" customHeight="1" x14ac:dyDescent="0.2"/>
    <row r="191" spans="57:98" ht="8.25" hidden="1" customHeight="1" x14ac:dyDescent="0.2"/>
    <row r="192" spans="57:98" ht="8.25" hidden="1" customHeight="1" x14ac:dyDescent="0.2"/>
    <row r="193" spans="57:98" ht="12" hidden="1" x14ac:dyDescent="0.2">
      <c r="BE193" s="432" t="s">
        <v>627</v>
      </c>
      <c r="BF193" s="432"/>
      <c r="BG193" s="432"/>
      <c r="BH193" s="432"/>
      <c r="BI193" s="432"/>
      <c r="BJ193" s="432"/>
      <c r="BK193" s="432"/>
      <c r="BL193" s="432"/>
      <c r="BM193" s="432"/>
      <c r="BN193" s="432"/>
      <c r="BO193" s="432"/>
      <c r="BP193" s="432"/>
      <c r="BQ193" s="432"/>
      <c r="BR193" s="432"/>
      <c r="BS193" s="432"/>
      <c r="BT193" s="432"/>
      <c r="BU193" s="432"/>
      <c r="BV193" s="432"/>
      <c r="BW193" s="432"/>
      <c r="BX193" s="432"/>
      <c r="BY193" s="432"/>
      <c r="BZ193" s="432"/>
      <c r="CA193" s="432"/>
    </row>
    <row r="194" spans="57:98" ht="12" hidden="1" x14ac:dyDescent="0.2">
      <c r="BE194" s="432" t="s">
        <v>126</v>
      </c>
      <c r="BF194" s="432"/>
      <c r="BG194" s="432"/>
      <c r="BH194" s="433">
        <f>200*121</f>
        <v>24200</v>
      </c>
      <c r="BI194" s="433"/>
      <c r="BJ194" s="433"/>
      <c r="BK194" s="433"/>
      <c r="BL194" s="433"/>
      <c r="BM194" s="381" t="s">
        <v>127</v>
      </c>
      <c r="BN194" s="381"/>
      <c r="BO194" s="381"/>
      <c r="BP194" s="381"/>
      <c r="BQ194" s="381"/>
      <c r="BR194" s="381"/>
      <c r="BS194" s="381"/>
      <c r="BT194" s="381"/>
    </row>
    <row r="195" spans="57:98" ht="15" hidden="1" x14ac:dyDescent="0.25">
      <c r="BE195" s="434">
        <v>0.6</v>
      </c>
      <c r="BF195" s="432"/>
      <c r="BG195" s="432"/>
      <c r="BH195" s="216">
        <f>BH194*BE195</f>
        <v>14520</v>
      </c>
      <c r="BI195" s="432" t="s">
        <v>128</v>
      </c>
      <c r="BJ195" s="432"/>
      <c r="BK195" s="432"/>
      <c r="BL195" s="432"/>
      <c r="BM195" s="432"/>
      <c r="BN195" s="432" t="s">
        <v>129</v>
      </c>
      <c r="BO195" s="432"/>
      <c r="BP195" s="432"/>
      <c r="BQ195" s="432"/>
      <c r="BR195" s="432"/>
      <c r="BS195" s="432"/>
      <c r="BT195" s="432"/>
      <c r="CE195" s="432" t="s">
        <v>368</v>
      </c>
      <c r="CF195" s="443"/>
      <c r="CG195" s="443"/>
      <c r="CH195" s="443"/>
      <c r="CI195" s="443"/>
      <c r="CJ195" s="443"/>
      <c r="CM195" s="432" t="s">
        <v>366</v>
      </c>
      <c r="CN195" s="443"/>
      <c r="CO195" s="443"/>
      <c r="CP195" s="443"/>
      <c r="CQ195" s="443"/>
      <c r="CR195" s="443"/>
      <c r="CS195" s="443"/>
      <c r="CT195" s="443"/>
    </row>
    <row r="196" spans="57:98" ht="15" hidden="1" x14ac:dyDescent="0.25">
      <c r="BE196" s="432">
        <v>211</v>
      </c>
      <c r="BF196" s="432"/>
      <c r="BG196" s="432"/>
      <c r="BH196" s="216">
        <f>BH195-BH197</f>
        <v>11152.073732718894</v>
      </c>
      <c r="BI196" s="435">
        <f>BH196*0.2</f>
        <v>2230.4147465437791</v>
      </c>
      <c r="BJ196" s="435"/>
      <c r="BK196" s="435"/>
      <c r="BL196" s="435"/>
      <c r="BM196" s="435"/>
      <c r="BN196" s="436">
        <f>BH196-BI196</f>
        <v>8921.6589861751163</v>
      </c>
      <c r="BO196" s="445"/>
      <c r="BP196" s="445"/>
      <c r="BQ196" s="445"/>
      <c r="BR196" s="445"/>
      <c r="BS196" s="445"/>
      <c r="BT196" s="445"/>
      <c r="CE196" s="437">
        <f>BI196*15/20</f>
        <v>1672.8110599078343</v>
      </c>
      <c r="CF196" s="446"/>
      <c r="CG196" s="446"/>
      <c r="CH196" s="446"/>
      <c r="CI196" s="446"/>
      <c r="CJ196" s="446"/>
      <c r="CM196" s="437">
        <f>BI196*5/20</f>
        <v>557.60368663594477</v>
      </c>
      <c r="CN196" s="446"/>
      <c r="CO196" s="446"/>
      <c r="CP196" s="446"/>
      <c r="CQ196" s="446"/>
      <c r="CR196" s="446"/>
      <c r="CS196" s="446"/>
      <c r="CT196" s="446"/>
    </row>
    <row r="197" spans="57:98" ht="12" hidden="1" x14ac:dyDescent="0.2">
      <c r="BE197" s="432">
        <v>213</v>
      </c>
      <c r="BF197" s="432"/>
      <c r="BG197" s="432"/>
      <c r="BH197" s="216">
        <f>BH195*30.2/130.2</f>
        <v>3367.9262672811064</v>
      </c>
      <c r="BI197" s="435">
        <f>BI196*30.2%</f>
        <v>673.58525345622127</v>
      </c>
      <c r="BJ197" s="435"/>
      <c r="BK197" s="435"/>
      <c r="BL197" s="435"/>
      <c r="BM197" s="435"/>
      <c r="BN197" s="435">
        <f>BN196*30.2%</f>
        <v>2694.3410138248851</v>
      </c>
      <c r="BO197" s="435"/>
      <c r="BP197" s="435"/>
      <c r="BQ197" s="435"/>
      <c r="BR197" s="435"/>
      <c r="BS197" s="435"/>
      <c r="BT197" s="435"/>
    </row>
    <row r="198" spans="57:98" ht="8.25" hidden="1" customHeight="1" x14ac:dyDescent="0.2"/>
    <row r="199" spans="57:98" ht="8.25" hidden="1" customHeight="1" x14ac:dyDescent="0.2"/>
    <row r="200" spans="57:98" ht="8.25" hidden="1" customHeight="1" x14ac:dyDescent="0.2"/>
    <row r="201" spans="57:98" ht="12" hidden="1" x14ac:dyDescent="0.2">
      <c r="BE201" s="432" t="s">
        <v>648</v>
      </c>
      <c r="BF201" s="432"/>
      <c r="BG201" s="432"/>
      <c r="BH201" s="432"/>
      <c r="BI201" s="432"/>
      <c r="BJ201" s="432"/>
      <c r="BK201" s="432"/>
      <c r="BL201" s="432"/>
      <c r="BM201" s="432"/>
      <c r="BN201" s="432"/>
      <c r="BO201" s="432"/>
      <c r="BP201" s="432"/>
      <c r="BQ201" s="432"/>
      <c r="BR201" s="432"/>
      <c r="BS201" s="432"/>
      <c r="BT201" s="432"/>
      <c r="BU201" s="432"/>
      <c r="BV201" s="432"/>
      <c r="BW201" s="432"/>
      <c r="BX201" s="432"/>
      <c r="BY201" s="432"/>
      <c r="BZ201" s="432"/>
      <c r="CA201" s="432"/>
    </row>
    <row r="202" spans="57:98" ht="12" hidden="1" x14ac:dyDescent="0.2">
      <c r="BE202" s="432" t="s">
        <v>126</v>
      </c>
      <c r="BF202" s="432"/>
      <c r="BG202" s="432"/>
      <c r="BH202" s="433">
        <f>200*61</f>
        <v>12200</v>
      </c>
      <c r="BI202" s="433"/>
      <c r="BJ202" s="433"/>
      <c r="BK202" s="433"/>
      <c r="BL202" s="433"/>
      <c r="BM202" s="385" t="s">
        <v>127</v>
      </c>
      <c r="BN202" s="385"/>
      <c r="BO202" s="385"/>
      <c r="BP202" s="385"/>
      <c r="BQ202" s="385"/>
      <c r="BR202" s="385"/>
      <c r="BS202" s="385"/>
      <c r="BT202" s="385"/>
    </row>
    <row r="203" spans="57:98" ht="15" hidden="1" x14ac:dyDescent="0.25">
      <c r="BE203" s="434">
        <v>0.6</v>
      </c>
      <c r="BF203" s="432"/>
      <c r="BG203" s="432"/>
      <c r="BH203" s="216">
        <f>BH202*BE203</f>
        <v>7320</v>
      </c>
      <c r="BI203" s="432" t="s">
        <v>128</v>
      </c>
      <c r="BJ203" s="432"/>
      <c r="BK203" s="432"/>
      <c r="BL203" s="432"/>
      <c r="BM203" s="432"/>
      <c r="BN203" s="432" t="s">
        <v>129</v>
      </c>
      <c r="BO203" s="432"/>
      <c r="BP203" s="432"/>
      <c r="BQ203" s="432"/>
      <c r="BR203" s="432"/>
      <c r="BS203" s="432"/>
      <c r="BT203" s="432"/>
      <c r="CE203" s="432" t="s">
        <v>368</v>
      </c>
      <c r="CF203" s="443"/>
      <c r="CG203" s="443"/>
      <c r="CH203" s="443"/>
      <c r="CI203" s="443"/>
      <c r="CJ203" s="443"/>
      <c r="CM203" s="432" t="s">
        <v>366</v>
      </c>
      <c r="CN203" s="443"/>
      <c r="CO203" s="443"/>
      <c r="CP203" s="443"/>
      <c r="CQ203" s="443"/>
      <c r="CR203" s="443"/>
      <c r="CS203" s="443"/>
      <c r="CT203" s="443"/>
    </row>
    <row r="204" spans="57:98" ht="15" hidden="1" x14ac:dyDescent="0.25">
      <c r="BE204" s="432">
        <v>211</v>
      </c>
      <c r="BF204" s="432"/>
      <c r="BG204" s="432"/>
      <c r="BH204" s="216">
        <f>BH203-BH205</f>
        <v>5622.1198156682021</v>
      </c>
      <c r="BI204" s="435">
        <f>BH204*0.2</f>
        <v>1124.4239631336404</v>
      </c>
      <c r="BJ204" s="435"/>
      <c r="BK204" s="435"/>
      <c r="BL204" s="435"/>
      <c r="BM204" s="435"/>
      <c r="BN204" s="436">
        <f>BH204-BI204</f>
        <v>4497.6958525345617</v>
      </c>
      <c r="BO204" s="445"/>
      <c r="BP204" s="445"/>
      <c r="BQ204" s="445"/>
      <c r="BR204" s="445"/>
      <c r="BS204" s="445"/>
      <c r="BT204" s="445"/>
      <c r="CE204" s="437">
        <f>BI204*15/20</f>
        <v>843.31797235023043</v>
      </c>
      <c r="CF204" s="446"/>
      <c r="CG204" s="446"/>
      <c r="CH204" s="446"/>
      <c r="CI204" s="446"/>
      <c r="CJ204" s="446"/>
      <c r="CM204" s="437">
        <f>BI204*5/20</f>
        <v>281.10599078341011</v>
      </c>
      <c r="CN204" s="446"/>
      <c r="CO204" s="446"/>
      <c r="CP204" s="446"/>
      <c r="CQ204" s="446"/>
      <c r="CR204" s="446"/>
      <c r="CS204" s="446"/>
      <c r="CT204" s="446"/>
    </row>
    <row r="205" spans="57:98" ht="12" hidden="1" x14ac:dyDescent="0.2">
      <c r="BE205" s="432">
        <v>213</v>
      </c>
      <c r="BF205" s="432"/>
      <c r="BG205" s="432"/>
      <c r="BH205" s="216">
        <f>BH203*30.2/130.2</f>
        <v>1697.8801843317974</v>
      </c>
      <c r="BI205" s="435">
        <f>BI204*30.2%</f>
        <v>339.5760368663594</v>
      </c>
      <c r="BJ205" s="435"/>
      <c r="BK205" s="435"/>
      <c r="BL205" s="435"/>
      <c r="BM205" s="435"/>
      <c r="BN205" s="435">
        <f>BN204*30.2%</f>
        <v>1358.3041474654376</v>
      </c>
      <c r="BO205" s="435"/>
      <c r="BP205" s="435"/>
      <c r="BQ205" s="435"/>
      <c r="BR205" s="435"/>
      <c r="BS205" s="435"/>
      <c r="BT205" s="435"/>
    </row>
    <row r="206" spans="57:98" ht="8.25" hidden="1" customHeight="1" x14ac:dyDescent="0.2"/>
    <row r="208" spans="57:98" ht="12" x14ac:dyDescent="0.2">
      <c r="BE208" s="432" t="s">
        <v>686</v>
      </c>
      <c r="BF208" s="432"/>
      <c r="BG208" s="432"/>
      <c r="BH208" s="432"/>
      <c r="BI208" s="432"/>
      <c r="BJ208" s="432"/>
      <c r="BK208" s="432"/>
      <c r="BL208" s="432"/>
      <c r="BM208" s="432"/>
      <c r="BN208" s="432"/>
      <c r="BO208" s="432"/>
      <c r="BP208" s="432"/>
      <c r="BQ208" s="432"/>
      <c r="BR208" s="432"/>
      <c r="BS208" s="432"/>
      <c r="BT208" s="432"/>
      <c r="BU208" s="432"/>
      <c r="BV208" s="432"/>
      <c r="BW208" s="432"/>
      <c r="BX208" s="432"/>
      <c r="BY208" s="432"/>
      <c r="BZ208" s="432"/>
      <c r="CA208" s="432"/>
    </row>
    <row r="209" spans="57:98" ht="12" x14ac:dyDescent="0.2">
      <c r="BE209" s="432" t="s">
        <v>126</v>
      </c>
      <c r="BF209" s="432"/>
      <c r="BG209" s="432"/>
      <c r="BH209" s="433">
        <f>250*29</f>
        <v>7250</v>
      </c>
      <c r="BI209" s="433"/>
      <c r="BJ209" s="433"/>
      <c r="BK209" s="433"/>
      <c r="BL209" s="433"/>
      <c r="BM209" s="398" t="s">
        <v>127</v>
      </c>
      <c r="BN209" s="398"/>
      <c r="BO209" s="398"/>
      <c r="BP209" s="398"/>
      <c r="BQ209" s="398"/>
      <c r="BR209" s="398"/>
      <c r="BS209" s="398"/>
      <c r="BT209" s="398"/>
    </row>
    <row r="210" spans="57:98" ht="15" x14ac:dyDescent="0.25">
      <c r="BE210" s="434">
        <v>0.6</v>
      </c>
      <c r="BF210" s="432"/>
      <c r="BG210" s="432"/>
      <c r="BH210" s="216">
        <f>BH209*BE210</f>
        <v>4350</v>
      </c>
      <c r="BI210" s="432" t="s">
        <v>128</v>
      </c>
      <c r="BJ210" s="432"/>
      <c r="BK210" s="432"/>
      <c r="BL210" s="432"/>
      <c r="BM210" s="432"/>
      <c r="BN210" s="432" t="s">
        <v>129</v>
      </c>
      <c r="BO210" s="432"/>
      <c r="BP210" s="432"/>
      <c r="BQ210" s="432"/>
      <c r="BR210" s="432"/>
      <c r="BS210" s="432"/>
      <c r="BT210" s="432"/>
      <c r="CE210" s="432" t="s">
        <v>368</v>
      </c>
      <c r="CF210" s="443"/>
      <c r="CG210" s="443"/>
      <c r="CH210" s="443"/>
      <c r="CI210" s="443"/>
      <c r="CJ210" s="443"/>
      <c r="CM210" s="432" t="s">
        <v>366</v>
      </c>
      <c r="CN210" s="443"/>
      <c r="CO210" s="443"/>
      <c r="CP210" s="443"/>
      <c r="CQ210" s="443"/>
      <c r="CR210" s="443"/>
      <c r="CS210" s="443"/>
      <c r="CT210" s="443"/>
    </row>
    <row r="211" spans="57:98" ht="15" x14ac:dyDescent="0.25">
      <c r="BE211" s="432">
        <v>211</v>
      </c>
      <c r="BF211" s="432"/>
      <c r="BG211" s="432"/>
      <c r="BH211" s="216">
        <f>BH210-BH212</f>
        <v>3341.0138248847925</v>
      </c>
      <c r="BI211" s="435">
        <f>BH211*0.2</f>
        <v>668.20276497695852</v>
      </c>
      <c r="BJ211" s="435"/>
      <c r="BK211" s="435"/>
      <c r="BL211" s="435"/>
      <c r="BM211" s="435"/>
      <c r="BN211" s="436">
        <f>BH211-BI211</f>
        <v>2672.8110599078341</v>
      </c>
      <c r="BO211" s="445"/>
      <c r="BP211" s="445"/>
      <c r="BQ211" s="445"/>
      <c r="BR211" s="445"/>
      <c r="BS211" s="445"/>
      <c r="BT211" s="445"/>
      <c r="CE211" s="437">
        <f>BI211*15/20</f>
        <v>501.15207373271886</v>
      </c>
      <c r="CF211" s="446"/>
      <c r="CG211" s="446"/>
      <c r="CH211" s="446"/>
      <c r="CI211" s="446"/>
      <c r="CJ211" s="446"/>
      <c r="CM211" s="437">
        <f>BI211*5/20</f>
        <v>167.05069124423963</v>
      </c>
      <c r="CN211" s="446"/>
      <c r="CO211" s="446"/>
      <c r="CP211" s="446"/>
      <c r="CQ211" s="446"/>
      <c r="CR211" s="446"/>
      <c r="CS211" s="446"/>
      <c r="CT211" s="446"/>
    </row>
    <row r="212" spans="57:98" ht="12" x14ac:dyDescent="0.2">
      <c r="BE212" s="432">
        <v>213</v>
      </c>
      <c r="BF212" s="432"/>
      <c r="BG212" s="432"/>
      <c r="BH212" s="216">
        <f>BH210*30.2/130.2</f>
        <v>1008.9861751152075</v>
      </c>
      <c r="BI212" s="435">
        <f>BI211*30.2%</f>
        <v>201.79723502304148</v>
      </c>
      <c r="BJ212" s="435"/>
      <c r="BK212" s="435"/>
      <c r="BL212" s="435"/>
      <c r="BM212" s="435"/>
      <c r="BN212" s="435">
        <f>BN211*30.2%</f>
        <v>807.18894009216592</v>
      </c>
      <c r="BO212" s="435"/>
      <c r="BP212" s="435"/>
      <c r="BQ212" s="435"/>
      <c r="BR212" s="435"/>
      <c r="BS212" s="435"/>
      <c r="BT212" s="435"/>
    </row>
  </sheetData>
  <mergeCells count="542">
    <mergeCell ref="A114:Z114"/>
    <mergeCell ref="AA114:AF114"/>
    <mergeCell ref="AU114:BB114"/>
    <mergeCell ref="A115:Z115"/>
    <mergeCell ref="A121:Z121"/>
    <mergeCell ref="AA121:AF121"/>
    <mergeCell ref="AU121:BB121"/>
    <mergeCell ref="A122:Z122"/>
    <mergeCell ref="BE182:BG182"/>
    <mergeCell ref="A119:Z119"/>
    <mergeCell ref="A120:Z120"/>
    <mergeCell ref="AA115:AF115"/>
    <mergeCell ref="AU115:BB115"/>
    <mergeCell ref="A125:Z125"/>
    <mergeCell ref="AA125:AF125"/>
    <mergeCell ref="AU125:BB125"/>
    <mergeCell ref="A126:Z126"/>
    <mergeCell ref="AA126:AF126"/>
    <mergeCell ref="AU126:BB126"/>
    <mergeCell ref="A123:Z123"/>
    <mergeCell ref="AA123:AF123"/>
    <mergeCell ref="AU123:BB123"/>
    <mergeCell ref="A124:Z124"/>
    <mergeCell ref="AA124:AF124"/>
    <mergeCell ref="AA112:AF112"/>
    <mergeCell ref="AU112:BB112"/>
    <mergeCell ref="BE197:BG197"/>
    <mergeCell ref="BI197:BM197"/>
    <mergeCell ref="BN197:BT197"/>
    <mergeCell ref="BE193:CA193"/>
    <mergeCell ref="BE194:BG194"/>
    <mergeCell ref="BH194:BL194"/>
    <mergeCell ref="BE195:BG195"/>
    <mergeCell ref="BI195:BM195"/>
    <mergeCell ref="BN195:BT195"/>
    <mergeCell ref="AU116:BB116"/>
    <mergeCell ref="BI182:BM182"/>
    <mergeCell ref="BN182:BT182"/>
    <mergeCell ref="BI189:BM189"/>
    <mergeCell ref="BN189:BT189"/>
    <mergeCell ref="BE185:CA185"/>
    <mergeCell ref="BE186:BG186"/>
    <mergeCell ref="AA122:AF122"/>
    <mergeCell ref="AU122:BB122"/>
    <mergeCell ref="AA119:AF119"/>
    <mergeCell ref="AU119:BB119"/>
    <mergeCell ref="AA120:AF120"/>
    <mergeCell ref="AU120:BB120"/>
    <mergeCell ref="A113:Z113"/>
    <mergeCell ref="AA113:AF113"/>
    <mergeCell ref="AU113:BB113"/>
    <mergeCell ref="AV5:BC5"/>
    <mergeCell ref="A7:BA7"/>
    <mergeCell ref="A8:BA8"/>
    <mergeCell ref="C10:E10"/>
    <mergeCell ref="G10:L10"/>
    <mergeCell ref="N10:Q10"/>
    <mergeCell ref="U10:AG10"/>
    <mergeCell ref="AH10:AI10"/>
    <mergeCell ref="AJ10:AL10"/>
    <mergeCell ref="AN10:AT10"/>
    <mergeCell ref="AX20:BB22"/>
    <mergeCell ref="AV10:AY10"/>
    <mergeCell ref="A12:S12"/>
    <mergeCell ref="U12:W12"/>
    <mergeCell ref="A14:S14"/>
    <mergeCell ref="U14:W14"/>
    <mergeCell ref="A112:Z112"/>
    <mergeCell ref="A16:S16"/>
    <mergeCell ref="U16:W16"/>
    <mergeCell ref="Y16:AA16"/>
    <mergeCell ref="AX19:BB19"/>
    <mergeCell ref="A20:G22"/>
    <mergeCell ref="H20:AB22"/>
    <mergeCell ref="AC20:AG22"/>
    <mergeCell ref="AH20:AM22"/>
    <mergeCell ref="AN20:AR22"/>
    <mergeCell ref="AS20:AW22"/>
    <mergeCell ref="H34:M34"/>
    <mergeCell ref="AS34:AW34"/>
    <mergeCell ref="AX34:BB34"/>
    <mergeCell ref="AO35:AR35"/>
    <mergeCell ref="AS35:AW35"/>
    <mergeCell ref="AX35:BB35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H51:K51"/>
    <mergeCell ref="AS51:AW51"/>
    <mergeCell ref="AX51:BB51"/>
    <mergeCell ref="AO52:AR52"/>
    <mergeCell ref="AS52:AW52"/>
    <mergeCell ref="AX52:BB52"/>
    <mergeCell ref="AX37:BB39"/>
    <mergeCell ref="A40:BB4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37:G39"/>
    <mergeCell ref="H37:AB39"/>
    <mergeCell ref="AC37:AG39"/>
    <mergeCell ref="AH37:AM39"/>
    <mergeCell ref="AN37:AR39"/>
    <mergeCell ref="AS37:AW39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AX63:BB67"/>
    <mergeCell ref="H64:M64"/>
    <mergeCell ref="N64:P64"/>
    <mergeCell ref="R64:V64"/>
    <mergeCell ref="I66:K66"/>
    <mergeCell ref="R59:V59"/>
    <mergeCell ref="Z61:AB61"/>
    <mergeCell ref="M66:O66"/>
    <mergeCell ref="Q66:S66"/>
    <mergeCell ref="U66:W66"/>
    <mergeCell ref="Z66:AB66"/>
    <mergeCell ref="H61:X61"/>
    <mergeCell ref="A68:G72"/>
    <mergeCell ref="AC68:AG72"/>
    <mergeCell ref="U71:W71"/>
    <mergeCell ref="Z71:AB71"/>
    <mergeCell ref="A63:G67"/>
    <mergeCell ref="AC63:AG67"/>
    <mergeCell ref="AH73:AM77"/>
    <mergeCell ref="AN73:AR77"/>
    <mergeCell ref="AS73:AW77"/>
    <mergeCell ref="AH63:AM67"/>
    <mergeCell ref="AN63:AR67"/>
    <mergeCell ref="AS63:AW67"/>
    <mergeCell ref="AX73:BB77"/>
    <mergeCell ref="H74:M74"/>
    <mergeCell ref="N74:P74"/>
    <mergeCell ref="R74:V74"/>
    <mergeCell ref="I76:K76"/>
    <mergeCell ref="AH68:AM72"/>
    <mergeCell ref="AN68:AR72"/>
    <mergeCell ref="AS68:AW72"/>
    <mergeCell ref="AX68:BB72"/>
    <mergeCell ref="H69:M69"/>
    <mergeCell ref="N69:P69"/>
    <mergeCell ref="R69:V69"/>
    <mergeCell ref="I71:K71"/>
    <mergeCell ref="M71:O71"/>
    <mergeCell ref="Q71:S71"/>
    <mergeCell ref="M76:O76"/>
    <mergeCell ref="Q76:S76"/>
    <mergeCell ref="U76:W76"/>
    <mergeCell ref="Z76:AB76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AX78:BB82"/>
    <mergeCell ref="H79:M79"/>
    <mergeCell ref="N79:P79"/>
    <mergeCell ref="R79:V79"/>
    <mergeCell ref="I81:K81"/>
    <mergeCell ref="M81:O81"/>
    <mergeCell ref="Q81:S81"/>
    <mergeCell ref="AS83:AW83"/>
    <mergeCell ref="AX83:BB83"/>
    <mergeCell ref="AO84:AR84"/>
    <mergeCell ref="AS84:AW84"/>
    <mergeCell ref="AX84:BB84"/>
    <mergeCell ref="A86:N86"/>
    <mergeCell ref="O86:AN86"/>
    <mergeCell ref="AO86:AU86"/>
    <mergeCell ref="AV86:BB86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103:Z103"/>
    <mergeCell ref="AA103:AF103"/>
    <mergeCell ref="AG103:AL103"/>
    <mergeCell ref="AM103:AT103"/>
    <mergeCell ref="AU103:BB103"/>
    <mergeCell ref="AU106:BB106"/>
    <mergeCell ref="A107:Z107"/>
    <mergeCell ref="AA107:AF107"/>
    <mergeCell ref="AU107:BB107"/>
    <mergeCell ref="A108:Z108"/>
    <mergeCell ref="AA108:AF108"/>
    <mergeCell ref="AU108:BB108"/>
    <mergeCell ref="A104:Z104"/>
    <mergeCell ref="AA104:AF104"/>
    <mergeCell ref="AG104:AL129"/>
    <mergeCell ref="AM104:AT129"/>
    <mergeCell ref="AU104:BB104"/>
    <mergeCell ref="A105:Z105"/>
    <mergeCell ref="AA105:AF105"/>
    <mergeCell ref="AU105:BB105"/>
    <mergeCell ref="A106:Z106"/>
    <mergeCell ref="AA106:AF106"/>
    <mergeCell ref="A117:Z117"/>
    <mergeCell ref="AA117:AF117"/>
    <mergeCell ref="AU117:BB117"/>
    <mergeCell ref="A118:Z118"/>
    <mergeCell ref="AA118:AF118"/>
    <mergeCell ref="AU118:BB118"/>
    <mergeCell ref="A109:Z109"/>
    <mergeCell ref="AA109:AF109"/>
    <mergeCell ref="AU109:BB109"/>
    <mergeCell ref="A116:Z116"/>
    <mergeCell ref="AA116:AF116"/>
    <mergeCell ref="AU124:BB124"/>
    <mergeCell ref="A129:Z129"/>
    <mergeCell ref="AA129:AF129"/>
    <mergeCell ref="AU129:BB129"/>
    <mergeCell ref="A130:Z130"/>
    <mergeCell ref="AA130:AF130"/>
    <mergeCell ref="AG130:AL130"/>
    <mergeCell ref="AM130:AT130"/>
    <mergeCell ref="AU130:BB130"/>
    <mergeCell ref="A127:Z127"/>
    <mergeCell ref="AA127:AF127"/>
    <mergeCell ref="AU127:BB127"/>
    <mergeCell ref="A128:Z128"/>
    <mergeCell ref="AA128:AF128"/>
    <mergeCell ref="AU128:BB128"/>
    <mergeCell ref="A134:Z134"/>
    <mergeCell ref="AA134:AF134"/>
    <mergeCell ref="AG134:AL134"/>
    <mergeCell ref="AM134:AT134"/>
    <mergeCell ref="AU134:BB134"/>
    <mergeCell ref="A135:Z135"/>
    <mergeCell ref="AA135:AF135"/>
    <mergeCell ref="AG135:AL135"/>
    <mergeCell ref="AM135:AT135"/>
    <mergeCell ref="AU135:BB135"/>
    <mergeCell ref="A136:Z136"/>
    <mergeCell ref="AA136:AF136"/>
    <mergeCell ref="AG136:AL141"/>
    <mergeCell ref="AM136:AT141"/>
    <mergeCell ref="AU136:BB136"/>
    <mergeCell ref="A137:Z137"/>
    <mergeCell ref="AA137:AF137"/>
    <mergeCell ref="AU137:BB137"/>
    <mergeCell ref="A138:Z138"/>
    <mergeCell ref="AA138:AF138"/>
    <mergeCell ref="A141:Z141"/>
    <mergeCell ref="AA141:AF141"/>
    <mergeCell ref="AU141:BB141"/>
    <mergeCell ref="A142:Z142"/>
    <mergeCell ref="AA142:AF142"/>
    <mergeCell ref="AG142:AL142"/>
    <mergeCell ref="AM142:AT142"/>
    <mergeCell ref="AU142:BB142"/>
    <mergeCell ref="AU138:BB138"/>
    <mergeCell ref="A139:Z139"/>
    <mergeCell ref="AA139:AF139"/>
    <mergeCell ref="AU139:BB139"/>
    <mergeCell ref="A140:Z140"/>
    <mergeCell ref="AA140:AF140"/>
    <mergeCell ref="AU140:BB140"/>
    <mergeCell ref="AY146:BB146"/>
    <mergeCell ref="H147:L147"/>
    <mergeCell ref="M147:Q147"/>
    <mergeCell ref="AD147:AI147"/>
    <mergeCell ref="AJ147:AP147"/>
    <mergeCell ref="AQ147:AT147"/>
    <mergeCell ref="AU147:AX147"/>
    <mergeCell ref="H146:L146"/>
    <mergeCell ref="M146:Q146"/>
    <mergeCell ref="R146:U147"/>
    <mergeCell ref="V146:Y147"/>
    <mergeCell ref="Z146:AC147"/>
    <mergeCell ref="AY147:BB147"/>
    <mergeCell ref="AY148:BB148"/>
    <mergeCell ref="A149:G149"/>
    <mergeCell ref="H149:L149"/>
    <mergeCell ref="M149:Q149"/>
    <mergeCell ref="R149:U152"/>
    <mergeCell ref="V149:Y152"/>
    <mergeCell ref="Z149:AC152"/>
    <mergeCell ref="AD149:AI149"/>
    <mergeCell ref="AJ149:AP149"/>
    <mergeCell ref="AQ149:AT149"/>
    <mergeCell ref="AU149:AX149"/>
    <mergeCell ref="AY149:BB149"/>
    <mergeCell ref="A150:G150"/>
    <mergeCell ref="H150:L150"/>
    <mergeCell ref="M150:Q150"/>
    <mergeCell ref="AD150:AI150"/>
    <mergeCell ref="AJ150:AP150"/>
    <mergeCell ref="AQ150:AT150"/>
    <mergeCell ref="AU150:AX150"/>
    <mergeCell ref="AY150:BB150"/>
    <mergeCell ref="A151:G151"/>
    <mergeCell ref="H151:L151"/>
    <mergeCell ref="A148:G148"/>
    <mergeCell ref="H148:L148"/>
    <mergeCell ref="A146:G147"/>
    <mergeCell ref="AU148:AX148"/>
    <mergeCell ref="M148:Q148"/>
    <mergeCell ref="R148:U148"/>
    <mergeCell ref="V148:Y148"/>
    <mergeCell ref="Z148:AC148"/>
    <mergeCell ref="AD148:AI148"/>
    <mergeCell ref="AJ148:AP148"/>
    <mergeCell ref="AQ148:AT148"/>
    <mergeCell ref="AD146:AP146"/>
    <mergeCell ref="AQ146:AT146"/>
    <mergeCell ref="AU146:AX146"/>
    <mergeCell ref="AQ153:AT153"/>
    <mergeCell ref="AU153:AX153"/>
    <mergeCell ref="A153:G153"/>
    <mergeCell ref="H153:L153"/>
    <mergeCell ref="M153:Q153"/>
    <mergeCell ref="R153:U153"/>
    <mergeCell ref="V153:Y153"/>
    <mergeCell ref="Z153:AC153"/>
    <mergeCell ref="AD153:AI153"/>
    <mergeCell ref="AJ153:AP153"/>
    <mergeCell ref="AU151:AX151"/>
    <mergeCell ref="AY151:BB151"/>
    <mergeCell ref="AU152:AX152"/>
    <mergeCell ref="AY152:BB152"/>
    <mergeCell ref="AQ151:AT151"/>
    <mergeCell ref="A152:G152"/>
    <mergeCell ref="H152:L152"/>
    <mergeCell ref="M152:Q152"/>
    <mergeCell ref="AD152:AI152"/>
    <mergeCell ref="AJ152:AP152"/>
    <mergeCell ref="AQ152:AT152"/>
    <mergeCell ref="M151:Q151"/>
    <mergeCell ref="AD151:AI151"/>
    <mergeCell ref="AJ151:AP151"/>
    <mergeCell ref="CE166:CJ166"/>
    <mergeCell ref="CM166:CT166"/>
    <mergeCell ref="BE167:BG167"/>
    <mergeCell ref="BI167:BM167"/>
    <mergeCell ref="BN167:BT167"/>
    <mergeCell ref="CE167:CJ167"/>
    <mergeCell ref="CM167:CT167"/>
    <mergeCell ref="BE164:CA164"/>
    <mergeCell ref="BE165:BG165"/>
    <mergeCell ref="BH165:BL165"/>
    <mergeCell ref="A155:G155"/>
    <mergeCell ref="H155:L155"/>
    <mergeCell ref="M155:Q155"/>
    <mergeCell ref="R155:U155"/>
    <mergeCell ref="V155:Y155"/>
    <mergeCell ref="AJ155:AP155"/>
    <mergeCell ref="BE160:CA160"/>
    <mergeCell ref="B159:S160"/>
    <mergeCell ref="A154:F154"/>
    <mergeCell ref="H154:L154"/>
    <mergeCell ref="M154:Q154"/>
    <mergeCell ref="R154:U154"/>
    <mergeCell ref="V154:Y154"/>
    <mergeCell ref="Z154:AC154"/>
    <mergeCell ref="AD154:AI154"/>
    <mergeCell ref="Z155:AC155"/>
    <mergeCell ref="AD155:AI155"/>
    <mergeCell ref="AJ154:AP154"/>
    <mergeCell ref="AQ154:AT154"/>
    <mergeCell ref="AU154:AX154"/>
    <mergeCell ref="AY154:BB154"/>
    <mergeCell ref="AQ155:AT155"/>
    <mergeCell ref="AU155:AX155"/>
    <mergeCell ref="AY155:BB155"/>
    <mergeCell ref="BE174:BG174"/>
    <mergeCell ref="BI174:BM174"/>
    <mergeCell ref="BN174:BT174"/>
    <mergeCell ref="CE174:CJ174"/>
    <mergeCell ref="CM174:CT174"/>
    <mergeCell ref="BE168:BG168"/>
    <mergeCell ref="BI168:BM168"/>
    <mergeCell ref="BN168:BT168"/>
    <mergeCell ref="A110:Z110"/>
    <mergeCell ref="AA110:AF110"/>
    <mergeCell ref="AU110:BB110"/>
    <mergeCell ref="A111:Z111"/>
    <mergeCell ref="AA111:AF111"/>
    <mergeCell ref="AU111:BB111"/>
    <mergeCell ref="BE166:BG166"/>
    <mergeCell ref="BI166:BM166"/>
    <mergeCell ref="BN166:BT166"/>
    <mergeCell ref="B158:S158"/>
    <mergeCell ref="BE161:BG161"/>
    <mergeCell ref="BH161:BL161"/>
    <mergeCell ref="BE162:BG162"/>
    <mergeCell ref="BI162:BM162"/>
    <mergeCell ref="BN162:BT162"/>
    <mergeCell ref="BC157:BD157"/>
    <mergeCell ref="BE204:BG204"/>
    <mergeCell ref="BI204:BM204"/>
    <mergeCell ref="BN204:BT204"/>
    <mergeCell ref="CE204:CJ204"/>
    <mergeCell ref="CM204:CT204"/>
    <mergeCell ref="BH186:BL186"/>
    <mergeCell ref="BE187:BG187"/>
    <mergeCell ref="BI187:BM187"/>
    <mergeCell ref="BN187:BT187"/>
    <mergeCell ref="CE195:CJ195"/>
    <mergeCell ref="CM195:CT195"/>
    <mergeCell ref="BE196:BG196"/>
    <mergeCell ref="BI196:BM196"/>
    <mergeCell ref="BN196:BT196"/>
    <mergeCell ref="CE196:CJ196"/>
    <mergeCell ref="CM196:CT196"/>
    <mergeCell ref="CE187:CJ187"/>
    <mergeCell ref="CM187:CT187"/>
    <mergeCell ref="BE188:BG188"/>
    <mergeCell ref="BI188:BM188"/>
    <mergeCell ref="BN188:BT188"/>
    <mergeCell ref="CE188:CJ188"/>
    <mergeCell ref="CM188:CT188"/>
    <mergeCell ref="BE189:BG189"/>
    <mergeCell ref="BI173:BM173"/>
    <mergeCell ref="BN173:BT173"/>
    <mergeCell ref="AM159:BC160"/>
    <mergeCell ref="BC156:BD156"/>
    <mergeCell ref="AY153:BB153"/>
    <mergeCell ref="AM158:BB158"/>
    <mergeCell ref="BC158:BD158"/>
    <mergeCell ref="CE203:CJ203"/>
    <mergeCell ref="CM203:CT203"/>
    <mergeCell ref="CE180:CJ180"/>
    <mergeCell ref="CM180:CT180"/>
    <mergeCell ref="BE181:BG181"/>
    <mergeCell ref="BI181:BM181"/>
    <mergeCell ref="BN181:BT181"/>
    <mergeCell ref="CE181:CJ181"/>
    <mergeCell ref="CM181:CT181"/>
    <mergeCell ref="BE178:CA178"/>
    <mergeCell ref="BE179:BG179"/>
    <mergeCell ref="BH179:BL179"/>
    <mergeCell ref="BE180:BG180"/>
    <mergeCell ref="BI180:BM180"/>
    <mergeCell ref="BN180:BT180"/>
    <mergeCell ref="CE173:CJ173"/>
    <mergeCell ref="CM173:CT173"/>
    <mergeCell ref="CE210:CJ210"/>
    <mergeCell ref="CM210:CT210"/>
    <mergeCell ref="BE211:BG211"/>
    <mergeCell ref="BI211:BM211"/>
    <mergeCell ref="BN211:BT211"/>
    <mergeCell ref="CE211:CJ211"/>
    <mergeCell ref="CM211:CT211"/>
    <mergeCell ref="AQ2:BB2"/>
    <mergeCell ref="BE205:BG205"/>
    <mergeCell ref="BI205:BM205"/>
    <mergeCell ref="BN205:BT205"/>
    <mergeCell ref="BE201:CA201"/>
    <mergeCell ref="BE202:BG202"/>
    <mergeCell ref="BH202:BL202"/>
    <mergeCell ref="BE203:BG203"/>
    <mergeCell ref="BI203:BM203"/>
    <mergeCell ref="BN203:BT203"/>
    <mergeCell ref="BE175:BG175"/>
    <mergeCell ref="BI175:BM175"/>
    <mergeCell ref="BN175:BT175"/>
    <mergeCell ref="BE171:CA171"/>
    <mergeCell ref="BE172:BG172"/>
    <mergeCell ref="BH172:BL172"/>
    <mergeCell ref="BE173:BG173"/>
    <mergeCell ref="BE212:BG212"/>
    <mergeCell ref="BI212:BM212"/>
    <mergeCell ref="BN212:BT212"/>
    <mergeCell ref="BE208:CA208"/>
    <mergeCell ref="BE209:BG209"/>
    <mergeCell ref="BH209:BL209"/>
    <mergeCell ref="BE210:BG210"/>
    <mergeCell ref="BI210:BM210"/>
    <mergeCell ref="BN210:BT210"/>
  </mergeCells>
  <pageMargins left="0" right="0" top="0" bottom="0" header="0.31496062992125984" footer="0.31496062992125984"/>
  <pageSetup paperSize="9" scale="75" fitToHeight="0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CT184"/>
  <sheetViews>
    <sheetView topLeftCell="AD168" workbookViewId="0">
      <selection activeCell="BH182" sqref="BH182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5" width="1.85546875" style="117"/>
    <col min="26" max="26" width="9.85546875" style="117" bestFit="1" customWidth="1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4.42578125" style="117" customWidth="1"/>
    <col min="55" max="55" width="4.5703125" style="117" customWidth="1"/>
    <col min="56" max="56" width="4.7109375" style="117" customWidth="1"/>
    <col min="57" max="57" width="10.140625" style="117" customWidth="1"/>
    <col min="58" max="58" width="5.85546875" style="117" customWidth="1"/>
    <col min="59" max="59" width="2.7109375" style="117" customWidth="1"/>
    <col min="60" max="60" width="10.42578125" style="117" customWidth="1"/>
    <col min="61" max="61" width="8.140625" style="117" customWidth="1"/>
    <col min="62" max="87" width="1.85546875" style="117" customWidth="1"/>
    <col min="88" max="16384" width="1.85546875" style="117"/>
  </cols>
  <sheetData>
    <row r="1" spans="1:55" s="100" customFormat="1" ht="15" customHeight="1" x14ac:dyDescent="0.25">
      <c r="AW1" s="100" t="s">
        <v>83</v>
      </c>
    </row>
    <row r="2" spans="1:55" s="100" customFormat="1" ht="5.0999999999999996" customHeight="1" x14ac:dyDescent="0.25"/>
    <row r="3" spans="1:55" s="100" customFormat="1" ht="15" customHeight="1" x14ac:dyDescent="0.25">
      <c r="AQ3" s="100" t="s">
        <v>91</v>
      </c>
    </row>
    <row r="4" spans="1:55" s="100" customFormat="1" ht="5.0999999999999996" customHeight="1" x14ac:dyDescent="0.25"/>
    <row r="5" spans="1:55" s="100" customFormat="1" ht="15" customHeight="1" x14ac:dyDescent="0.25">
      <c r="AM5" s="157"/>
      <c r="AN5" s="157"/>
      <c r="AO5" s="157"/>
      <c r="AP5" s="157"/>
      <c r="AQ5" s="156"/>
      <c r="AR5" s="156"/>
      <c r="AS5" s="156"/>
      <c r="AT5" s="156"/>
      <c r="AU5" s="156"/>
      <c r="AV5" s="1370" t="s">
        <v>515</v>
      </c>
      <c r="AW5" s="443"/>
      <c r="AX5" s="443"/>
      <c r="AY5" s="443"/>
      <c r="AZ5" s="443"/>
      <c r="BA5" s="443"/>
      <c r="BB5" s="443"/>
      <c r="BC5" s="443"/>
    </row>
    <row r="6" spans="1:55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5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5" s="100" customFormat="1" ht="15" customHeight="1" x14ac:dyDescent="0.25">
      <c r="A8" s="756" t="s">
        <v>521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5" s="100" customFormat="1" ht="5.0999999999999996" customHeight="1" x14ac:dyDescent="0.25">
      <c r="A9" s="310"/>
      <c r="B9" s="310"/>
      <c r="C9" s="310"/>
      <c r="D9" s="310"/>
      <c r="E9" s="310"/>
      <c r="F9" s="310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0"/>
      <c r="AL9" s="310"/>
      <c r="AM9" s="310"/>
      <c r="AN9" s="310"/>
      <c r="AO9" s="310"/>
      <c r="AP9" s="310"/>
      <c r="AQ9" s="310"/>
      <c r="AR9" s="310"/>
      <c r="AS9" s="310"/>
      <c r="AT9" s="310"/>
      <c r="AU9" s="310"/>
      <c r="AV9" s="310"/>
      <c r="AW9" s="310"/>
      <c r="AX9" s="310"/>
      <c r="AY9" s="310"/>
      <c r="AZ9" s="310"/>
      <c r="BA9" s="310"/>
    </row>
    <row r="10" spans="1:55" s="100" customFormat="1" ht="15" customHeight="1" x14ac:dyDescent="0.25">
      <c r="A10" s="310"/>
      <c r="B10" s="310" t="s">
        <v>113</v>
      </c>
      <c r="C10" s="757">
        <v>16</v>
      </c>
      <c r="D10" s="757"/>
      <c r="E10" s="757"/>
      <c r="F10" s="310"/>
      <c r="G10" s="757" t="s">
        <v>196</v>
      </c>
      <c r="H10" s="757"/>
      <c r="I10" s="757"/>
      <c r="J10" s="757"/>
      <c r="K10" s="757"/>
      <c r="L10" s="757"/>
      <c r="M10" s="310"/>
      <c r="N10" s="756">
        <v>2019</v>
      </c>
      <c r="O10" s="756"/>
      <c r="P10" s="756"/>
      <c r="Q10" s="756"/>
      <c r="R10" s="310"/>
      <c r="S10" s="310" t="s">
        <v>114</v>
      </c>
      <c r="T10" s="310"/>
      <c r="U10" s="756" t="s">
        <v>115</v>
      </c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758"/>
      <c r="AI10" s="758"/>
      <c r="AJ10" s="757">
        <v>31</v>
      </c>
      <c r="AK10" s="757"/>
      <c r="AL10" s="757"/>
      <c r="AM10" s="310"/>
      <c r="AN10" s="757" t="s">
        <v>116</v>
      </c>
      <c r="AO10" s="757"/>
      <c r="AP10" s="757"/>
      <c r="AQ10" s="757"/>
      <c r="AR10" s="757"/>
      <c r="AS10" s="757"/>
      <c r="AT10" s="757"/>
      <c r="AU10" s="310"/>
      <c r="AV10" s="756">
        <v>2020</v>
      </c>
      <c r="AW10" s="756"/>
      <c r="AX10" s="756"/>
      <c r="AY10" s="756"/>
      <c r="AZ10" s="310"/>
      <c r="BA10" s="310" t="s">
        <v>114</v>
      </c>
    </row>
    <row r="11" spans="1:55" s="82" customFormat="1" ht="5.0999999999999996" customHeight="1" x14ac:dyDescent="0.2"/>
    <row r="12" spans="1:55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36</v>
      </c>
      <c r="V12" s="761"/>
      <c r="W12" s="761"/>
    </row>
    <row r="13" spans="1:55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5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1">
        <v>12</v>
      </c>
      <c r="V14" s="761"/>
      <c r="W14" s="761"/>
    </row>
    <row r="15" spans="1:55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5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1</v>
      </c>
      <c r="V16" s="761"/>
      <c r="W16" s="761"/>
      <c r="X16" s="312" t="s">
        <v>4</v>
      </c>
      <c r="Y16" s="761">
        <v>12</v>
      </c>
      <c r="Z16" s="761"/>
      <c r="AA16" s="761"/>
    </row>
    <row r="17" spans="1:54" ht="5.0999999999999996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530</v>
      </c>
      <c r="AR19" s="162"/>
      <c r="AS19" s="164"/>
      <c r="AX19" s="708">
        <v>15600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419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4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customHeight="1" x14ac:dyDescent="0.2">
      <c r="A24" s="764" t="s">
        <v>417</v>
      </c>
      <c r="B24" s="765"/>
      <c r="C24" s="765"/>
      <c r="D24" s="765"/>
      <c r="E24" s="765"/>
      <c r="F24" s="765"/>
      <c r="G24" s="766"/>
      <c r="H24" s="711" t="s">
        <v>16</v>
      </c>
      <c r="I24" s="712"/>
      <c r="J24" s="712"/>
      <c r="K24" s="712"/>
      <c r="L24" s="712"/>
      <c r="M24" s="712"/>
      <c r="N24" s="712"/>
      <c r="O24" s="712"/>
      <c r="P24" s="712"/>
      <c r="Q24" s="712"/>
      <c r="R24" s="712"/>
      <c r="S24" s="712"/>
      <c r="T24" s="712"/>
      <c r="U24" s="712"/>
      <c r="V24" s="712"/>
      <c r="W24" s="712"/>
      <c r="X24" s="712"/>
      <c r="Y24" s="712"/>
      <c r="Z24" s="723">
        <v>0.2</v>
      </c>
      <c r="AA24" s="723"/>
      <c r="AB24" s="723"/>
      <c r="AC24" s="662">
        <f>(AX51+AX83)*Z24*AH24</f>
        <v>3893.76</v>
      </c>
      <c r="AD24" s="662"/>
      <c r="AE24" s="662"/>
      <c r="AF24" s="662"/>
      <c r="AG24" s="662"/>
      <c r="AH24" s="663">
        <v>1</v>
      </c>
      <c r="AI24" s="663"/>
      <c r="AJ24" s="663"/>
      <c r="AK24" s="663"/>
      <c r="AL24" s="663"/>
      <c r="AM24" s="663"/>
      <c r="AN24" s="662">
        <f>AC24/U12</f>
        <v>108.16000000000001</v>
      </c>
      <c r="AO24" s="662"/>
      <c r="AP24" s="662"/>
      <c r="AQ24" s="662"/>
      <c r="AR24" s="662"/>
      <c r="AS24" s="663" t="s">
        <v>17</v>
      </c>
      <c r="AT24" s="663"/>
      <c r="AU24" s="663"/>
      <c r="AV24" s="663"/>
      <c r="AW24" s="663"/>
      <c r="AX24" s="662" t="s">
        <v>17</v>
      </c>
      <c r="AY24" s="662"/>
      <c r="AZ24" s="662"/>
      <c r="BA24" s="662"/>
      <c r="BB24" s="684"/>
    </row>
    <row r="25" spans="1:54" s="165" customFormat="1" ht="26.25" customHeight="1" x14ac:dyDescent="0.2">
      <c r="A25" s="767"/>
      <c r="B25" s="768"/>
      <c r="C25" s="768"/>
      <c r="D25" s="768"/>
      <c r="E25" s="768"/>
      <c r="F25" s="768"/>
      <c r="G25" s="769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771" t="s">
        <v>89</v>
      </c>
      <c r="B26" s="772"/>
      <c r="C26" s="772"/>
      <c r="D26" s="772"/>
      <c r="E26" s="772"/>
      <c r="F26" s="772"/>
      <c r="G26" s="773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11.25" customHeight="1" x14ac:dyDescent="0.2">
      <c r="A27" s="750"/>
      <c r="B27" s="751"/>
      <c r="C27" s="751"/>
      <c r="D27" s="751"/>
      <c r="E27" s="751"/>
      <c r="F27" s="751"/>
      <c r="G27" s="7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17.25" customHeight="1" thickBot="1" x14ac:dyDescent="0.25">
      <c r="A33" s="753"/>
      <c r="B33" s="754"/>
      <c r="C33" s="754"/>
      <c r="D33" s="754"/>
      <c r="E33" s="754"/>
      <c r="F33" s="754"/>
      <c r="G33" s="775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9"/>
      <c r="AA33" s="729"/>
      <c r="AB33" s="729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191"/>
      <c r="R34" s="187" t="s">
        <v>18</v>
      </c>
      <c r="S34" s="163"/>
      <c r="T34" s="163"/>
      <c r="U34" s="162"/>
      <c r="V34" s="162"/>
      <c r="W34" s="162"/>
      <c r="X34" s="162"/>
      <c r="Y34" s="162"/>
      <c r="Z34" s="162"/>
      <c r="AA34" s="162"/>
      <c r="AB34" s="162"/>
      <c r="AC34" s="162"/>
      <c r="AD34" s="162" t="s">
        <v>19</v>
      </c>
      <c r="AE34" s="162" t="s">
        <v>20</v>
      </c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88"/>
      <c r="AS34" s="702">
        <f>AN24</f>
        <v>108.16000000000001</v>
      </c>
      <c r="AT34" s="702"/>
      <c r="AU34" s="702"/>
      <c r="AV34" s="702"/>
      <c r="AW34" s="702"/>
      <c r="AX34" s="702">
        <f>AC24</f>
        <v>3893.76</v>
      </c>
      <c r="AY34" s="702"/>
      <c r="AZ34" s="702"/>
      <c r="BA34" s="702"/>
      <c r="BB34" s="703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309"/>
      <c r="I35" s="309"/>
      <c r="J35" s="309"/>
      <c r="K35" s="309"/>
      <c r="L35" s="309"/>
      <c r="M35" s="309"/>
      <c r="P35" s="168"/>
      <c r="Q35" s="307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32.664320000000004</v>
      </c>
      <c r="AT35" s="463"/>
      <c r="AU35" s="463"/>
      <c r="AV35" s="463"/>
      <c r="AW35" s="463"/>
      <c r="AX35" s="463">
        <f>AX34*AO35</f>
        <v>1175.91552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309"/>
      <c r="I36" s="309"/>
      <c r="J36" s="309"/>
      <c r="K36" s="309"/>
      <c r="L36" s="309"/>
      <c r="M36" s="309"/>
      <c r="P36" s="168"/>
      <c r="Q36" s="307"/>
      <c r="R36" s="307"/>
      <c r="S36" s="307"/>
      <c r="U36" s="307"/>
      <c r="V36" s="307"/>
      <c r="W36" s="307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313"/>
      <c r="AT36" s="315"/>
      <c r="AU36" s="315"/>
      <c r="AV36" s="315"/>
      <c r="AW36" s="315"/>
      <c r="AX36" s="313"/>
      <c r="AY36" s="315"/>
      <c r="AZ36" s="315"/>
      <c r="BA36" s="315"/>
      <c r="BB36" s="315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420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660"/>
      <c r="B41" s="661"/>
      <c r="C41" s="661"/>
      <c r="D41" s="661"/>
      <c r="E41" s="661"/>
      <c r="F41" s="661"/>
      <c r="G41" s="661"/>
      <c r="H41" s="662" t="s">
        <v>16</v>
      </c>
      <c r="I41" s="662"/>
      <c r="J41" s="662"/>
      <c r="K41" s="662"/>
      <c r="L41" s="662"/>
      <c r="M41" s="662"/>
      <c r="N41" s="662"/>
      <c r="O41" s="662"/>
      <c r="P41" s="662"/>
      <c r="Q41" s="662"/>
      <c r="R41" s="662"/>
      <c r="S41" s="662"/>
      <c r="T41" s="662"/>
      <c r="U41" s="662"/>
      <c r="V41" s="662"/>
      <c r="W41" s="662"/>
      <c r="X41" s="662"/>
      <c r="Y41" s="662"/>
      <c r="Z41" s="723">
        <v>0</v>
      </c>
      <c r="AA41" s="723"/>
      <c r="AB41" s="723"/>
      <c r="AC41" s="662">
        <f>AX83*Z41*AH41</f>
        <v>0</v>
      </c>
      <c r="AD41" s="662"/>
      <c r="AE41" s="662"/>
      <c r="AF41" s="662"/>
      <c r="AG41" s="662"/>
      <c r="AH41" s="508">
        <v>1</v>
      </c>
      <c r="AI41" s="509"/>
      <c r="AJ41" s="509"/>
      <c r="AK41" s="509"/>
      <c r="AL41" s="509"/>
      <c r="AM41" s="510"/>
      <c r="AN41" s="711">
        <f>AC41/U12</f>
        <v>0</v>
      </c>
      <c r="AO41" s="712"/>
      <c r="AP41" s="712"/>
      <c r="AQ41" s="712"/>
      <c r="AR41" s="734"/>
      <c r="AS41" s="508" t="s">
        <v>17</v>
      </c>
      <c r="AT41" s="509"/>
      <c r="AU41" s="509"/>
      <c r="AV41" s="509"/>
      <c r="AW41" s="510"/>
      <c r="AX41" s="711" t="s">
        <v>17</v>
      </c>
      <c r="AY41" s="712"/>
      <c r="AZ41" s="712"/>
      <c r="BA41" s="712"/>
      <c r="BB41" s="713"/>
    </row>
    <row r="42" spans="1:54" s="165" customFormat="1" ht="0.75" hidden="1" customHeight="1" x14ac:dyDescent="0.2">
      <c r="A42" s="652"/>
      <c r="B42" s="653"/>
      <c r="C42" s="653"/>
      <c r="D42" s="653"/>
      <c r="E42" s="653"/>
      <c r="F42" s="653"/>
      <c r="G42" s="653"/>
      <c r="H42" s="601"/>
      <c r="I42" s="601"/>
      <c r="J42" s="601"/>
      <c r="K42" s="601"/>
      <c r="L42" s="601"/>
      <c r="M42" s="601"/>
      <c r="N42" s="601"/>
      <c r="O42" s="601"/>
      <c r="P42" s="601"/>
      <c r="Q42" s="601"/>
      <c r="R42" s="601"/>
      <c r="S42" s="601"/>
      <c r="T42" s="601"/>
      <c r="U42" s="601"/>
      <c r="V42" s="601"/>
      <c r="W42" s="601"/>
      <c r="X42" s="601"/>
      <c r="Y42" s="601"/>
      <c r="Z42" s="726"/>
      <c r="AA42" s="726"/>
      <c r="AB42" s="726"/>
      <c r="AC42" s="601"/>
      <c r="AD42" s="601"/>
      <c r="AE42" s="601"/>
      <c r="AF42" s="601"/>
      <c r="AG42" s="601"/>
      <c r="AH42" s="511"/>
      <c r="AI42" s="512"/>
      <c r="AJ42" s="512"/>
      <c r="AK42" s="512"/>
      <c r="AL42" s="512"/>
      <c r="AM42" s="513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714"/>
      <c r="AY42" s="704"/>
      <c r="AZ42" s="704"/>
      <c r="BA42" s="704"/>
      <c r="BB42" s="715"/>
    </row>
    <row r="43" spans="1:54" ht="18" customHeight="1" x14ac:dyDescent="0.2">
      <c r="A43" s="652"/>
      <c r="B43" s="653"/>
      <c r="C43" s="653"/>
      <c r="D43" s="653"/>
      <c r="E43" s="653"/>
      <c r="F43" s="653"/>
      <c r="G43" s="653"/>
      <c r="H43" s="601"/>
      <c r="I43" s="601"/>
      <c r="J43" s="601"/>
      <c r="K43" s="601"/>
      <c r="L43" s="601"/>
      <c r="M43" s="601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726"/>
      <c r="AA43" s="726"/>
      <c r="AB43" s="726"/>
      <c r="AC43" s="601"/>
      <c r="AD43" s="601"/>
      <c r="AE43" s="601"/>
      <c r="AF43" s="601"/>
      <c r="AG43" s="601"/>
      <c r="AH43" s="736"/>
      <c r="AI43" s="737"/>
      <c r="AJ43" s="737"/>
      <c r="AK43" s="737"/>
      <c r="AL43" s="737"/>
      <c r="AM43" s="738"/>
      <c r="AN43" s="716"/>
      <c r="AO43" s="669"/>
      <c r="AP43" s="669"/>
      <c r="AQ43" s="669"/>
      <c r="AR43" s="670"/>
      <c r="AS43" s="736"/>
      <c r="AT43" s="737"/>
      <c r="AU43" s="737"/>
      <c r="AV43" s="737"/>
      <c r="AW43" s="738"/>
      <c r="AX43" s="716"/>
      <c r="AY43" s="669"/>
      <c r="AZ43" s="669"/>
      <c r="BA43" s="669"/>
      <c r="BB43" s="717"/>
    </row>
    <row r="44" spans="1:54" s="165" customFormat="1" ht="21" hidden="1" customHeight="1" x14ac:dyDescent="0.2">
      <c r="A44" s="652"/>
      <c r="B44" s="653"/>
      <c r="C44" s="653"/>
      <c r="D44" s="653"/>
      <c r="E44" s="653"/>
      <c r="F44" s="653"/>
      <c r="G44" s="653"/>
      <c r="H44" s="601"/>
      <c r="I44" s="601"/>
      <c r="J44" s="601"/>
      <c r="K44" s="601"/>
      <c r="L44" s="601"/>
      <c r="M44" s="601"/>
      <c r="N44" s="601"/>
      <c r="O44" s="601"/>
      <c r="P44" s="601"/>
      <c r="Q44" s="601"/>
      <c r="R44" s="601"/>
      <c r="S44" s="601"/>
      <c r="T44" s="601"/>
      <c r="U44" s="601"/>
      <c r="V44" s="601"/>
      <c r="W44" s="601"/>
      <c r="X44" s="601"/>
      <c r="Y44" s="601"/>
      <c r="Z44" s="726"/>
      <c r="AA44" s="726"/>
      <c r="AB44" s="726"/>
      <c r="AC44" s="279"/>
      <c r="AD44" s="279"/>
      <c r="AE44" s="279"/>
      <c r="AF44" s="279"/>
      <c r="AG44" s="279"/>
      <c r="AH44" s="180"/>
      <c r="AI44" s="181"/>
      <c r="AJ44" s="181"/>
      <c r="AK44" s="181"/>
      <c r="AL44" s="181"/>
      <c r="AM44" s="182"/>
      <c r="AN44" s="86"/>
      <c r="AO44" s="84"/>
      <c r="AP44" s="84"/>
      <c r="AQ44" s="84"/>
      <c r="AR44" s="85"/>
      <c r="AS44" s="180"/>
      <c r="AT44" s="181"/>
      <c r="AU44" s="181"/>
      <c r="AV44" s="181"/>
      <c r="AW44" s="182"/>
      <c r="AX44" s="86"/>
      <c r="AY44" s="84"/>
      <c r="AZ44" s="84"/>
      <c r="BA44" s="84"/>
      <c r="BB44" s="255"/>
    </row>
    <row r="45" spans="1:54" s="165" customFormat="1" ht="21.75" hidden="1" customHeight="1" x14ac:dyDescent="0.2">
      <c r="A45" s="652"/>
      <c r="B45" s="653"/>
      <c r="C45" s="653"/>
      <c r="D45" s="653"/>
      <c r="E45" s="653"/>
      <c r="F45" s="653"/>
      <c r="G45" s="653"/>
      <c r="H45" s="601"/>
      <c r="I45" s="601"/>
      <c r="J45" s="601"/>
      <c r="K45" s="601"/>
      <c r="L45" s="601"/>
      <c r="M45" s="601"/>
      <c r="N45" s="601"/>
      <c r="O45" s="601"/>
      <c r="P45" s="601"/>
      <c r="Q45" s="601"/>
      <c r="R45" s="601"/>
      <c r="S45" s="601"/>
      <c r="T45" s="601"/>
      <c r="U45" s="601"/>
      <c r="V45" s="601"/>
      <c r="W45" s="601"/>
      <c r="X45" s="601"/>
      <c r="Y45" s="601"/>
      <c r="Z45" s="726"/>
      <c r="AA45" s="726"/>
      <c r="AB45" s="726"/>
      <c r="AC45" s="279"/>
      <c r="AD45" s="279"/>
      <c r="AE45" s="279"/>
      <c r="AF45" s="279"/>
      <c r="AG45" s="279"/>
      <c r="AH45" s="180"/>
      <c r="AI45" s="181"/>
      <c r="AJ45" s="181"/>
      <c r="AK45" s="181"/>
      <c r="AL45" s="181"/>
      <c r="AM45" s="182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255"/>
    </row>
    <row r="46" spans="1:54" s="165" customFormat="1" ht="24" hidden="1" customHeight="1" x14ac:dyDescent="0.2">
      <c r="A46" s="652"/>
      <c r="B46" s="653"/>
      <c r="C46" s="653"/>
      <c r="D46" s="653"/>
      <c r="E46" s="653"/>
      <c r="F46" s="653"/>
      <c r="G46" s="653"/>
      <c r="H46" s="601"/>
      <c r="I46" s="601"/>
      <c r="J46" s="601"/>
      <c r="K46" s="601"/>
      <c r="L46" s="601"/>
      <c r="M46" s="601"/>
      <c r="N46" s="601"/>
      <c r="O46" s="601"/>
      <c r="P46" s="601"/>
      <c r="Q46" s="601"/>
      <c r="R46" s="601"/>
      <c r="S46" s="601"/>
      <c r="T46" s="601"/>
      <c r="U46" s="601"/>
      <c r="V46" s="601"/>
      <c r="W46" s="601"/>
      <c r="X46" s="601"/>
      <c r="Y46" s="601"/>
      <c r="Z46" s="726"/>
      <c r="AA46" s="726"/>
      <c r="AB46" s="726"/>
      <c r="AC46" s="279"/>
      <c r="AD46" s="279"/>
      <c r="AE46" s="279"/>
      <c r="AF46" s="279"/>
      <c r="AG46" s="279"/>
      <c r="AH46" s="180"/>
      <c r="AI46" s="181"/>
      <c r="AJ46" s="181"/>
      <c r="AK46" s="181"/>
      <c r="AL46" s="181"/>
      <c r="AM46" s="182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255"/>
    </row>
    <row r="47" spans="1:54" s="165" customFormat="1" ht="18" hidden="1" customHeight="1" x14ac:dyDescent="0.2">
      <c r="A47" s="652"/>
      <c r="B47" s="653"/>
      <c r="C47" s="653"/>
      <c r="D47" s="653"/>
      <c r="E47" s="653"/>
      <c r="F47" s="653"/>
      <c r="G47" s="653"/>
      <c r="H47" s="601"/>
      <c r="I47" s="601"/>
      <c r="J47" s="601"/>
      <c r="K47" s="601"/>
      <c r="L47" s="601"/>
      <c r="M47" s="601"/>
      <c r="N47" s="601"/>
      <c r="O47" s="601"/>
      <c r="P47" s="601"/>
      <c r="Q47" s="601"/>
      <c r="R47" s="601"/>
      <c r="S47" s="601"/>
      <c r="T47" s="601"/>
      <c r="U47" s="601"/>
      <c r="V47" s="601"/>
      <c r="W47" s="601"/>
      <c r="X47" s="601"/>
      <c r="Y47" s="601"/>
      <c r="Z47" s="726"/>
      <c r="AA47" s="726"/>
      <c r="AB47" s="726"/>
      <c r="AC47" s="279"/>
      <c r="AD47" s="279"/>
      <c r="AE47" s="279"/>
      <c r="AF47" s="279"/>
      <c r="AG47" s="279"/>
      <c r="AH47" s="180"/>
      <c r="AI47" s="181"/>
      <c r="AJ47" s="181"/>
      <c r="AK47" s="181"/>
      <c r="AL47" s="181"/>
      <c r="AM47" s="182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255"/>
    </row>
    <row r="48" spans="1:54" s="165" customFormat="1" ht="17.25" hidden="1" customHeight="1" x14ac:dyDescent="0.2">
      <c r="A48" s="652"/>
      <c r="B48" s="653"/>
      <c r="C48" s="653"/>
      <c r="D48" s="653"/>
      <c r="E48" s="653"/>
      <c r="F48" s="653"/>
      <c r="G48" s="653"/>
      <c r="H48" s="601"/>
      <c r="I48" s="601"/>
      <c r="J48" s="601"/>
      <c r="K48" s="601"/>
      <c r="L48" s="601"/>
      <c r="M48" s="601"/>
      <c r="N48" s="601"/>
      <c r="O48" s="601"/>
      <c r="P48" s="601"/>
      <c r="Q48" s="601"/>
      <c r="R48" s="601"/>
      <c r="S48" s="601"/>
      <c r="T48" s="601"/>
      <c r="U48" s="601"/>
      <c r="V48" s="601"/>
      <c r="W48" s="601"/>
      <c r="X48" s="601"/>
      <c r="Y48" s="601"/>
      <c r="Z48" s="726"/>
      <c r="AA48" s="726"/>
      <c r="AB48" s="726"/>
      <c r="AC48" s="279"/>
      <c r="AD48" s="279"/>
      <c r="AE48" s="279"/>
      <c r="AF48" s="279"/>
      <c r="AG48" s="279"/>
      <c r="AH48" s="180"/>
      <c r="AI48" s="181"/>
      <c r="AJ48" s="181"/>
      <c r="AK48" s="181"/>
      <c r="AL48" s="181"/>
      <c r="AM48" s="182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255"/>
    </row>
    <row r="49" spans="1:54" s="165" customFormat="1" ht="14.25" hidden="1" customHeight="1" x14ac:dyDescent="0.2">
      <c r="A49" s="652"/>
      <c r="B49" s="653"/>
      <c r="C49" s="653"/>
      <c r="D49" s="653"/>
      <c r="E49" s="653"/>
      <c r="F49" s="653"/>
      <c r="G49" s="653"/>
      <c r="H49" s="601"/>
      <c r="I49" s="601"/>
      <c r="J49" s="601"/>
      <c r="K49" s="601"/>
      <c r="L49" s="601"/>
      <c r="M49" s="601"/>
      <c r="N49" s="601"/>
      <c r="O49" s="601"/>
      <c r="P49" s="601"/>
      <c r="Q49" s="601"/>
      <c r="R49" s="601"/>
      <c r="S49" s="601"/>
      <c r="T49" s="601"/>
      <c r="U49" s="601"/>
      <c r="V49" s="601"/>
      <c r="W49" s="601"/>
      <c r="X49" s="601"/>
      <c r="Y49" s="601"/>
      <c r="Z49" s="726"/>
      <c r="AA49" s="726"/>
      <c r="AB49" s="726"/>
      <c r="AC49" s="279"/>
      <c r="AD49" s="279"/>
      <c r="AE49" s="279"/>
      <c r="AF49" s="279"/>
      <c r="AG49" s="279"/>
      <c r="AH49" s="180"/>
      <c r="AI49" s="181"/>
      <c r="AJ49" s="181"/>
      <c r="AK49" s="181"/>
      <c r="AL49" s="181"/>
      <c r="AM49" s="182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255"/>
    </row>
    <row r="50" spans="1:54" ht="0.75" customHeight="1" thickBot="1" x14ac:dyDescent="0.25">
      <c r="A50" s="681"/>
      <c r="B50" s="682"/>
      <c r="C50" s="682"/>
      <c r="D50" s="682"/>
      <c r="E50" s="682"/>
      <c r="F50" s="682"/>
      <c r="G50" s="682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  <c r="V50" s="656"/>
      <c r="W50" s="656"/>
      <c r="X50" s="656"/>
      <c r="Y50" s="656"/>
      <c r="Z50" s="729"/>
      <c r="AA50" s="729"/>
      <c r="AB50" s="729"/>
      <c r="AC50" s="280"/>
      <c r="AD50" s="280"/>
      <c r="AE50" s="280"/>
      <c r="AF50" s="280"/>
      <c r="AG50" s="280"/>
      <c r="AH50" s="259"/>
      <c r="AI50" s="260"/>
      <c r="AJ50" s="260"/>
      <c r="AK50" s="260"/>
      <c r="AL50" s="260"/>
      <c r="AM50" s="261"/>
      <c r="AN50" s="256"/>
      <c r="AO50" s="257"/>
      <c r="AP50" s="257"/>
      <c r="AQ50" s="257"/>
      <c r="AR50" s="258"/>
      <c r="AS50" s="259"/>
      <c r="AT50" s="260"/>
      <c r="AU50" s="260"/>
      <c r="AV50" s="260"/>
      <c r="AW50" s="261"/>
      <c r="AX50" s="256"/>
      <c r="AY50" s="257"/>
      <c r="AZ50" s="257"/>
      <c r="BA50" s="257"/>
      <c r="BB50" s="262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305"/>
      <c r="I52" s="305"/>
      <c r="J52" s="305"/>
      <c r="K52" s="305"/>
      <c r="L52" s="164"/>
      <c r="M52" s="164"/>
      <c r="N52" s="164"/>
      <c r="O52" s="164"/>
      <c r="P52" s="164"/>
      <c r="Q52" s="306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660" t="s">
        <v>101</v>
      </c>
      <c r="B58" s="661"/>
      <c r="C58" s="661"/>
      <c r="D58" s="661"/>
      <c r="E58" s="661"/>
      <c r="F58" s="661"/>
      <c r="G58" s="661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96"/>
      <c r="AC58" s="662">
        <f>((R59+(R59*U61)+(R59*Q61)+(R59*M61)+(R59*I61))*Z61)</f>
        <v>40560</v>
      </c>
      <c r="AD58" s="662"/>
      <c r="AE58" s="662"/>
      <c r="AF58" s="662"/>
      <c r="AG58" s="662"/>
      <c r="AH58" s="662">
        <v>75</v>
      </c>
      <c r="AI58" s="662"/>
      <c r="AJ58" s="662"/>
      <c r="AK58" s="662"/>
      <c r="AL58" s="662"/>
      <c r="AM58" s="662"/>
      <c r="AN58" s="662">
        <f>AC58/AH58</f>
        <v>540.79999999999995</v>
      </c>
      <c r="AO58" s="662"/>
      <c r="AP58" s="662"/>
      <c r="AQ58" s="662"/>
      <c r="AR58" s="662"/>
      <c r="AS58" s="663">
        <f>U12</f>
        <v>36</v>
      </c>
      <c r="AT58" s="663"/>
      <c r="AU58" s="663"/>
      <c r="AV58" s="663"/>
      <c r="AW58" s="663"/>
      <c r="AX58" s="662">
        <f>AN58*AS58</f>
        <v>19468.8</v>
      </c>
      <c r="AY58" s="662"/>
      <c r="AZ58" s="662"/>
      <c r="BA58" s="662"/>
      <c r="BB58" s="684"/>
    </row>
    <row r="59" spans="1:54" s="165" customFormat="1" ht="20.25" customHeight="1" x14ac:dyDescent="0.2">
      <c r="A59" s="652"/>
      <c r="B59" s="653"/>
      <c r="C59" s="653"/>
      <c r="D59" s="653"/>
      <c r="E59" s="653"/>
      <c r="F59" s="653"/>
      <c r="G59" s="653"/>
      <c r="H59" s="714" t="s">
        <v>26</v>
      </c>
      <c r="I59" s="704"/>
      <c r="J59" s="704"/>
      <c r="K59" s="704"/>
      <c r="L59" s="704"/>
      <c r="M59" s="704"/>
      <c r="N59" s="669">
        <v>0</v>
      </c>
      <c r="O59" s="669"/>
      <c r="P59" s="669"/>
      <c r="Q59" s="84" t="s">
        <v>27</v>
      </c>
      <c r="R59" s="669">
        <v>15600</v>
      </c>
      <c r="S59" s="669"/>
      <c r="T59" s="669"/>
      <c r="U59" s="669"/>
      <c r="V59" s="669"/>
      <c r="W59" s="84" t="s">
        <v>28</v>
      </c>
      <c r="X59" s="84" t="s">
        <v>29</v>
      </c>
      <c r="Y59" s="84"/>
      <c r="Z59" s="84"/>
      <c r="AA59" s="84"/>
      <c r="AB59" s="85"/>
      <c r="AC59" s="601"/>
      <c r="AD59" s="601"/>
      <c r="AE59" s="601"/>
      <c r="AF59" s="601"/>
      <c r="AG59" s="601"/>
      <c r="AH59" s="601"/>
      <c r="AI59" s="601"/>
      <c r="AJ59" s="601"/>
      <c r="AK59" s="601"/>
      <c r="AL59" s="601"/>
      <c r="AM59" s="601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652"/>
      <c r="B60" s="653"/>
      <c r="C60" s="653"/>
      <c r="D60" s="653"/>
      <c r="E60" s="653"/>
      <c r="F60" s="653"/>
      <c r="G60" s="653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601"/>
      <c r="AD60" s="601"/>
      <c r="AE60" s="601"/>
      <c r="AF60" s="601"/>
      <c r="AG60" s="601"/>
      <c r="AH60" s="601"/>
      <c r="AI60" s="601"/>
      <c r="AJ60" s="601"/>
      <c r="AK60" s="601"/>
      <c r="AL60" s="601"/>
      <c r="AM60" s="601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1.25" customHeight="1" x14ac:dyDescent="0.2">
      <c r="A61" s="652"/>
      <c r="B61" s="653"/>
      <c r="C61" s="653"/>
      <c r="D61" s="653"/>
      <c r="E61" s="653"/>
      <c r="F61" s="653"/>
      <c r="G61" s="653"/>
      <c r="H61" s="97" t="s">
        <v>30</v>
      </c>
      <c r="I61" s="792">
        <v>0</v>
      </c>
      <c r="J61" s="792"/>
      <c r="K61" s="792"/>
      <c r="L61" s="84" t="s">
        <v>79</v>
      </c>
      <c r="M61" s="792">
        <v>0</v>
      </c>
      <c r="N61" s="792"/>
      <c r="O61" s="792"/>
      <c r="P61" s="84" t="s">
        <v>79</v>
      </c>
      <c r="Q61" s="792">
        <v>0</v>
      </c>
      <c r="R61" s="792"/>
      <c r="S61" s="792"/>
      <c r="T61" s="84" t="s">
        <v>79</v>
      </c>
      <c r="U61" s="792">
        <v>0</v>
      </c>
      <c r="V61" s="792"/>
      <c r="W61" s="792"/>
      <c r="X61" s="84" t="s">
        <v>31</v>
      </c>
      <c r="Y61" s="84" t="s">
        <v>28</v>
      </c>
      <c r="Z61" s="669">
        <v>2.6</v>
      </c>
      <c r="AA61" s="669"/>
      <c r="AB61" s="670"/>
      <c r="AC61" s="601"/>
      <c r="AD61" s="601"/>
      <c r="AE61" s="601"/>
      <c r="AF61" s="601"/>
      <c r="AG61" s="601"/>
      <c r="AH61" s="601"/>
      <c r="AI61" s="601"/>
      <c r="AJ61" s="601"/>
      <c r="AK61" s="601"/>
      <c r="AL61" s="601"/>
      <c r="AM61" s="601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" customHeight="1" thickBot="1" x14ac:dyDescent="0.25">
      <c r="A62" s="681"/>
      <c r="B62" s="682"/>
      <c r="C62" s="682"/>
      <c r="D62" s="682"/>
      <c r="E62" s="682"/>
      <c r="F62" s="682"/>
      <c r="G62" s="682"/>
      <c r="H62" s="256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8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83"/>
      <c r="AT62" s="683"/>
      <c r="AU62" s="683"/>
      <c r="AV62" s="683"/>
      <c r="AW62" s="683"/>
      <c r="AX62" s="656"/>
      <c r="AY62" s="656"/>
      <c r="AZ62" s="656"/>
      <c r="BA62" s="656"/>
      <c r="BB62" s="657"/>
    </row>
    <row r="63" spans="1:54" ht="5.0999999999999996" hidden="1" customHeight="1" x14ac:dyDescent="0.2">
      <c r="A63" s="666"/>
      <c r="B63" s="667"/>
      <c r="C63" s="667"/>
      <c r="D63" s="667"/>
      <c r="E63" s="667"/>
      <c r="F63" s="667"/>
      <c r="G63" s="667"/>
      <c r="H63" s="193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94" t="e">
        <f>#REF!</f>
        <v>#REF!</v>
      </c>
      <c r="AA63" s="191"/>
      <c r="AB63" s="195"/>
      <c r="AC63" s="477">
        <f>((R64+(R64*U66)+(R64*Q66)+(R64*M66)+(R64*I66))*Z66)*1.15</f>
        <v>0</v>
      </c>
      <c r="AD63" s="477"/>
      <c r="AE63" s="477"/>
      <c r="AF63" s="477"/>
      <c r="AG63" s="477"/>
      <c r="AH63" s="477">
        <v>1</v>
      </c>
      <c r="AI63" s="477"/>
      <c r="AJ63" s="477"/>
      <c r="AK63" s="477"/>
      <c r="AL63" s="477"/>
      <c r="AM63" s="477"/>
      <c r="AN63" s="477">
        <f>AC63/AH63</f>
        <v>0</v>
      </c>
      <c r="AO63" s="477"/>
      <c r="AP63" s="477"/>
      <c r="AQ63" s="477"/>
      <c r="AR63" s="477"/>
      <c r="AS63" s="668">
        <f t="shared" ref="AS63" si="0">U17</f>
        <v>0</v>
      </c>
      <c r="AT63" s="668"/>
      <c r="AU63" s="668"/>
      <c r="AV63" s="668"/>
      <c r="AW63" s="668"/>
      <c r="AX63" s="477">
        <f>AN63*AS63</f>
        <v>0</v>
      </c>
      <c r="AY63" s="477"/>
      <c r="AZ63" s="477"/>
      <c r="BA63" s="477"/>
      <c r="BB63" s="481"/>
    </row>
    <row r="64" spans="1:54" s="165" customFormat="1" ht="11.25" hidden="1" customHeight="1" x14ac:dyDescent="0.2">
      <c r="A64" s="652"/>
      <c r="B64" s="653"/>
      <c r="C64" s="653"/>
      <c r="D64" s="653"/>
      <c r="E64" s="653"/>
      <c r="F64" s="653"/>
      <c r="G64" s="653"/>
      <c r="H64" s="658" t="s">
        <v>26</v>
      </c>
      <c r="I64" s="659"/>
      <c r="J64" s="659"/>
      <c r="K64" s="659"/>
      <c r="L64" s="659"/>
      <c r="M64" s="659"/>
      <c r="N64" s="650">
        <v>0</v>
      </c>
      <c r="O64" s="650"/>
      <c r="P64" s="650"/>
      <c r="Q64" s="191" t="s">
        <v>27</v>
      </c>
      <c r="R64" s="650">
        <f>$AX$19*N64</f>
        <v>0</v>
      </c>
      <c r="S64" s="650"/>
      <c r="T64" s="650"/>
      <c r="U64" s="650"/>
      <c r="V64" s="650"/>
      <c r="W64" s="191" t="s">
        <v>28</v>
      </c>
      <c r="X64" s="191" t="s">
        <v>29</v>
      </c>
      <c r="Y64" s="191"/>
      <c r="Z64" s="191"/>
      <c r="AA64" s="191"/>
      <c r="AB64" s="195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664"/>
      <c r="AT64" s="664"/>
      <c r="AU64" s="664"/>
      <c r="AV64" s="664"/>
      <c r="AW64" s="664"/>
      <c r="AX64" s="529"/>
      <c r="AY64" s="529"/>
      <c r="AZ64" s="529"/>
      <c r="BA64" s="529"/>
      <c r="BB64" s="665"/>
    </row>
    <row r="65" spans="1:54" s="165" customFormat="1" ht="5.0999999999999996" hidden="1" customHeight="1" x14ac:dyDescent="0.2">
      <c r="A65" s="652"/>
      <c r="B65" s="653"/>
      <c r="C65" s="653"/>
      <c r="D65" s="653"/>
      <c r="E65" s="653"/>
      <c r="F65" s="653"/>
      <c r="G65" s="653"/>
      <c r="H65" s="196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91"/>
      <c r="AA65" s="191"/>
      <c r="AB65" s="195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65" customFormat="1" ht="11.25" hidden="1" customHeight="1" x14ac:dyDescent="0.2">
      <c r="A66" s="652"/>
      <c r="B66" s="653"/>
      <c r="C66" s="653"/>
      <c r="D66" s="653"/>
      <c r="E66" s="653"/>
      <c r="F66" s="653"/>
      <c r="G66" s="653"/>
      <c r="H66" s="197" t="s">
        <v>30</v>
      </c>
      <c r="I66" s="654">
        <v>0</v>
      </c>
      <c r="J66" s="654"/>
      <c r="K66" s="654"/>
      <c r="L66" s="191" t="s">
        <v>28</v>
      </c>
      <c r="M66" s="654">
        <v>0</v>
      </c>
      <c r="N66" s="654"/>
      <c r="O66" s="654"/>
      <c r="P66" s="191" t="s">
        <v>28</v>
      </c>
      <c r="Q66" s="654"/>
      <c r="R66" s="654"/>
      <c r="S66" s="654"/>
      <c r="T66" s="191" t="s">
        <v>28</v>
      </c>
      <c r="U66" s="654"/>
      <c r="V66" s="654"/>
      <c r="W66" s="654"/>
      <c r="X66" s="191" t="s">
        <v>31</v>
      </c>
      <c r="Y66" s="191" t="s">
        <v>28</v>
      </c>
      <c r="Z66" s="650">
        <v>2.6</v>
      </c>
      <c r="AA66" s="650"/>
      <c r="AB66" s="651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65" customFormat="1" ht="5.0999999999999996" hidden="1" customHeight="1" thickBot="1" x14ac:dyDescent="0.25">
      <c r="A67" s="652"/>
      <c r="B67" s="653"/>
      <c r="C67" s="653"/>
      <c r="D67" s="653"/>
      <c r="E67" s="653"/>
      <c r="F67" s="653"/>
      <c r="G67" s="653"/>
      <c r="H67" s="198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308"/>
      <c r="AA67" s="308"/>
      <c r="AB67" s="201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65" customFormat="1" ht="5.0999999999999996" hidden="1" customHeight="1" x14ac:dyDescent="0.2">
      <c r="A68" s="652"/>
      <c r="B68" s="653"/>
      <c r="C68" s="653"/>
      <c r="D68" s="653"/>
      <c r="E68" s="653"/>
      <c r="F68" s="653"/>
      <c r="G68" s="653"/>
      <c r="H68" s="19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94" t="e">
        <f>#REF!</f>
        <v>#REF!</v>
      </c>
      <c r="AA68" s="191"/>
      <c r="AB68" s="195"/>
      <c r="AC68" s="507">
        <f>((R69+(R69*U71)+(R69*Q71)+(R69*M71)+(R69*I71))*Z71)*1.15</f>
        <v>0</v>
      </c>
      <c r="AD68" s="507"/>
      <c r="AE68" s="507"/>
      <c r="AF68" s="507"/>
      <c r="AG68" s="507"/>
      <c r="AH68" s="529">
        <v>1</v>
      </c>
      <c r="AI68" s="529"/>
      <c r="AJ68" s="529"/>
      <c r="AK68" s="529"/>
      <c r="AL68" s="529"/>
      <c r="AM68" s="529"/>
      <c r="AN68" s="529">
        <f>AC68/AH68</f>
        <v>0</v>
      </c>
      <c r="AO68" s="529"/>
      <c r="AP68" s="529"/>
      <c r="AQ68" s="529"/>
      <c r="AR68" s="529"/>
      <c r="AS68" s="663">
        <f t="shared" ref="AS68" si="1">U22</f>
        <v>0</v>
      </c>
      <c r="AT68" s="663"/>
      <c r="AU68" s="663"/>
      <c r="AV68" s="663"/>
      <c r="AW68" s="663"/>
      <c r="AX68" s="529">
        <f>AN68*AS68</f>
        <v>0</v>
      </c>
      <c r="AY68" s="529"/>
      <c r="AZ68" s="529"/>
      <c r="BA68" s="529"/>
      <c r="BB68" s="665"/>
    </row>
    <row r="69" spans="1:54" s="165" customFormat="1" ht="11.25" hidden="1" customHeight="1" x14ac:dyDescent="0.2">
      <c r="A69" s="652"/>
      <c r="B69" s="653"/>
      <c r="C69" s="653"/>
      <c r="D69" s="653"/>
      <c r="E69" s="653"/>
      <c r="F69" s="653"/>
      <c r="G69" s="653"/>
      <c r="H69" s="658" t="s">
        <v>26</v>
      </c>
      <c r="I69" s="659"/>
      <c r="J69" s="659"/>
      <c r="K69" s="659"/>
      <c r="L69" s="659"/>
      <c r="M69" s="659"/>
      <c r="N69" s="650">
        <v>0</v>
      </c>
      <c r="O69" s="650"/>
      <c r="P69" s="650"/>
      <c r="Q69" s="191" t="s">
        <v>27</v>
      </c>
      <c r="R69" s="650">
        <f>$AX$19*N69</f>
        <v>0</v>
      </c>
      <c r="S69" s="650"/>
      <c r="T69" s="650"/>
      <c r="U69" s="650"/>
      <c r="V69" s="650"/>
      <c r="W69" s="191" t="s">
        <v>28</v>
      </c>
      <c r="X69" s="191" t="s">
        <v>29</v>
      </c>
      <c r="Y69" s="191"/>
      <c r="Z69" s="191"/>
      <c r="AA69" s="191"/>
      <c r="AB69" s="195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529"/>
      <c r="AP69" s="529"/>
      <c r="AQ69" s="529"/>
      <c r="AR69" s="529"/>
      <c r="AS69" s="664"/>
      <c r="AT69" s="664"/>
      <c r="AU69" s="664"/>
      <c r="AV69" s="664"/>
      <c r="AW69" s="664"/>
      <c r="AX69" s="529"/>
      <c r="AY69" s="529"/>
      <c r="AZ69" s="529"/>
      <c r="BA69" s="529"/>
      <c r="BB69" s="665"/>
    </row>
    <row r="70" spans="1:54" ht="5.0999999999999996" hidden="1" customHeight="1" x14ac:dyDescent="0.2">
      <c r="A70" s="652"/>
      <c r="B70" s="653"/>
      <c r="C70" s="653"/>
      <c r="D70" s="653"/>
      <c r="E70" s="653"/>
      <c r="F70" s="653"/>
      <c r="G70" s="653"/>
      <c r="H70" s="19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91"/>
      <c r="AA70" s="191"/>
      <c r="AB70" s="195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s="165" customFormat="1" ht="11.25" hidden="1" customHeight="1" x14ac:dyDescent="0.2">
      <c r="A71" s="652"/>
      <c r="B71" s="653"/>
      <c r="C71" s="653"/>
      <c r="D71" s="653"/>
      <c r="E71" s="653"/>
      <c r="F71" s="653"/>
      <c r="G71" s="653"/>
      <c r="H71" s="197" t="s">
        <v>30</v>
      </c>
      <c r="I71" s="654">
        <v>0</v>
      </c>
      <c r="J71" s="654"/>
      <c r="K71" s="654"/>
      <c r="L71" s="191" t="s">
        <v>28</v>
      </c>
      <c r="M71" s="654">
        <v>0</v>
      </c>
      <c r="N71" s="654"/>
      <c r="O71" s="654"/>
      <c r="P71" s="191" t="s">
        <v>28</v>
      </c>
      <c r="Q71" s="654"/>
      <c r="R71" s="654"/>
      <c r="S71" s="654"/>
      <c r="T71" s="191" t="s">
        <v>28</v>
      </c>
      <c r="U71" s="654"/>
      <c r="V71" s="654"/>
      <c r="W71" s="654"/>
      <c r="X71" s="191" t="s">
        <v>31</v>
      </c>
      <c r="Y71" s="191" t="s">
        <v>28</v>
      </c>
      <c r="Z71" s="650">
        <v>2.6</v>
      </c>
      <c r="AA71" s="650"/>
      <c r="AB71" s="651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65" customFormat="1" ht="11.25" hidden="1" customHeight="1" thickBot="1" x14ac:dyDescent="0.25">
      <c r="A72" s="652"/>
      <c r="B72" s="653"/>
      <c r="C72" s="653"/>
      <c r="D72" s="653"/>
      <c r="E72" s="653"/>
      <c r="F72" s="653"/>
      <c r="G72" s="653"/>
      <c r="H72" s="198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308"/>
      <c r="AA72" s="308"/>
      <c r="AB72" s="201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65" customFormat="1" ht="15" hidden="1" customHeight="1" x14ac:dyDescent="0.2">
      <c r="A73" s="660" t="s">
        <v>84</v>
      </c>
      <c r="B73" s="661"/>
      <c r="C73" s="661"/>
      <c r="D73" s="661"/>
      <c r="E73" s="661"/>
      <c r="F73" s="661"/>
      <c r="G73" s="661"/>
      <c r="H73" s="19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94" t="e">
        <f>#REF!</f>
        <v>#REF!</v>
      </c>
      <c r="AA73" s="191"/>
      <c r="AB73" s="195"/>
      <c r="AC73" s="507">
        <f>((R74+(R74*U76)+(R74*Q76)+(R74*M76)+(R74*I76))*Z76)</f>
        <v>0</v>
      </c>
      <c r="AD73" s="507"/>
      <c r="AE73" s="507"/>
      <c r="AF73" s="507"/>
      <c r="AG73" s="507"/>
      <c r="AH73" s="529">
        <v>75</v>
      </c>
      <c r="AI73" s="529"/>
      <c r="AJ73" s="529"/>
      <c r="AK73" s="529"/>
      <c r="AL73" s="529"/>
      <c r="AM73" s="529"/>
      <c r="AN73" s="529">
        <f>AC73/AH73</f>
        <v>0</v>
      </c>
      <c r="AO73" s="529"/>
      <c r="AP73" s="529"/>
      <c r="AQ73" s="529"/>
      <c r="AR73" s="529"/>
      <c r="AS73" s="663">
        <f t="shared" ref="AS73" si="2">U27</f>
        <v>0</v>
      </c>
      <c r="AT73" s="663"/>
      <c r="AU73" s="663"/>
      <c r="AV73" s="663"/>
      <c r="AW73" s="663"/>
      <c r="AX73" s="529">
        <f>AN73*AS73</f>
        <v>0</v>
      </c>
      <c r="AY73" s="529"/>
      <c r="AZ73" s="529"/>
      <c r="BA73" s="529"/>
      <c r="BB73" s="665"/>
    </row>
    <row r="74" spans="1:54" s="165" customFormat="1" ht="21" hidden="1" customHeight="1" thickBot="1" x14ac:dyDescent="0.25">
      <c r="A74" s="652"/>
      <c r="B74" s="653"/>
      <c r="C74" s="653"/>
      <c r="D74" s="653"/>
      <c r="E74" s="653"/>
      <c r="F74" s="653"/>
      <c r="G74" s="653"/>
      <c r="H74" s="658" t="s">
        <v>26</v>
      </c>
      <c r="I74" s="659"/>
      <c r="J74" s="659"/>
      <c r="K74" s="659"/>
      <c r="L74" s="659"/>
      <c r="M74" s="659"/>
      <c r="N74" s="650">
        <v>0</v>
      </c>
      <c r="O74" s="650"/>
      <c r="P74" s="650"/>
      <c r="Q74" s="191" t="s">
        <v>27</v>
      </c>
      <c r="R74" s="650">
        <f>$AX$19*N74</f>
        <v>0</v>
      </c>
      <c r="S74" s="650"/>
      <c r="T74" s="650"/>
      <c r="U74" s="650"/>
      <c r="V74" s="650"/>
      <c r="W74" s="191" t="s">
        <v>28</v>
      </c>
      <c r="X74" s="191" t="s">
        <v>29</v>
      </c>
      <c r="Y74" s="191"/>
      <c r="Z74" s="191"/>
      <c r="AA74" s="191"/>
      <c r="AB74" s="195"/>
      <c r="AC74" s="529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29"/>
      <c r="AS74" s="664"/>
      <c r="AT74" s="664"/>
      <c r="AU74" s="664"/>
      <c r="AV74" s="664"/>
      <c r="AW74" s="664"/>
      <c r="AX74" s="529"/>
      <c r="AY74" s="529"/>
      <c r="AZ74" s="529"/>
      <c r="BA74" s="529"/>
      <c r="BB74" s="665"/>
    </row>
    <row r="75" spans="1:54" s="165" customFormat="1" ht="12" hidden="1" customHeight="1" thickBot="1" x14ac:dyDescent="0.25">
      <c r="A75" s="652"/>
      <c r="B75" s="653"/>
      <c r="C75" s="653"/>
      <c r="D75" s="653"/>
      <c r="E75" s="653"/>
      <c r="F75" s="653"/>
      <c r="G75" s="653"/>
      <c r="H75" s="196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91"/>
      <c r="AA75" s="191"/>
      <c r="AB75" s="195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29"/>
      <c r="AS75" s="664"/>
      <c r="AT75" s="664"/>
      <c r="AU75" s="664"/>
      <c r="AV75" s="664"/>
      <c r="AW75" s="664"/>
      <c r="AX75" s="529"/>
      <c r="AY75" s="529"/>
      <c r="AZ75" s="529"/>
      <c r="BA75" s="529"/>
      <c r="BB75" s="665"/>
    </row>
    <row r="76" spans="1:54" s="165" customFormat="1" ht="15.75" hidden="1" customHeight="1" thickBot="1" x14ac:dyDescent="0.25">
      <c r="A76" s="652"/>
      <c r="B76" s="653"/>
      <c r="C76" s="653"/>
      <c r="D76" s="653"/>
      <c r="E76" s="653"/>
      <c r="F76" s="653"/>
      <c r="G76" s="653"/>
      <c r="H76" s="197" t="s">
        <v>30</v>
      </c>
      <c r="I76" s="654">
        <v>0.2</v>
      </c>
      <c r="J76" s="654"/>
      <c r="K76" s="654"/>
      <c r="L76" s="191" t="s">
        <v>28</v>
      </c>
      <c r="M76" s="654">
        <v>0.15</v>
      </c>
      <c r="N76" s="654"/>
      <c r="O76" s="654"/>
      <c r="P76" s="191" t="s">
        <v>28</v>
      </c>
      <c r="Q76" s="654">
        <v>0.5</v>
      </c>
      <c r="R76" s="654"/>
      <c r="S76" s="654"/>
      <c r="T76" s="191" t="s">
        <v>28</v>
      </c>
      <c r="U76" s="654">
        <v>0</v>
      </c>
      <c r="V76" s="654"/>
      <c r="W76" s="654"/>
      <c r="X76" s="191" t="s">
        <v>31</v>
      </c>
      <c r="Y76" s="191" t="s">
        <v>28</v>
      </c>
      <c r="Z76" s="650">
        <v>2.6</v>
      </c>
      <c r="AA76" s="650"/>
      <c r="AB76" s="651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29"/>
      <c r="AS76" s="664"/>
      <c r="AT76" s="664"/>
      <c r="AU76" s="664"/>
      <c r="AV76" s="664"/>
      <c r="AW76" s="664"/>
      <c r="AX76" s="529"/>
      <c r="AY76" s="529"/>
      <c r="AZ76" s="529"/>
      <c r="BA76" s="529"/>
      <c r="BB76" s="665"/>
    </row>
    <row r="77" spans="1:54" ht="13.5" hidden="1" customHeight="1" thickBot="1" x14ac:dyDescent="0.25">
      <c r="A77" s="652"/>
      <c r="B77" s="653"/>
      <c r="C77" s="653"/>
      <c r="D77" s="653"/>
      <c r="E77" s="653"/>
      <c r="F77" s="653"/>
      <c r="G77" s="653"/>
      <c r="H77" s="198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308"/>
      <c r="AA77" s="308"/>
      <c r="AB77" s="201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29"/>
      <c r="AS77" s="664"/>
      <c r="AT77" s="664"/>
      <c r="AU77" s="664"/>
      <c r="AV77" s="664"/>
      <c r="AW77" s="664"/>
      <c r="AX77" s="529"/>
      <c r="AY77" s="529"/>
      <c r="AZ77" s="529"/>
      <c r="BA77" s="529"/>
      <c r="BB77" s="665"/>
    </row>
    <row r="78" spans="1:54" s="165" customFormat="1" ht="8.25" hidden="1" customHeight="1" x14ac:dyDescent="0.2">
      <c r="A78" s="660" t="s">
        <v>86</v>
      </c>
      <c r="B78" s="661"/>
      <c r="C78" s="661"/>
      <c r="D78" s="661"/>
      <c r="E78" s="661"/>
      <c r="F78" s="661"/>
      <c r="G78" s="661"/>
      <c r="H78" s="19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94" t="e">
        <f>#REF!</f>
        <v>#REF!</v>
      </c>
      <c r="AA78" s="191"/>
      <c r="AB78" s="195"/>
      <c r="AC78" s="662">
        <f>((R79+(R79*U81)+(R79*Q81)+(R79*M81)+(R79*I81))*Z81)*1.15</f>
        <v>0</v>
      </c>
      <c r="AD78" s="662"/>
      <c r="AE78" s="662"/>
      <c r="AF78" s="662"/>
      <c r="AG78" s="662"/>
      <c r="AH78" s="601">
        <v>144</v>
      </c>
      <c r="AI78" s="601"/>
      <c r="AJ78" s="601"/>
      <c r="AK78" s="601"/>
      <c r="AL78" s="601"/>
      <c r="AM78" s="601"/>
      <c r="AN78" s="601">
        <f>AC78/AH78</f>
        <v>0</v>
      </c>
      <c r="AO78" s="601"/>
      <c r="AP78" s="601"/>
      <c r="AQ78" s="601"/>
      <c r="AR78" s="601"/>
      <c r="AS78" s="663">
        <v>72</v>
      </c>
      <c r="AT78" s="663"/>
      <c r="AU78" s="663"/>
      <c r="AV78" s="663"/>
      <c r="AW78" s="663"/>
      <c r="AX78" s="601">
        <f>AN78*AS78</f>
        <v>0</v>
      </c>
      <c r="AY78" s="601"/>
      <c r="AZ78" s="601"/>
      <c r="BA78" s="601"/>
      <c r="BB78" s="655"/>
    </row>
    <row r="79" spans="1:54" s="165" customFormat="1" ht="27" hidden="1" customHeight="1" thickBot="1" x14ac:dyDescent="0.25">
      <c r="A79" s="652"/>
      <c r="B79" s="653"/>
      <c r="C79" s="653"/>
      <c r="D79" s="653"/>
      <c r="E79" s="653"/>
      <c r="F79" s="653"/>
      <c r="G79" s="653"/>
      <c r="H79" s="658" t="s">
        <v>26</v>
      </c>
      <c r="I79" s="659"/>
      <c r="J79" s="659"/>
      <c r="K79" s="659"/>
      <c r="L79" s="659"/>
      <c r="M79" s="659"/>
      <c r="N79" s="650">
        <v>0</v>
      </c>
      <c r="O79" s="650"/>
      <c r="P79" s="650"/>
      <c r="Q79" s="191" t="s">
        <v>27</v>
      </c>
      <c r="R79" s="650">
        <f>$AX$19*N79</f>
        <v>0</v>
      </c>
      <c r="S79" s="650"/>
      <c r="T79" s="650"/>
      <c r="U79" s="650"/>
      <c r="V79" s="650"/>
      <c r="W79" s="191" t="s">
        <v>28</v>
      </c>
      <c r="X79" s="191" t="s">
        <v>29</v>
      </c>
      <c r="Y79" s="191"/>
      <c r="Z79" s="191"/>
      <c r="AA79" s="191"/>
      <c r="AB79" s="195"/>
      <c r="AC79" s="601"/>
      <c r="AD79" s="601"/>
      <c r="AE79" s="601"/>
      <c r="AF79" s="601"/>
      <c r="AG79" s="601"/>
      <c r="AH79" s="601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64"/>
      <c r="AT79" s="664"/>
      <c r="AU79" s="664"/>
      <c r="AV79" s="664"/>
      <c r="AW79" s="664"/>
      <c r="AX79" s="601"/>
      <c r="AY79" s="601"/>
      <c r="AZ79" s="601"/>
      <c r="BA79" s="601"/>
      <c r="BB79" s="655"/>
    </row>
    <row r="80" spans="1:54" s="165" customFormat="1" ht="6.75" hidden="1" customHeight="1" thickBot="1" x14ac:dyDescent="0.25">
      <c r="A80" s="652"/>
      <c r="B80" s="653"/>
      <c r="C80" s="653"/>
      <c r="D80" s="653"/>
      <c r="E80" s="653"/>
      <c r="F80" s="653"/>
      <c r="G80" s="653"/>
      <c r="H80" s="19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91"/>
      <c r="AA80" s="191"/>
      <c r="AB80" s="195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ht="12" hidden="1" customHeight="1" thickBot="1" x14ac:dyDescent="0.25">
      <c r="A81" s="652"/>
      <c r="B81" s="653"/>
      <c r="C81" s="653"/>
      <c r="D81" s="653"/>
      <c r="E81" s="653"/>
      <c r="F81" s="653"/>
      <c r="G81" s="653"/>
      <c r="H81" s="197" t="s">
        <v>30</v>
      </c>
      <c r="I81" s="654">
        <v>0.2</v>
      </c>
      <c r="J81" s="654"/>
      <c r="K81" s="654"/>
      <c r="L81" s="191" t="s">
        <v>28</v>
      </c>
      <c r="M81" s="654">
        <v>0</v>
      </c>
      <c r="N81" s="654"/>
      <c r="O81" s="654"/>
      <c r="P81" s="191" t="s">
        <v>28</v>
      </c>
      <c r="Q81" s="654">
        <v>0</v>
      </c>
      <c r="R81" s="654"/>
      <c r="S81" s="654"/>
      <c r="T81" s="191" t="s">
        <v>28</v>
      </c>
      <c r="U81" s="654">
        <v>0</v>
      </c>
      <c r="V81" s="654"/>
      <c r="W81" s="654"/>
      <c r="X81" s="191" t="s">
        <v>31</v>
      </c>
      <c r="Y81" s="191" t="s">
        <v>28</v>
      </c>
      <c r="Z81" s="650">
        <v>2.6</v>
      </c>
      <c r="AA81" s="650"/>
      <c r="AB81" s="651"/>
      <c r="AC81" s="601"/>
      <c r="AD81" s="601"/>
      <c r="AE81" s="601"/>
      <c r="AF81" s="601"/>
      <c r="AG81" s="601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3.5" hidden="1" customHeight="1" thickBot="1" x14ac:dyDescent="0.25">
      <c r="A82" s="652"/>
      <c r="B82" s="653"/>
      <c r="C82" s="653"/>
      <c r="D82" s="653"/>
      <c r="E82" s="653"/>
      <c r="F82" s="653"/>
      <c r="G82" s="653"/>
      <c r="H82" s="202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4"/>
      <c r="AA82" s="204"/>
      <c r="AB82" s="205"/>
      <c r="AC82" s="601"/>
      <c r="AD82" s="601"/>
      <c r="AE82" s="601"/>
      <c r="AF82" s="601"/>
      <c r="AG82" s="601"/>
      <c r="AH82" s="656"/>
      <c r="AI82" s="656"/>
      <c r="AJ82" s="656"/>
      <c r="AK82" s="656"/>
      <c r="AL82" s="656"/>
      <c r="AM82" s="656"/>
      <c r="AN82" s="656"/>
      <c r="AO82" s="656"/>
      <c r="AP82" s="656"/>
      <c r="AQ82" s="656"/>
      <c r="AR82" s="656"/>
      <c r="AS82" s="664"/>
      <c r="AT82" s="664"/>
      <c r="AU82" s="664"/>
      <c r="AV82" s="664"/>
      <c r="AW82" s="664"/>
      <c r="AX82" s="656"/>
      <c r="AY82" s="656"/>
      <c r="AZ82" s="656"/>
      <c r="BA82" s="656"/>
      <c r="BB82" s="657"/>
    </row>
    <row r="83" spans="1:54" ht="11.25" customHeight="1" x14ac:dyDescent="0.2">
      <c r="R83" s="169" t="s">
        <v>18</v>
      </c>
      <c r="S83" s="170"/>
      <c r="T83" s="170"/>
      <c r="U83" s="171"/>
      <c r="V83" s="171"/>
      <c r="W83" s="171"/>
      <c r="X83" s="171"/>
      <c r="Y83" s="171"/>
      <c r="Z83" s="171"/>
      <c r="AA83" s="171"/>
      <c r="AB83" s="171"/>
      <c r="AC83" s="171"/>
      <c r="AD83" s="171" t="s">
        <v>19</v>
      </c>
      <c r="AE83" s="171" t="s">
        <v>20</v>
      </c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2"/>
      <c r="AS83" s="453">
        <f>AX83/U12</f>
        <v>540.79999999999995</v>
      </c>
      <c r="AT83" s="453"/>
      <c r="AU83" s="453"/>
      <c r="AV83" s="453"/>
      <c r="AW83" s="453"/>
      <c r="AX83" s="453">
        <f>SUM(AX58:BB82)</f>
        <v>19468.8</v>
      </c>
      <c r="AY83" s="453"/>
      <c r="AZ83" s="453"/>
      <c r="BA83" s="453"/>
      <c r="BB83" s="454"/>
    </row>
    <row r="84" spans="1:54" ht="11.25" customHeight="1" thickBot="1" x14ac:dyDescent="0.25">
      <c r="R84" s="175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 t="s">
        <v>19</v>
      </c>
      <c r="AE84" s="176" t="s">
        <v>21</v>
      </c>
      <c r="AF84" s="176"/>
      <c r="AG84" s="176"/>
      <c r="AH84" s="176"/>
      <c r="AI84" s="176"/>
      <c r="AJ84" s="176"/>
      <c r="AK84" s="176"/>
      <c r="AL84" s="176"/>
      <c r="AM84" s="176"/>
      <c r="AN84" s="176"/>
      <c r="AO84" s="630">
        <v>0.30199999999999999</v>
      </c>
      <c r="AP84" s="631"/>
      <c r="AQ84" s="631"/>
      <c r="AR84" s="632"/>
      <c r="AS84" s="463">
        <f>AX84/U12</f>
        <v>163.32159999999999</v>
      </c>
      <c r="AT84" s="463"/>
      <c r="AU84" s="463"/>
      <c r="AV84" s="463"/>
      <c r="AW84" s="463"/>
      <c r="AX84" s="463">
        <f>AX83*AO84</f>
        <v>5879.5775999999996</v>
      </c>
      <c r="AY84" s="463"/>
      <c r="AZ84" s="463"/>
      <c r="BA84" s="463"/>
      <c r="BB84" s="633"/>
    </row>
    <row r="85" spans="1:54" ht="11.25" customHeight="1" thickBot="1" x14ac:dyDescent="0.25">
      <c r="M85" s="164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206"/>
      <c r="AP85" s="315"/>
      <c r="AQ85" s="315"/>
      <c r="AR85" s="315"/>
      <c r="AS85" s="314"/>
      <c r="AT85" s="314"/>
      <c r="AU85" s="314"/>
      <c r="AV85" s="314"/>
      <c r="AW85" s="314"/>
      <c r="AX85" s="314"/>
      <c r="AY85" s="314"/>
      <c r="AZ85" s="314"/>
      <c r="BA85" s="314"/>
      <c r="BB85" s="314"/>
    </row>
    <row r="86" spans="1:54" ht="12" customHeight="1" x14ac:dyDescent="0.2">
      <c r="A86" s="634" t="s">
        <v>32</v>
      </c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34"/>
      <c r="O86" s="635" t="s">
        <v>33</v>
      </c>
      <c r="P86" s="636"/>
      <c r="Q86" s="636"/>
      <c r="R86" s="636"/>
      <c r="S86" s="636"/>
      <c r="T86" s="636"/>
      <c r="U86" s="636"/>
      <c r="V86" s="636"/>
      <c r="W86" s="636"/>
      <c r="X86" s="636"/>
      <c r="Y86" s="636"/>
      <c r="Z86" s="636"/>
      <c r="AA86" s="636"/>
      <c r="AB86" s="636"/>
      <c r="AC86" s="636"/>
      <c r="AD86" s="636"/>
      <c r="AE86" s="636"/>
      <c r="AF86" s="636"/>
      <c r="AG86" s="636"/>
      <c r="AH86" s="636"/>
      <c r="AI86" s="636"/>
      <c r="AJ86" s="636"/>
      <c r="AK86" s="636"/>
      <c r="AL86" s="636"/>
      <c r="AM86" s="636"/>
      <c r="AN86" s="636"/>
      <c r="AO86" s="637">
        <f>AS34+AS51+AS83</f>
        <v>648.95999999999992</v>
      </c>
      <c r="AP86" s="637"/>
      <c r="AQ86" s="637"/>
      <c r="AR86" s="637"/>
      <c r="AS86" s="637"/>
      <c r="AT86" s="637"/>
      <c r="AU86" s="637"/>
      <c r="AV86" s="637">
        <f>AX34+AX51+AX83</f>
        <v>23362.559999999998</v>
      </c>
      <c r="AW86" s="637"/>
      <c r="AX86" s="637"/>
      <c r="AY86" s="637"/>
      <c r="AZ86" s="637"/>
      <c r="BA86" s="637"/>
      <c r="BB86" s="638"/>
    </row>
    <row r="87" spans="1:54" ht="12" customHeight="1" thickBot="1" x14ac:dyDescent="0.25">
      <c r="M87" s="163"/>
      <c r="O87" s="643" t="s">
        <v>34</v>
      </c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4"/>
      <c r="AI87" s="644"/>
      <c r="AJ87" s="644"/>
      <c r="AK87" s="644"/>
      <c r="AL87" s="644"/>
      <c r="AM87" s="644"/>
      <c r="AN87" s="644"/>
      <c r="AO87" s="645">
        <f>AS35+AS52+AS84</f>
        <v>195.98591999999999</v>
      </c>
      <c r="AP87" s="645"/>
      <c r="AQ87" s="645"/>
      <c r="AR87" s="645"/>
      <c r="AS87" s="645"/>
      <c r="AT87" s="645"/>
      <c r="AU87" s="645"/>
      <c r="AV87" s="645">
        <f>AX35+AX52+AX84</f>
        <v>7055.4931199999992</v>
      </c>
      <c r="AW87" s="645"/>
      <c r="AX87" s="645"/>
      <c r="AY87" s="645"/>
      <c r="AZ87" s="645"/>
      <c r="BA87" s="645"/>
      <c r="BB87" s="646"/>
    </row>
    <row r="88" spans="1:54" ht="12" customHeight="1" thickBot="1" x14ac:dyDescent="0.25">
      <c r="M88" s="208" t="s">
        <v>35</v>
      </c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10"/>
      <c r="AO88" s="647">
        <f>AO87+AO86</f>
        <v>844.94591999999989</v>
      </c>
      <c r="AP88" s="648"/>
      <c r="AQ88" s="648"/>
      <c r="AR88" s="648"/>
      <c r="AS88" s="648"/>
      <c r="AT88" s="648"/>
      <c r="AU88" s="648"/>
      <c r="AV88" s="648">
        <f>AV86+AV87</f>
        <v>30418.053119999997</v>
      </c>
      <c r="AW88" s="648"/>
      <c r="AX88" s="648"/>
      <c r="AY88" s="648"/>
      <c r="AZ88" s="648"/>
      <c r="BA88" s="648"/>
      <c r="BB88" s="649"/>
    </row>
    <row r="89" spans="1:54" ht="10.5" customHeight="1" x14ac:dyDescent="0.2"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</row>
    <row r="90" spans="1:54" s="159" customFormat="1" ht="15" customHeight="1" x14ac:dyDescent="0.2">
      <c r="A90" s="159" t="s">
        <v>36</v>
      </c>
      <c r="C90" s="159" t="s">
        <v>37</v>
      </c>
      <c r="AX90" s="160"/>
      <c r="AY90" s="160"/>
      <c r="AZ90" s="160"/>
      <c r="BA90" s="160"/>
      <c r="BB90" s="160"/>
    </row>
    <row r="91" spans="1:54" ht="12" customHeight="1" thickBot="1" x14ac:dyDescent="0.25"/>
    <row r="92" spans="1:54" s="163" customFormat="1" ht="39" customHeight="1" x14ac:dyDescent="0.2">
      <c r="A92" s="499" t="s">
        <v>38</v>
      </c>
      <c r="B92" s="500"/>
      <c r="C92" s="500"/>
      <c r="D92" s="500"/>
      <c r="E92" s="500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35" t="s">
        <v>39</v>
      </c>
      <c r="R92" s="535"/>
      <c r="S92" s="535"/>
      <c r="T92" s="535"/>
      <c r="U92" s="535"/>
      <c r="V92" s="535"/>
      <c r="W92" s="535"/>
      <c r="X92" s="535" t="s">
        <v>40</v>
      </c>
      <c r="Y92" s="535"/>
      <c r="Z92" s="535"/>
      <c r="AA92" s="535"/>
      <c r="AB92" s="535"/>
      <c r="AC92" s="535"/>
      <c r="AD92" s="535"/>
      <c r="AE92" s="535" t="s">
        <v>41</v>
      </c>
      <c r="AF92" s="535"/>
      <c r="AG92" s="535"/>
      <c r="AH92" s="535"/>
      <c r="AI92" s="535"/>
      <c r="AJ92" s="535"/>
      <c r="AK92" s="535"/>
      <c r="AL92" s="535"/>
      <c r="AM92" s="500" t="s">
        <v>42</v>
      </c>
      <c r="AN92" s="500"/>
      <c r="AO92" s="500"/>
      <c r="AP92" s="500"/>
      <c r="AQ92" s="500"/>
      <c r="AR92" s="500"/>
      <c r="AS92" s="500"/>
      <c r="AT92" s="500"/>
      <c r="AU92" s="500"/>
      <c r="AV92" s="500" t="s">
        <v>43</v>
      </c>
      <c r="AW92" s="500"/>
      <c r="AX92" s="500"/>
      <c r="AY92" s="500"/>
      <c r="AZ92" s="500"/>
      <c r="BA92" s="500"/>
      <c r="BB92" s="639"/>
    </row>
    <row r="93" spans="1:54" s="163" customFormat="1" ht="12" customHeight="1" thickBot="1" x14ac:dyDescent="0.25">
      <c r="A93" s="640">
        <v>1</v>
      </c>
      <c r="B93" s="641"/>
      <c r="C93" s="641"/>
      <c r="D93" s="641"/>
      <c r="E93" s="641"/>
      <c r="F93" s="641"/>
      <c r="G93" s="641"/>
      <c r="H93" s="641"/>
      <c r="I93" s="641"/>
      <c r="J93" s="641"/>
      <c r="K93" s="641"/>
      <c r="L93" s="641"/>
      <c r="M93" s="641"/>
      <c r="N93" s="641"/>
      <c r="O93" s="641"/>
      <c r="P93" s="641"/>
      <c r="Q93" s="641">
        <v>2</v>
      </c>
      <c r="R93" s="641"/>
      <c r="S93" s="641"/>
      <c r="T93" s="641"/>
      <c r="U93" s="641"/>
      <c r="V93" s="641"/>
      <c r="W93" s="641"/>
      <c r="X93" s="641">
        <v>3</v>
      </c>
      <c r="Y93" s="641"/>
      <c r="Z93" s="641"/>
      <c r="AA93" s="641"/>
      <c r="AB93" s="641"/>
      <c r="AC93" s="641"/>
      <c r="AD93" s="641"/>
      <c r="AE93" s="641">
        <v>4</v>
      </c>
      <c r="AF93" s="641"/>
      <c r="AG93" s="641"/>
      <c r="AH93" s="641"/>
      <c r="AI93" s="641"/>
      <c r="AJ93" s="641"/>
      <c r="AK93" s="641"/>
      <c r="AL93" s="641"/>
      <c r="AM93" s="641">
        <v>5</v>
      </c>
      <c r="AN93" s="641"/>
      <c r="AO93" s="641"/>
      <c r="AP93" s="641"/>
      <c r="AQ93" s="641"/>
      <c r="AR93" s="641"/>
      <c r="AS93" s="641"/>
      <c r="AT93" s="641"/>
      <c r="AU93" s="641"/>
      <c r="AV93" s="641">
        <v>6</v>
      </c>
      <c r="AW93" s="641"/>
      <c r="AX93" s="641"/>
      <c r="AY93" s="641"/>
      <c r="AZ93" s="641"/>
      <c r="BA93" s="641"/>
      <c r="BB93" s="642"/>
    </row>
    <row r="94" spans="1:54" ht="15" customHeight="1" x14ac:dyDescent="0.2">
      <c r="A94" s="618" t="s">
        <v>44</v>
      </c>
      <c r="B94" s="619"/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9"/>
      <c r="Q94" s="572">
        <v>5014.7</v>
      </c>
      <c r="R94" s="573"/>
      <c r="S94" s="573"/>
      <c r="T94" s="573"/>
      <c r="U94" s="573"/>
      <c r="V94" s="573"/>
      <c r="W94" s="574"/>
      <c r="X94" s="572">
        <v>53.8</v>
      </c>
      <c r="Y94" s="573"/>
      <c r="Z94" s="573"/>
      <c r="AA94" s="573"/>
      <c r="AB94" s="573"/>
      <c r="AC94" s="573"/>
      <c r="AD94" s="574"/>
      <c r="AE94" s="477">
        <v>1312893.28</v>
      </c>
      <c r="AF94" s="477"/>
      <c r="AG94" s="477"/>
      <c r="AH94" s="477"/>
      <c r="AI94" s="477"/>
      <c r="AJ94" s="477"/>
      <c r="AK94" s="477"/>
      <c r="AL94" s="477"/>
      <c r="AM94" s="620" t="s">
        <v>45</v>
      </c>
      <c r="AN94" s="621"/>
      <c r="AO94" s="621"/>
      <c r="AP94" s="621"/>
      <c r="AQ94" s="621"/>
      <c r="AR94" s="621"/>
      <c r="AS94" s="621"/>
      <c r="AT94" s="621"/>
      <c r="AU94" s="622"/>
      <c r="AV94" s="615">
        <f>AE94/$Q$94*$X$94/($AN$95*$AN$96)</f>
        <v>4.7521325403179695</v>
      </c>
      <c r="AW94" s="615"/>
      <c r="AX94" s="615"/>
      <c r="AY94" s="615"/>
      <c r="AZ94" s="615"/>
      <c r="BA94" s="615"/>
      <c r="BB94" s="616"/>
    </row>
    <row r="95" spans="1:54" ht="15" customHeight="1" x14ac:dyDescent="0.2">
      <c r="A95" s="618" t="s">
        <v>46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/>
      <c r="R95" s="573"/>
      <c r="S95" s="573"/>
      <c r="T95" s="573"/>
      <c r="U95" s="573"/>
      <c r="V95" s="573"/>
      <c r="W95" s="574"/>
      <c r="X95" s="572"/>
      <c r="Y95" s="573"/>
      <c r="Z95" s="573"/>
      <c r="AA95" s="573"/>
      <c r="AB95" s="573"/>
      <c r="AC95" s="573"/>
      <c r="AD95" s="574"/>
      <c r="AE95" s="529">
        <v>2160860.7999999998</v>
      </c>
      <c r="AF95" s="529"/>
      <c r="AG95" s="529"/>
      <c r="AH95" s="529"/>
      <c r="AI95" s="529"/>
      <c r="AJ95" s="529"/>
      <c r="AK95" s="529"/>
      <c r="AL95" s="529"/>
      <c r="AM95" s="213"/>
      <c r="AN95" s="623">
        <v>247</v>
      </c>
      <c r="AO95" s="623"/>
      <c r="AP95" s="623"/>
      <c r="AQ95" s="617" t="s">
        <v>47</v>
      </c>
      <c r="AR95" s="617"/>
      <c r="AS95" s="617"/>
      <c r="AT95" s="617"/>
      <c r="AU95" s="214"/>
      <c r="AV95" s="615">
        <f>AE95/$Q$94*$X$94/($AN$95*$AN$96)</f>
        <v>7.8214254571990187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449" t="s">
        <v>48</v>
      </c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  <c r="M96" s="450"/>
      <c r="N96" s="450"/>
      <c r="O96" s="450"/>
      <c r="P96" s="451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529">
        <v>2993420.26</v>
      </c>
      <c r="AF96" s="529"/>
      <c r="AG96" s="529"/>
      <c r="AH96" s="529"/>
      <c r="AI96" s="529"/>
      <c r="AJ96" s="529"/>
      <c r="AK96" s="529"/>
      <c r="AL96" s="529"/>
      <c r="AM96" s="213"/>
      <c r="AN96" s="562">
        <v>12</v>
      </c>
      <c r="AO96" s="562"/>
      <c r="AP96" s="562"/>
      <c r="AQ96" s="617" t="s">
        <v>49</v>
      </c>
      <c r="AR96" s="617"/>
      <c r="AS96" s="617"/>
      <c r="AT96" s="617"/>
      <c r="AU96" s="214"/>
      <c r="AV96" s="615">
        <f>AE96/$Q$94*$X$94/($AN$95*$AN$96)</f>
        <v>10.834947547597375</v>
      </c>
      <c r="AW96" s="615"/>
      <c r="AX96" s="615"/>
      <c r="AY96" s="615"/>
      <c r="AZ96" s="615"/>
      <c r="BA96" s="615"/>
      <c r="BB96" s="616"/>
    </row>
    <row r="97" spans="1:57" ht="15" customHeight="1" thickBot="1" x14ac:dyDescent="0.25">
      <c r="A97" s="624" t="s">
        <v>50</v>
      </c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6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627">
        <f>572353.29+691118.78</f>
        <v>1263472.07</v>
      </c>
      <c r="AF97" s="627"/>
      <c r="AG97" s="627"/>
      <c r="AH97" s="627"/>
      <c r="AI97" s="627"/>
      <c r="AJ97" s="627"/>
      <c r="AK97" s="627"/>
      <c r="AL97" s="627"/>
      <c r="AM97" s="213"/>
      <c r="AN97" s="186"/>
      <c r="AO97" s="186"/>
      <c r="AP97" s="186"/>
      <c r="AQ97" s="186"/>
      <c r="AR97" s="186"/>
      <c r="AS97" s="186"/>
      <c r="AT97" s="186"/>
      <c r="AU97" s="214"/>
      <c r="AV97" s="628">
        <f>AE97/$Q$94*$X$94/($AN$95*$AN$96)</f>
        <v>4.5732481299850232</v>
      </c>
      <c r="AW97" s="628"/>
      <c r="AX97" s="628"/>
      <c r="AY97" s="628"/>
      <c r="AZ97" s="628"/>
      <c r="BA97" s="628"/>
      <c r="BB97" s="629"/>
    </row>
    <row r="98" spans="1:57" s="161" customFormat="1" ht="15" customHeight="1" thickBot="1" x14ac:dyDescent="0.25">
      <c r="A98" s="610" t="s">
        <v>51</v>
      </c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531">
        <f>Q94</f>
        <v>5014.7</v>
      </c>
      <c r="R98" s="533"/>
      <c r="S98" s="533"/>
      <c r="T98" s="533"/>
      <c r="U98" s="533"/>
      <c r="V98" s="533"/>
      <c r="W98" s="534"/>
      <c r="X98" s="531">
        <f>X94</f>
        <v>53.8</v>
      </c>
      <c r="Y98" s="533"/>
      <c r="Z98" s="533"/>
      <c r="AA98" s="533"/>
      <c r="AB98" s="533"/>
      <c r="AC98" s="533"/>
      <c r="AD98" s="534"/>
      <c r="AE98" s="612">
        <f>SUM(AE94:AL97)</f>
        <v>7730646.4100000001</v>
      </c>
      <c r="AF98" s="612"/>
      <c r="AG98" s="612"/>
      <c r="AH98" s="612"/>
      <c r="AI98" s="612"/>
      <c r="AJ98" s="612"/>
      <c r="AK98" s="612"/>
      <c r="AL98" s="612"/>
      <c r="AM98" s="531" t="s">
        <v>17</v>
      </c>
      <c r="AN98" s="533"/>
      <c r="AO98" s="533"/>
      <c r="AP98" s="533"/>
      <c r="AQ98" s="533"/>
      <c r="AR98" s="533"/>
      <c r="AS98" s="533"/>
      <c r="AT98" s="533"/>
      <c r="AU98" s="534"/>
      <c r="AV98" s="613">
        <f>SUM(AV94:BB97)</f>
        <v>27.981753675099391</v>
      </c>
      <c r="AW98" s="613"/>
      <c r="AX98" s="613"/>
      <c r="AY98" s="613"/>
      <c r="AZ98" s="613"/>
      <c r="BA98" s="613"/>
      <c r="BB98" s="614"/>
    </row>
    <row r="99" spans="1:57" ht="12" customHeight="1" x14ac:dyDescent="0.2"/>
    <row r="100" spans="1:57" s="159" customFormat="1" ht="15" customHeight="1" x14ac:dyDescent="0.2">
      <c r="A100" s="159" t="s">
        <v>52</v>
      </c>
      <c r="C100" s="159" t="s">
        <v>53</v>
      </c>
      <c r="AX100" s="160"/>
      <c r="AY100" s="160"/>
      <c r="AZ100" s="160"/>
      <c r="BA100" s="160"/>
      <c r="BB100" s="160"/>
    </row>
    <row r="101" spans="1:57" ht="12" customHeight="1" thickBot="1" x14ac:dyDescent="0.25"/>
    <row r="102" spans="1:57" ht="39" customHeight="1" x14ac:dyDescent="0.2">
      <c r="A102" s="585" t="s">
        <v>54</v>
      </c>
      <c r="B102" s="586"/>
      <c r="C102" s="586"/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7"/>
      <c r="AA102" s="536" t="s">
        <v>55</v>
      </c>
      <c r="AB102" s="537"/>
      <c r="AC102" s="537"/>
      <c r="AD102" s="537"/>
      <c r="AE102" s="537"/>
      <c r="AF102" s="538"/>
      <c r="AG102" s="536" t="s">
        <v>56</v>
      </c>
      <c r="AH102" s="537"/>
      <c r="AI102" s="537"/>
      <c r="AJ102" s="537"/>
      <c r="AK102" s="537"/>
      <c r="AL102" s="538"/>
      <c r="AM102" s="588" t="s">
        <v>57</v>
      </c>
      <c r="AN102" s="586"/>
      <c r="AO102" s="586"/>
      <c r="AP102" s="586"/>
      <c r="AQ102" s="586"/>
      <c r="AR102" s="586"/>
      <c r="AS102" s="586"/>
      <c r="AT102" s="587"/>
      <c r="AU102" s="588" t="s">
        <v>43</v>
      </c>
      <c r="AV102" s="586"/>
      <c r="AW102" s="586"/>
      <c r="AX102" s="586"/>
      <c r="AY102" s="586"/>
      <c r="AZ102" s="586"/>
      <c r="BA102" s="586"/>
      <c r="BB102" s="589"/>
    </row>
    <row r="103" spans="1:57" ht="15.75" customHeight="1" thickBot="1" x14ac:dyDescent="0.25">
      <c r="A103" s="564">
        <v>1</v>
      </c>
      <c r="B103" s="475"/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5"/>
      <c r="O103" s="475"/>
      <c r="P103" s="475"/>
      <c r="Q103" s="475"/>
      <c r="R103" s="475"/>
      <c r="S103" s="475"/>
      <c r="T103" s="475"/>
      <c r="U103" s="475"/>
      <c r="V103" s="475"/>
      <c r="W103" s="475"/>
      <c r="X103" s="475"/>
      <c r="Y103" s="475"/>
      <c r="Z103" s="476"/>
      <c r="AA103" s="474">
        <v>2</v>
      </c>
      <c r="AB103" s="475"/>
      <c r="AC103" s="475"/>
      <c r="AD103" s="475"/>
      <c r="AE103" s="475"/>
      <c r="AF103" s="476"/>
      <c r="AG103" s="474">
        <v>3</v>
      </c>
      <c r="AH103" s="475"/>
      <c r="AI103" s="475"/>
      <c r="AJ103" s="475"/>
      <c r="AK103" s="475"/>
      <c r="AL103" s="476"/>
      <c r="AM103" s="474">
        <v>4</v>
      </c>
      <c r="AN103" s="475"/>
      <c r="AO103" s="475"/>
      <c r="AP103" s="475"/>
      <c r="AQ103" s="475"/>
      <c r="AR103" s="475"/>
      <c r="AS103" s="475"/>
      <c r="AT103" s="476"/>
      <c r="AU103" s="474">
        <v>5</v>
      </c>
      <c r="AV103" s="475"/>
      <c r="AW103" s="475"/>
      <c r="AX103" s="475"/>
      <c r="AY103" s="475"/>
      <c r="AZ103" s="475"/>
      <c r="BA103" s="475"/>
      <c r="BB103" s="565"/>
    </row>
    <row r="104" spans="1:57" ht="1.5" hidden="1" customHeight="1" x14ac:dyDescent="0.2">
      <c r="A104" s="566" t="s">
        <v>77</v>
      </c>
      <c r="B104" s="567"/>
      <c r="C104" s="567"/>
      <c r="D104" s="567"/>
      <c r="E104" s="567"/>
      <c r="F104" s="567"/>
      <c r="G104" s="567"/>
      <c r="H104" s="567"/>
      <c r="I104" s="567"/>
      <c r="J104" s="567"/>
      <c r="K104" s="567"/>
      <c r="L104" s="567"/>
      <c r="M104" s="567"/>
      <c r="N104" s="567"/>
      <c r="O104" s="567"/>
      <c r="P104" s="567"/>
      <c r="Q104" s="567"/>
      <c r="R104" s="567"/>
      <c r="S104" s="567"/>
      <c r="T104" s="567"/>
      <c r="U104" s="567"/>
      <c r="V104" s="567"/>
      <c r="W104" s="567"/>
      <c r="X104" s="567"/>
      <c r="Y104" s="567"/>
      <c r="Z104" s="568"/>
      <c r="AA104" s="604"/>
      <c r="AB104" s="605"/>
      <c r="AC104" s="605"/>
      <c r="AD104" s="605"/>
      <c r="AE104" s="605"/>
      <c r="AF104" s="606"/>
      <c r="AG104" s="569">
        <f>U12</f>
        <v>36</v>
      </c>
      <c r="AH104" s="570"/>
      <c r="AI104" s="570"/>
      <c r="AJ104" s="570"/>
      <c r="AK104" s="570"/>
      <c r="AL104" s="571"/>
      <c r="AM104" s="569" t="s">
        <v>58</v>
      </c>
      <c r="AN104" s="570"/>
      <c r="AO104" s="570"/>
      <c r="AP104" s="570"/>
      <c r="AQ104" s="570"/>
      <c r="AR104" s="570"/>
      <c r="AS104" s="570"/>
      <c r="AT104" s="571"/>
      <c r="AU104" s="607">
        <f>AA104/AG104</f>
        <v>0</v>
      </c>
      <c r="AV104" s="608"/>
      <c r="AW104" s="608"/>
      <c r="AX104" s="608"/>
      <c r="AY104" s="608"/>
      <c r="AZ104" s="608"/>
      <c r="BA104" s="608"/>
      <c r="BB104" s="609"/>
    </row>
    <row r="105" spans="1:57" ht="20.25" customHeight="1" x14ac:dyDescent="0.2">
      <c r="A105" s="853" t="s">
        <v>90</v>
      </c>
      <c r="B105" s="854"/>
      <c r="C105" s="854"/>
      <c r="D105" s="854"/>
      <c r="E105" s="854"/>
      <c r="F105" s="854"/>
      <c r="G105" s="854"/>
      <c r="H105" s="854"/>
      <c r="I105" s="854"/>
      <c r="J105" s="854"/>
      <c r="K105" s="854"/>
      <c r="L105" s="854"/>
      <c r="M105" s="854"/>
      <c r="N105" s="854"/>
      <c r="O105" s="854"/>
      <c r="P105" s="854"/>
      <c r="Q105" s="854"/>
      <c r="R105" s="854"/>
      <c r="S105" s="854"/>
      <c r="T105" s="854"/>
      <c r="U105" s="854"/>
      <c r="V105" s="854"/>
      <c r="W105" s="854"/>
      <c r="X105" s="854"/>
      <c r="Y105" s="854"/>
      <c r="Z105" s="855"/>
      <c r="AA105" s="596">
        <v>300</v>
      </c>
      <c r="AB105" s="597"/>
      <c r="AC105" s="597"/>
      <c r="AD105" s="597"/>
      <c r="AE105" s="597"/>
      <c r="AF105" s="59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590">
        <f>AA105/AG104</f>
        <v>8.3333333333333339</v>
      </c>
      <c r="AV105" s="591"/>
      <c r="AW105" s="591"/>
      <c r="AX105" s="591"/>
      <c r="AY105" s="591"/>
      <c r="AZ105" s="591"/>
      <c r="BA105" s="591"/>
      <c r="BB105" s="592"/>
    </row>
    <row r="106" spans="1:57" ht="20.25" customHeight="1" x14ac:dyDescent="0.2">
      <c r="A106" s="853" t="s">
        <v>96</v>
      </c>
      <c r="B106" s="854"/>
      <c r="C106" s="854"/>
      <c r="D106" s="854"/>
      <c r="E106" s="854"/>
      <c r="F106" s="854"/>
      <c r="G106" s="854"/>
      <c r="H106" s="854"/>
      <c r="I106" s="854"/>
      <c r="J106" s="854"/>
      <c r="K106" s="854"/>
      <c r="L106" s="854"/>
      <c r="M106" s="854"/>
      <c r="N106" s="854"/>
      <c r="O106" s="854"/>
      <c r="P106" s="854"/>
      <c r="Q106" s="854"/>
      <c r="R106" s="854"/>
      <c r="S106" s="854"/>
      <c r="T106" s="854"/>
      <c r="U106" s="854"/>
      <c r="V106" s="854"/>
      <c r="W106" s="854"/>
      <c r="X106" s="854"/>
      <c r="Y106" s="854"/>
      <c r="Z106" s="855"/>
      <c r="AA106" s="596">
        <v>25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AA106/AG104</f>
        <v>0.69444444444444442</v>
      </c>
      <c r="AV106" s="591"/>
      <c r="AW106" s="591"/>
      <c r="AX106" s="591"/>
      <c r="AY106" s="591"/>
      <c r="AZ106" s="591"/>
      <c r="BA106" s="591"/>
      <c r="BB106" s="592"/>
      <c r="BE106" s="117">
        <f>AU106*12*4</f>
        <v>33.333333333333329</v>
      </c>
    </row>
    <row r="107" spans="1:57" ht="22.5" customHeight="1" x14ac:dyDescent="0.2">
      <c r="A107" s="853" t="s">
        <v>522</v>
      </c>
      <c r="B107" s="854"/>
      <c r="C107" s="854"/>
      <c r="D107" s="854"/>
      <c r="E107" s="854"/>
      <c r="F107" s="854"/>
      <c r="G107" s="854"/>
      <c r="H107" s="854"/>
      <c r="I107" s="854"/>
      <c r="J107" s="854"/>
      <c r="K107" s="854"/>
      <c r="L107" s="854"/>
      <c r="M107" s="854"/>
      <c r="N107" s="854"/>
      <c r="O107" s="854"/>
      <c r="P107" s="854"/>
      <c r="Q107" s="854"/>
      <c r="R107" s="854"/>
      <c r="S107" s="854"/>
      <c r="T107" s="854"/>
      <c r="U107" s="854"/>
      <c r="V107" s="854"/>
      <c r="W107" s="854"/>
      <c r="X107" s="854"/>
      <c r="Y107" s="854"/>
      <c r="Z107" s="855"/>
      <c r="AA107" s="596">
        <v>30</v>
      </c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AA107/AG104</f>
        <v>0.83333333333333337</v>
      </c>
      <c r="AV107" s="591"/>
      <c r="AW107" s="591"/>
      <c r="AX107" s="591"/>
      <c r="AY107" s="591"/>
      <c r="AZ107" s="591"/>
      <c r="BA107" s="591"/>
      <c r="BB107" s="592"/>
    </row>
    <row r="108" spans="1:57" ht="26.25" customHeight="1" x14ac:dyDescent="0.2">
      <c r="A108" s="833" t="s">
        <v>320</v>
      </c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3"/>
      <c r="AA108" s="596">
        <v>200</v>
      </c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>
        <f>AA108/AG104</f>
        <v>5.5555555555555554</v>
      </c>
      <c r="AV108" s="591"/>
      <c r="AW108" s="591"/>
      <c r="AX108" s="591"/>
      <c r="AY108" s="591"/>
      <c r="AZ108" s="591"/>
      <c r="BA108" s="591"/>
      <c r="BB108" s="592"/>
    </row>
    <row r="109" spans="1:57" ht="19.5" customHeight="1" x14ac:dyDescent="0.2">
      <c r="A109" s="853" t="s">
        <v>100</v>
      </c>
      <c r="B109" s="854"/>
      <c r="C109" s="854"/>
      <c r="D109" s="854"/>
      <c r="E109" s="854"/>
      <c r="F109" s="854"/>
      <c r="G109" s="854"/>
      <c r="H109" s="854"/>
      <c r="I109" s="854"/>
      <c r="J109" s="854"/>
      <c r="K109" s="854"/>
      <c r="L109" s="854"/>
      <c r="M109" s="854"/>
      <c r="N109" s="854"/>
      <c r="O109" s="854"/>
      <c r="P109" s="854"/>
      <c r="Q109" s="854"/>
      <c r="R109" s="854"/>
      <c r="S109" s="854"/>
      <c r="T109" s="854"/>
      <c r="U109" s="854"/>
      <c r="V109" s="854"/>
      <c r="W109" s="854"/>
      <c r="X109" s="854"/>
      <c r="Y109" s="854"/>
      <c r="Z109" s="855"/>
      <c r="AA109" s="596">
        <v>500</v>
      </c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590">
        <f>AA109/AG104</f>
        <v>13.888888888888889</v>
      </c>
      <c r="AV109" s="591"/>
      <c r="AW109" s="591"/>
      <c r="AX109" s="591"/>
      <c r="AY109" s="591"/>
      <c r="AZ109" s="591"/>
      <c r="BA109" s="591"/>
      <c r="BB109" s="592"/>
    </row>
    <row r="110" spans="1:57" ht="19.5" customHeight="1" x14ac:dyDescent="0.2">
      <c r="A110" s="853" t="s">
        <v>523</v>
      </c>
      <c r="B110" s="854"/>
      <c r="C110" s="854"/>
      <c r="D110" s="854"/>
      <c r="E110" s="854"/>
      <c r="F110" s="854"/>
      <c r="G110" s="854"/>
      <c r="H110" s="854"/>
      <c r="I110" s="854"/>
      <c r="J110" s="854"/>
      <c r="K110" s="854"/>
      <c r="L110" s="854"/>
      <c r="M110" s="854"/>
      <c r="N110" s="854"/>
      <c r="O110" s="854"/>
      <c r="P110" s="854"/>
      <c r="Q110" s="854"/>
      <c r="R110" s="854"/>
      <c r="S110" s="854"/>
      <c r="T110" s="854"/>
      <c r="U110" s="854"/>
      <c r="V110" s="854"/>
      <c r="W110" s="854"/>
      <c r="X110" s="854"/>
      <c r="Y110" s="854"/>
      <c r="Z110" s="855"/>
      <c r="AA110" s="596">
        <v>1831.39</v>
      </c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590">
        <f>AA110/AG104</f>
        <v>50.871944444444445</v>
      </c>
      <c r="AV110" s="591"/>
      <c r="AW110" s="591"/>
      <c r="AX110" s="591"/>
      <c r="AY110" s="591"/>
      <c r="AZ110" s="591"/>
      <c r="BA110" s="591"/>
      <c r="BB110" s="592"/>
    </row>
    <row r="111" spans="1:57" ht="19.5" hidden="1" customHeight="1" x14ac:dyDescent="0.2">
      <c r="A111" s="593"/>
      <c r="B111" s="594"/>
      <c r="C111" s="594"/>
      <c r="D111" s="594"/>
      <c r="E111" s="594"/>
      <c r="F111" s="594"/>
      <c r="G111" s="594"/>
      <c r="H111" s="594"/>
      <c r="I111" s="594"/>
      <c r="J111" s="594"/>
      <c r="K111" s="594"/>
      <c r="L111" s="594"/>
      <c r="M111" s="594"/>
      <c r="N111" s="594"/>
      <c r="O111" s="594"/>
      <c r="P111" s="594"/>
      <c r="Q111" s="594"/>
      <c r="R111" s="594"/>
      <c r="S111" s="594"/>
      <c r="T111" s="594"/>
      <c r="U111" s="594"/>
      <c r="V111" s="594"/>
      <c r="W111" s="594"/>
      <c r="X111" s="594"/>
      <c r="Y111" s="594"/>
      <c r="Z111" s="595"/>
      <c r="AA111" s="596"/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AA111/AG104</f>
        <v>0</v>
      </c>
      <c r="AV111" s="591"/>
      <c r="AW111" s="591"/>
      <c r="AX111" s="591"/>
      <c r="AY111" s="591"/>
      <c r="AZ111" s="591"/>
      <c r="BA111" s="591"/>
      <c r="BB111" s="592"/>
    </row>
    <row r="112" spans="1:57" ht="20.25" hidden="1" customHeight="1" x14ac:dyDescent="0.2">
      <c r="A112" s="593"/>
      <c r="B112" s="594"/>
      <c r="C112" s="594"/>
      <c r="D112" s="594"/>
      <c r="E112" s="594"/>
      <c r="F112" s="594"/>
      <c r="G112" s="594"/>
      <c r="H112" s="594"/>
      <c r="I112" s="594"/>
      <c r="J112" s="594"/>
      <c r="K112" s="594"/>
      <c r="L112" s="594"/>
      <c r="M112" s="594"/>
      <c r="N112" s="594"/>
      <c r="O112" s="594"/>
      <c r="P112" s="594"/>
      <c r="Q112" s="594"/>
      <c r="R112" s="594"/>
      <c r="S112" s="594"/>
      <c r="T112" s="594"/>
      <c r="U112" s="594"/>
      <c r="V112" s="594"/>
      <c r="W112" s="594"/>
      <c r="X112" s="594"/>
      <c r="Y112" s="594"/>
      <c r="Z112" s="595"/>
      <c r="AA112" s="596"/>
      <c r="AB112" s="597"/>
      <c r="AC112" s="597"/>
      <c r="AD112" s="597"/>
      <c r="AE112" s="597"/>
      <c r="AF112" s="598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AA112/AG104</f>
        <v>0</v>
      </c>
      <c r="AV112" s="591"/>
      <c r="AW112" s="591"/>
      <c r="AX112" s="591"/>
      <c r="AY112" s="591"/>
      <c r="AZ112" s="591"/>
      <c r="BA112" s="591"/>
      <c r="BB112" s="592"/>
    </row>
    <row r="113" spans="1:54" ht="16.5" hidden="1" customHeight="1" x14ac:dyDescent="0.2">
      <c r="A113" s="593"/>
      <c r="B113" s="594"/>
      <c r="C113" s="594"/>
      <c r="D113" s="594"/>
      <c r="E113" s="594"/>
      <c r="F113" s="594"/>
      <c r="G113" s="594"/>
      <c r="H113" s="594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4"/>
      <c r="Z113" s="595"/>
      <c r="AA113" s="596"/>
      <c r="AB113" s="597"/>
      <c r="AC113" s="597"/>
      <c r="AD113" s="597"/>
      <c r="AE113" s="597"/>
      <c r="AF113" s="598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AA113/AG104</f>
        <v>0</v>
      </c>
      <c r="AV113" s="591"/>
      <c r="AW113" s="591"/>
      <c r="AX113" s="591"/>
      <c r="AY113" s="591"/>
      <c r="AZ113" s="591"/>
      <c r="BA113" s="591"/>
      <c r="BB113" s="592"/>
    </row>
    <row r="114" spans="1:54" s="161" customFormat="1" ht="19.5" hidden="1" customHeight="1" x14ac:dyDescent="0.2">
      <c r="A114" s="593"/>
      <c r="B114" s="594"/>
      <c r="C114" s="594"/>
      <c r="D114" s="594"/>
      <c r="E114" s="594"/>
      <c r="F114" s="594"/>
      <c r="G114" s="594"/>
      <c r="H114" s="594"/>
      <c r="I114" s="594"/>
      <c r="J114" s="594"/>
      <c r="K114" s="594"/>
      <c r="L114" s="594"/>
      <c r="M114" s="594"/>
      <c r="N114" s="594"/>
      <c r="O114" s="594"/>
      <c r="P114" s="594"/>
      <c r="Q114" s="594"/>
      <c r="R114" s="594"/>
      <c r="S114" s="594"/>
      <c r="T114" s="594"/>
      <c r="U114" s="594"/>
      <c r="V114" s="594"/>
      <c r="W114" s="594"/>
      <c r="X114" s="594"/>
      <c r="Y114" s="594"/>
      <c r="Z114" s="595"/>
      <c r="AA114" s="596"/>
      <c r="AB114" s="597"/>
      <c r="AC114" s="597"/>
      <c r="AD114" s="597"/>
      <c r="AE114" s="597"/>
      <c r="AF114" s="598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AA114/AG104</f>
        <v>0</v>
      </c>
      <c r="AV114" s="591"/>
      <c r="AW114" s="591"/>
      <c r="AX114" s="591"/>
      <c r="AY114" s="591"/>
      <c r="AZ114" s="591"/>
      <c r="BA114" s="591"/>
      <c r="BB114" s="592"/>
    </row>
    <row r="115" spans="1:54" ht="1.5" hidden="1" customHeight="1" x14ac:dyDescent="0.2">
      <c r="A115" s="593"/>
      <c r="B115" s="594"/>
      <c r="C115" s="594"/>
      <c r="D115" s="594"/>
      <c r="E115" s="594"/>
      <c r="F115" s="594"/>
      <c r="G115" s="594"/>
      <c r="H115" s="594"/>
      <c r="I115" s="594"/>
      <c r="J115" s="594"/>
      <c r="K115" s="594"/>
      <c r="L115" s="594"/>
      <c r="M115" s="594"/>
      <c r="N115" s="594"/>
      <c r="O115" s="594"/>
      <c r="P115" s="594"/>
      <c r="Q115" s="594"/>
      <c r="R115" s="594"/>
      <c r="S115" s="594"/>
      <c r="T115" s="594"/>
      <c r="U115" s="594"/>
      <c r="V115" s="594"/>
      <c r="W115" s="594"/>
      <c r="X115" s="594"/>
      <c r="Y115" s="594"/>
      <c r="Z115" s="595"/>
      <c r="AA115" s="596"/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AA115/AG104</f>
        <v>0</v>
      </c>
      <c r="AV115" s="591"/>
      <c r="AW115" s="591"/>
      <c r="AX115" s="591"/>
      <c r="AY115" s="591"/>
      <c r="AZ115" s="591"/>
      <c r="BA115" s="591"/>
      <c r="BB115" s="592"/>
    </row>
    <row r="116" spans="1:54" s="159" customFormat="1" ht="17.25" hidden="1" customHeight="1" x14ac:dyDescent="0.2">
      <c r="A116" s="593"/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5"/>
      <c r="AA116" s="596"/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AA116/AG104</f>
        <v>0</v>
      </c>
      <c r="AV116" s="591"/>
      <c r="AW116" s="591"/>
      <c r="AX116" s="591"/>
      <c r="AY116" s="591"/>
      <c r="AZ116" s="591"/>
      <c r="BA116" s="591"/>
      <c r="BB116" s="592"/>
    </row>
    <row r="117" spans="1:54" ht="20.25" hidden="1" customHeight="1" x14ac:dyDescent="0.2">
      <c r="A117" s="593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AA117/AG104</f>
        <v>0</v>
      </c>
      <c r="AV117" s="591"/>
      <c r="AW117" s="591"/>
      <c r="AX117" s="591"/>
      <c r="AY117" s="591"/>
      <c r="AZ117" s="591"/>
      <c r="BA117" s="591"/>
      <c r="BB117" s="592"/>
    </row>
    <row r="118" spans="1:54" ht="18.75" hidden="1" customHeight="1" x14ac:dyDescent="0.2">
      <c r="A118" s="593"/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596"/>
      <c r="AB118" s="597"/>
      <c r="AC118" s="597"/>
      <c r="AD118" s="597"/>
      <c r="AE118" s="597"/>
      <c r="AF118" s="59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AA118/AG104</f>
        <v>0</v>
      </c>
      <c r="AV118" s="591"/>
      <c r="AW118" s="591"/>
      <c r="AX118" s="591"/>
      <c r="AY118" s="591"/>
      <c r="AZ118" s="591"/>
      <c r="BA118" s="591"/>
      <c r="BB118" s="592"/>
    </row>
    <row r="119" spans="1:54" ht="37.5" hidden="1" customHeight="1" x14ac:dyDescent="0.2">
      <c r="A119" s="593"/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596"/>
      <c r="AB119" s="597"/>
      <c r="AC119" s="597"/>
      <c r="AD119" s="597"/>
      <c r="AE119" s="597"/>
      <c r="AF119" s="59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AA119/AG104</f>
        <v>0</v>
      </c>
      <c r="AV119" s="591"/>
      <c r="AW119" s="591"/>
      <c r="AX119" s="591"/>
      <c r="AY119" s="591"/>
      <c r="AZ119" s="591"/>
      <c r="BA119" s="591"/>
      <c r="BB119" s="592"/>
    </row>
    <row r="120" spans="1:54" ht="28.5" hidden="1" customHeight="1" x14ac:dyDescent="0.2">
      <c r="A120" s="593"/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5"/>
      <c r="AA120" s="596"/>
      <c r="AB120" s="597"/>
      <c r="AC120" s="597"/>
      <c r="AD120" s="597"/>
      <c r="AE120" s="597"/>
      <c r="AF120" s="598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90">
        <f>AA120/AG104</f>
        <v>0</v>
      </c>
      <c r="AV120" s="591"/>
      <c r="AW120" s="591"/>
      <c r="AX120" s="591"/>
      <c r="AY120" s="591"/>
      <c r="AZ120" s="591"/>
      <c r="BA120" s="591"/>
      <c r="BB120" s="592"/>
    </row>
    <row r="121" spans="1:54" ht="21" hidden="1" customHeight="1" x14ac:dyDescent="0.2">
      <c r="A121" s="593"/>
      <c r="B121" s="594"/>
      <c r="C121" s="594"/>
      <c r="D121" s="594"/>
      <c r="E121" s="594"/>
      <c r="F121" s="594"/>
      <c r="G121" s="594"/>
      <c r="H121" s="594"/>
      <c r="I121" s="594"/>
      <c r="J121" s="594"/>
      <c r="K121" s="594"/>
      <c r="L121" s="594"/>
      <c r="M121" s="594"/>
      <c r="N121" s="594"/>
      <c r="O121" s="594"/>
      <c r="P121" s="594"/>
      <c r="Q121" s="594"/>
      <c r="R121" s="594"/>
      <c r="S121" s="594"/>
      <c r="T121" s="594"/>
      <c r="U121" s="594"/>
      <c r="V121" s="594"/>
      <c r="W121" s="594"/>
      <c r="X121" s="594"/>
      <c r="Y121" s="594"/>
      <c r="Z121" s="595"/>
      <c r="AA121" s="596"/>
      <c r="AB121" s="597"/>
      <c r="AC121" s="597"/>
      <c r="AD121" s="597"/>
      <c r="AE121" s="597"/>
      <c r="AF121" s="598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590">
        <f>AA121/AG104</f>
        <v>0</v>
      </c>
      <c r="AV121" s="591"/>
      <c r="AW121" s="591"/>
      <c r="AX121" s="591"/>
      <c r="AY121" s="591"/>
      <c r="AZ121" s="591"/>
      <c r="BA121" s="591"/>
      <c r="BB121" s="592"/>
    </row>
    <row r="122" spans="1:54" ht="21" hidden="1" customHeight="1" x14ac:dyDescent="0.2">
      <c r="A122" s="599"/>
      <c r="B122" s="600"/>
      <c r="C122" s="600"/>
      <c r="D122" s="600"/>
      <c r="E122" s="600"/>
      <c r="F122" s="600"/>
      <c r="G122" s="600"/>
      <c r="H122" s="600"/>
      <c r="I122" s="600"/>
      <c r="J122" s="600"/>
      <c r="K122" s="600"/>
      <c r="L122" s="600"/>
      <c r="M122" s="600"/>
      <c r="N122" s="600"/>
      <c r="O122" s="600"/>
      <c r="P122" s="600"/>
      <c r="Q122" s="600"/>
      <c r="R122" s="600"/>
      <c r="S122" s="600"/>
      <c r="T122" s="600"/>
      <c r="U122" s="600"/>
      <c r="V122" s="600"/>
      <c r="W122" s="600"/>
      <c r="X122" s="600"/>
      <c r="Y122" s="600"/>
      <c r="Z122" s="600"/>
      <c r="AA122" s="601"/>
      <c r="AB122" s="601"/>
      <c r="AC122" s="601"/>
      <c r="AD122" s="601"/>
      <c r="AE122" s="601"/>
      <c r="AF122" s="601"/>
      <c r="AG122" s="572"/>
      <c r="AH122" s="573"/>
      <c r="AI122" s="573"/>
      <c r="AJ122" s="573"/>
      <c r="AK122" s="573"/>
      <c r="AL122" s="574"/>
      <c r="AM122" s="572"/>
      <c r="AN122" s="573"/>
      <c r="AO122" s="573"/>
      <c r="AP122" s="573"/>
      <c r="AQ122" s="573"/>
      <c r="AR122" s="573"/>
      <c r="AS122" s="573"/>
      <c r="AT122" s="574"/>
      <c r="AU122" s="602">
        <f>AA122/AG104</f>
        <v>0</v>
      </c>
      <c r="AV122" s="602"/>
      <c r="AW122" s="602"/>
      <c r="AX122" s="602"/>
      <c r="AY122" s="602"/>
      <c r="AZ122" s="602"/>
      <c r="BA122" s="602"/>
      <c r="BB122" s="603"/>
    </row>
    <row r="123" spans="1:54" ht="0.75" customHeight="1" thickBot="1" x14ac:dyDescent="0.25">
      <c r="A123" s="864"/>
      <c r="B123" s="865"/>
      <c r="C123" s="865"/>
      <c r="D123" s="865"/>
      <c r="E123" s="865"/>
      <c r="F123" s="865"/>
      <c r="G123" s="865"/>
      <c r="H123" s="865"/>
      <c r="I123" s="865"/>
      <c r="J123" s="865"/>
      <c r="K123" s="865"/>
      <c r="L123" s="865"/>
      <c r="M123" s="865"/>
      <c r="N123" s="865"/>
      <c r="O123" s="865"/>
      <c r="P123" s="865"/>
      <c r="Q123" s="865"/>
      <c r="R123" s="865"/>
      <c r="S123" s="865"/>
      <c r="T123" s="865"/>
      <c r="U123" s="865"/>
      <c r="V123" s="865"/>
      <c r="W123" s="865"/>
      <c r="X123" s="865"/>
      <c r="Y123" s="865"/>
      <c r="Z123" s="865"/>
      <c r="AA123" s="656"/>
      <c r="AB123" s="656"/>
      <c r="AC123" s="656"/>
      <c r="AD123" s="656"/>
      <c r="AE123" s="656"/>
      <c r="AF123" s="656"/>
      <c r="AG123" s="859"/>
      <c r="AH123" s="860"/>
      <c r="AI123" s="860"/>
      <c r="AJ123" s="860"/>
      <c r="AK123" s="860"/>
      <c r="AL123" s="861"/>
      <c r="AM123" s="859"/>
      <c r="AN123" s="860"/>
      <c r="AO123" s="860"/>
      <c r="AP123" s="860"/>
      <c r="AQ123" s="860"/>
      <c r="AR123" s="860"/>
      <c r="AS123" s="860"/>
      <c r="AT123" s="861"/>
      <c r="AU123" s="866">
        <f>AA123/AG104</f>
        <v>0</v>
      </c>
      <c r="AV123" s="866"/>
      <c r="AW123" s="866"/>
      <c r="AX123" s="866"/>
      <c r="AY123" s="866"/>
      <c r="AZ123" s="866"/>
      <c r="BA123" s="866"/>
      <c r="BB123" s="867"/>
    </row>
    <row r="124" spans="1:54" ht="16.5" customHeight="1" thickBot="1" x14ac:dyDescent="0.25">
      <c r="A124" s="545" t="s">
        <v>51</v>
      </c>
      <c r="B124" s="546"/>
      <c r="C124" s="546"/>
      <c r="D124" s="546"/>
      <c r="E124" s="546"/>
      <c r="F124" s="546"/>
      <c r="G124" s="546"/>
      <c r="H124" s="546"/>
      <c r="I124" s="546"/>
      <c r="J124" s="546"/>
      <c r="K124" s="546"/>
      <c r="L124" s="546"/>
      <c r="M124" s="546"/>
      <c r="N124" s="546"/>
      <c r="O124" s="546"/>
      <c r="P124" s="546"/>
      <c r="Q124" s="546"/>
      <c r="R124" s="546"/>
      <c r="S124" s="546"/>
      <c r="T124" s="546"/>
      <c r="U124" s="546"/>
      <c r="V124" s="546"/>
      <c r="W124" s="546"/>
      <c r="X124" s="546"/>
      <c r="Y124" s="546"/>
      <c r="Z124" s="547"/>
      <c r="AA124" s="582">
        <f>SUM(AA104:AF123)</f>
        <v>2886.3900000000003</v>
      </c>
      <c r="AB124" s="583"/>
      <c r="AC124" s="583"/>
      <c r="AD124" s="583"/>
      <c r="AE124" s="583"/>
      <c r="AF124" s="583"/>
      <c r="AG124" s="532">
        <f>AG104</f>
        <v>36</v>
      </c>
      <c r="AH124" s="533"/>
      <c r="AI124" s="533"/>
      <c r="AJ124" s="533"/>
      <c r="AK124" s="533"/>
      <c r="AL124" s="534"/>
      <c r="AM124" s="551" t="s">
        <v>17</v>
      </c>
      <c r="AN124" s="552"/>
      <c r="AO124" s="552"/>
      <c r="AP124" s="552"/>
      <c r="AQ124" s="552"/>
      <c r="AR124" s="552"/>
      <c r="AS124" s="552"/>
      <c r="AT124" s="584"/>
      <c r="AU124" s="555">
        <f>SUM(AU104:BB123)</f>
        <v>80.177500000000009</v>
      </c>
      <c r="AV124" s="555"/>
      <c r="AW124" s="555"/>
      <c r="AX124" s="555"/>
      <c r="AY124" s="555"/>
      <c r="AZ124" s="555"/>
      <c r="BA124" s="555"/>
      <c r="BB124" s="556"/>
    </row>
    <row r="125" spans="1:54" ht="95.25" customHeight="1" x14ac:dyDescent="0.2"/>
    <row r="126" spans="1:54" s="161" customFormat="1" ht="15" customHeight="1" x14ac:dyDescent="0.2">
      <c r="A126" s="159" t="s">
        <v>59</v>
      </c>
      <c r="B126" s="159"/>
      <c r="C126" s="159" t="s">
        <v>60</v>
      </c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60"/>
      <c r="AY126" s="160"/>
      <c r="AZ126" s="160"/>
      <c r="BA126" s="160"/>
      <c r="BB126" s="160"/>
    </row>
    <row r="127" spans="1:54" ht="12" customHeight="1" thickBot="1" x14ac:dyDescent="0.25"/>
    <row r="128" spans="1:54" s="159" customFormat="1" ht="12" customHeight="1" x14ac:dyDescent="0.2">
      <c r="A128" s="585" t="s">
        <v>54</v>
      </c>
      <c r="B128" s="586"/>
      <c r="C128" s="586"/>
      <c r="D128" s="586"/>
      <c r="E128" s="586"/>
      <c r="F128" s="586"/>
      <c r="G128" s="586"/>
      <c r="H128" s="586"/>
      <c r="I128" s="586"/>
      <c r="J128" s="586"/>
      <c r="K128" s="586"/>
      <c r="L128" s="586"/>
      <c r="M128" s="586"/>
      <c r="N128" s="586"/>
      <c r="O128" s="586"/>
      <c r="P128" s="586"/>
      <c r="Q128" s="586"/>
      <c r="R128" s="586"/>
      <c r="S128" s="586"/>
      <c r="T128" s="586"/>
      <c r="U128" s="586"/>
      <c r="V128" s="586"/>
      <c r="W128" s="586"/>
      <c r="X128" s="586"/>
      <c r="Y128" s="586"/>
      <c r="Z128" s="587"/>
      <c r="AA128" s="536" t="s">
        <v>55</v>
      </c>
      <c r="AB128" s="537"/>
      <c r="AC128" s="537"/>
      <c r="AD128" s="537"/>
      <c r="AE128" s="537"/>
      <c r="AF128" s="538"/>
      <c r="AG128" s="536" t="s">
        <v>56</v>
      </c>
      <c r="AH128" s="537"/>
      <c r="AI128" s="537"/>
      <c r="AJ128" s="537"/>
      <c r="AK128" s="537"/>
      <c r="AL128" s="538"/>
      <c r="AM128" s="588" t="s">
        <v>57</v>
      </c>
      <c r="AN128" s="586"/>
      <c r="AO128" s="586"/>
      <c r="AP128" s="586"/>
      <c r="AQ128" s="586"/>
      <c r="AR128" s="586"/>
      <c r="AS128" s="586"/>
      <c r="AT128" s="587"/>
      <c r="AU128" s="588" t="s">
        <v>43</v>
      </c>
      <c r="AV128" s="586"/>
      <c r="AW128" s="586"/>
      <c r="AX128" s="586"/>
      <c r="AY128" s="586"/>
      <c r="AZ128" s="586"/>
      <c r="BA128" s="586"/>
      <c r="BB128" s="589"/>
    </row>
    <row r="129" spans="1:54" ht="11.25" customHeight="1" thickBot="1" x14ac:dyDescent="0.25">
      <c r="A129" s="564">
        <v>1</v>
      </c>
      <c r="B129" s="475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5"/>
      <c r="O129" s="475"/>
      <c r="P129" s="475"/>
      <c r="Q129" s="475"/>
      <c r="R129" s="475"/>
      <c r="S129" s="475"/>
      <c r="T129" s="475"/>
      <c r="U129" s="475"/>
      <c r="V129" s="475"/>
      <c r="W129" s="475"/>
      <c r="X129" s="475"/>
      <c r="Y129" s="475"/>
      <c r="Z129" s="476"/>
      <c r="AA129" s="474">
        <v>2</v>
      </c>
      <c r="AB129" s="475"/>
      <c r="AC129" s="475"/>
      <c r="AD129" s="475"/>
      <c r="AE129" s="475"/>
      <c r="AF129" s="476"/>
      <c r="AG129" s="474">
        <v>3</v>
      </c>
      <c r="AH129" s="475"/>
      <c r="AI129" s="475"/>
      <c r="AJ129" s="475"/>
      <c r="AK129" s="475"/>
      <c r="AL129" s="476"/>
      <c r="AM129" s="474">
        <v>4</v>
      </c>
      <c r="AN129" s="475"/>
      <c r="AO129" s="475"/>
      <c r="AP129" s="475"/>
      <c r="AQ129" s="475"/>
      <c r="AR129" s="475"/>
      <c r="AS129" s="475"/>
      <c r="AT129" s="476"/>
      <c r="AU129" s="474">
        <v>5</v>
      </c>
      <c r="AV129" s="475"/>
      <c r="AW129" s="475"/>
      <c r="AX129" s="475"/>
      <c r="AY129" s="475"/>
      <c r="AZ129" s="475"/>
      <c r="BA129" s="475"/>
      <c r="BB129" s="565"/>
    </row>
    <row r="130" spans="1:54" ht="31.5" hidden="1" customHeight="1" x14ac:dyDescent="0.2">
      <c r="A130" s="566"/>
      <c r="B130" s="567"/>
      <c r="C130" s="567"/>
      <c r="D130" s="567"/>
      <c r="E130" s="567"/>
      <c r="F130" s="567"/>
      <c r="G130" s="567"/>
      <c r="H130" s="567"/>
      <c r="I130" s="567"/>
      <c r="J130" s="567"/>
      <c r="K130" s="567"/>
      <c r="L130" s="567"/>
      <c r="M130" s="567"/>
      <c r="N130" s="567"/>
      <c r="O130" s="567"/>
      <c r="P130" s="567"/>
      <c r="Q130" s="567"/>
      <c r="R130" s="567"/>
      <c r="S130" s="567"/>
      <c r="T130" s="567"/>
      <c r="U130" s="567"/>
      <c r="V130" s="567"/>
      <c r="W130" s="567"/>
      <c r="X130" s="567"/>
      <c r="Y130" s="567"/>
      <c r="Z130" s="568"/>
      <c r="AA130" s="569">
        <v>0</v>
      </c>
      <c r="AB130" s="570"/>
      <c r="AC130" s="570"/>
      <c r="AD130" s="570"/>
      <c r="AE130" s="570"/>
      <c r="AF130" s="571"/>
      <c r="AG130" s="569">
        <f>U12</f>
        <v>36</v>
      </c>
      <c r="AH130" s="570"/>
      <c r="AI130" s="570"/>
      <c r="AJ130" s="570"/>
      <c r="AK130" s="570"/>
      <c r="AL130" s="571"/>
      <c r="AM130" s="569" t="s">
        <v>61</v>
      </c>
      <c r="AN130" s="570"/>
      <c r="AO130" s="570"/>
      <c r="AP130" s="570"/>
      <c r="AQ130" s="570"/>
      <c r="AR130" s="570"/>
      <c r="AS130" s="570"/>
      <c r="AT130" s="571"/>
      <c r="AU130" s="558">
        <f>AA130/AG130</f>
        <v>0</v>
      </c>
      <c r="AV130" s="559"/>
      <c r="AW130" s="559"/>
      <c r="AX130" s="559"/>
      <c r="AY130" s="559"/>
      <c r="AZ130" s="559"/>
      <c r="BA130" s="559"/>
      <c r="BB130" s="560"/>
    </row>
    <row r="131" spans="1:54" ht="4.5" hidden="1" customHeight="1" x14ac:dyDescent="0.2">
      <c r="A131" s="561"/>
      <c r="B131" s="562"/>
      <c r="C131" s="562"/>
      <c r="D131" s="562"/>
      <c r="E131" s="562"/>
      <c r="F131" s="562"/>
      <c r="G131" s="562"/>
      <c r="H131" s="562"/>
      <c r="I131" s="562"/>
      <c r="J131" s="562"/>
      <c r="K131" s="562"/>
      <c r="L131" s="562"/>
      <c r="M131" s="562"/>
      <c r="N131" s="562"/>
      <c r="O131" s="562"/>
      <c r="P131" s="562"/>
      <c r="Q131" s="562"/>
      <c r="R131" s="562"/>
      <c r="S131" s="562"/>
      <c r="T131" s="562"/>
      <c r="U131" s="562"/>
      <c r="V131" s="562"/>
      <c r="W131" s="562"/>
      <c r="X131" s="562"/>
      <c r="Y131" s="562"/>
      <c r="Z131" s="563"/>
      <c r="AA131" s="518"/>
      <c r="AB131" s="518"/>
      <c r="AC131" s="518"/>
      <c r="AD131" s="518"/>
      <c r="AE131" s="518"/>
      <c r="AF131" s="518"/>
      <c r="AG131" s="572"/>
      <c r="AH131" s="573"/>
      <c r="AI131" s="573"/>
      <c r="AJ131" s="573"/>
      <c r="AK131" s="573"/>
      <c r="AL131" s="574"/>
      <c r="AM131" s="572"/>
      <c r="AN131" s="573"/>
      <c r="AO131" s="573"/>
      <c r="AP131" s="573"/>
      <c r="AQ131" s="573"/>
      <c r="AR131" s="573"/>
      <c r="AS131" s="573"/>
      <c r="AT131" s="574"/>
      <c r="AU131" s="558">
        <f>AA131/AG130</f>
        <v>0</v>
      </c>
      <c r="AV131" s="559"/>
      <c r="AW131" s="559"/>
      <c r="AX131" s="559"/>
      <c r="AY131" s="559"/>
      <c r="AZ131" s="559"/>
      <c r="BA131" s="559"/>
      <c r="BB131" s="560"/>
    </row>
    <row r="132" spans="1:54" ht="21" customHeight="1" x14ac:dyDescent="0.2">
      <c r="A132" s="449"/>
      <c r="B132" s="450"/>
      <c r="C132" s="450"/>
      <c r="D132" s="450"/>
      <c r="E132" s="450"/>
      <c r="F132" s="450"/>
      <c r="G132" s="450"/>
      <c r="H132" s="450"/>
      <c r="I132" s="450"/>
      <c r="J132" s="450"/>
      <c r="K132" s="450"/>
      <c r="L132" s="450"/>
      <c r="M132" s="450"/>
      <c r="N132" s="450"/>
      <c r="O132" s="450"/>
      <c r="P132" s="450"/>
      <c r="Q132" s="450"/>
      <c r="R132" s="450"/>
      <c r="S132" s="450"/>
      <c r="T132" s="450"/>
      <c r="U132" s="450"/>
      <c r="V132" s="450"/>
      <c r="W132" s="450"/>
      <c r="X132" s="450"/>
      <c r="Y132" s="450"/>
      <c r="Z132" s="451"/>
      <c r="AA132" s="557"/>
      <c r="AB132" s="557"/>
      <c r="AC132" s="557"/>
      <c r="AD132" s="557"/>
      <c r="AE132" s="557"/>
      <c r="AF132" s="557"/>
      <c r="AG132" s="572"/>
      <c r="AH132" s="573"/>
      <c r="AI132" s="573"/>
      <c r="AJ132" s="573"/>
      <c r="AK132" s="573"/>
      <c r="AL132" s="574"/>
      <c r="AM132" s="572"/>
      <c r="AN132" s="573"/>
      <c r="AO132" s="573"/>
      <c r="AP132" s="573"/>
      <c r="AQ132" s="573"/>
      <c r="AR132" s="573"/>
      <c r="AS132" s="573"/>
      <c r="AT132" s="574"/>
      <c r="AU132" s="558">
        <f>AA132/AG130</f>
        <v>0</v>
      </c>
      <c r="AV132" s="559"/>
      <c r="AW132" s="559"/>
      <c r="AX132" s="559"/>
      <c r="AY132" s="559"/>
      <c r="AZ132" s="559"/>
      <c r="BA132" s="559"/>
      <c r="BB132" s="560"/>
    </row>
    <row r="133" spans="1:54" ht="21" customHeight="1" x14ac:dyDescent="0.2">
      <c r="A133" s="449"/>
      <c r="B133" s="450"/>
      <c r="C133" s="450"/>
      <c r="D133" s="450"/>
      <c r="E133" s="450"/>
      <c r="F133" s="450"/>
      <c r="G133" s="450"/>
      <c r="H133" s="450"/>
      <c r="I133" s="450"/>
      <c r="J133" s="450"/>
      <c r="K133" s="450"/>
      <c r="L133" s="450"/>
      <c r="M133" s="450"/>
      <c r="N133" s="450"/>
      <c r="O133" s="450"/>
      <c r="P133" s="450"/>
      <c r="Q133" s="450"/>
      <c r="R133" s="450"/>
      <c r="S133" s="450"/>
      <c r="T133" s="450"/>
      <c r="U133" s="450"/>
      <c r="V133" s="450"/>
      <c r="W133" s="450"/>
      <c r="X133" s="450"/>
      <c r="Y133" s="450"/>
      <c r="Z133" s="451"/>
      <c r="AA133" s="557"/>
      <c r="AB133" s="557"/>
      <c r="AC133" s="557"/>
      <c r="AD133" s="557"/>
      <c r="AE133" s="557"/>
      <c r="AF133" s="557"/>
      <c r="AG133" s="572"/>
      <c r="AH133" s="573"/>
      <c r="AI133" s="573"/>
      <c r="AJ133" s="573"/>
      <c r="AK133" s="573"/>
      <c r="AL133" s="574"/>
      <c r="AM133" s="572"/>
      <c r="AN133" s="573"/>
      <c r="AO133" s="573"/>
      <c r="AP133" s="573"/>
      <c r="AQ133" s="573"/>
      <c r="AR133" s="573"/>
      <c r="AS133" s="573"/>
      <c r="AT133" s="574"/>
      <c r="AU133" s="558">
        <f>AA133/AG130</f>
        <v>0</v>
      </c>
      <c r="AV133" s="559"/>
      <c r="AW133" s="559"/>
      <c r="AX133" s="559"/>
      <c r="AY133" s="559"/>
      <c r="AZ133" s="559"/>
      <c r="BA133" s="559"/>
      <c r="BB133" s="560"/>
    </row>
    <row r="134" spans="1:54" ht="6" hidden="1" customHeight="1" x14ac:dyDescent="0.2">
      <c r="A134" s="449"/>
      <c r="B134" s="450"/>
      <c r="C134" s="450"/>
      <c r="D134" s="450"/>
      <c r="E134" s="450"/>
      <c r="F134" s="450"/>
      <c r="G134" s="450"/>
      <c r="H134" s="450"/>
      <c r="I134" s="450"/>
      <c r="J134" s="450"/>
      <c r="K134" s="450"/>
      <c r="L134" s="450"/>
      <c r="M134" s="450"/>
      <c r="N134" s="450"/>
      <c r="O134" s="450"/>
      <c r="P134" s="450"/>
      <c r="Q134" s="450"/>
      <c r="R134" s="450"/>
      <c r="S134" s="450"/>
      <c r="T134" s="450"/>
      <c r="U134" s="450"/>
      <c r="V134" s="450"/>
      <c r="W134" s="450"/>
      <c r="X134" s="450"/>
      <c r="Y134" s="450"/>
      <c r="Z134" s="451"/>
      <c r="AA134" s="557"/>
      <c r="AB134" s="557"/>
      <c r="AC134" s="557"/>
      <c r="AD134" s="557"/>
      <c r="AE134" s="557"/>
      <c r="AF134" s="557"/>
      <c r="AG134" s="572"/>
      <c r="AH134" s="573"/>
      <c r="AI134" s="573"/>
      <c r="AJ134" s="573"/>
      <c r="AK134" s="573"/>
      <c r="AL134" s="574"/>
      <c r="AM134" s="572"/>
      <c r="AN134" s="573"/>
      <c r="AO134" s="573"/>
      <c r="AP134" s="573"/>
      <c r="AQ134" s="573"/>
      <c r="AR134" s="573"/>
      <c r="AS134" s="573"/>
      <c r="AT134" s="574"/>
      <c r="AU134" s="558">
        <f>AA134/AG130</f>
        <v>0</v>
      </c>
      <c r="AV134" s="559"/>
      <c r="AW134" s="559"/>
      <c r="AX134" s="559"/>
      <c r="AY134" s="559"/>
      <c r="AZ134" s="559"/>
      <c r="BA134" s="559"/>
      <c r="BB134" s="560"/>
    </row>
    <row r="135" spans="1:54" ht="0.75" customHeight="1" thickBot="1" x14ac:dyDescent="0.25">
      <c r="A135" s="575"/>
      <c r="B135" s="576"/>
      <c r="C135" s="576"/>
      <c r="D135" s="576"/>
      <c r="E135" s="576"/>
      <c r="F135" s="576"/>
      <c r="G135" s="576"/>
      <c r="H135" s="576"/>
      <c r="I135" s="576"/>
      <c r="J135" s="576"/>
      <c r="K135" s="576"/>
      <c r="L135" s="576"/>
      <c r="M135" s="576"/>
      <c r="N135" s="576"/>
      <c r="O135" s="576"/>
      <c r="P135" s="576"/>
      <c r="Q135" s="576"/>
      <c r="R135" s="576"/>
      <c r="S135" s="576"/>
      <c r="T135" s="576"/>
      <c r="U135" s="576"/>
      <c r="V135" s="576"/>
      <c r="W135" s="576"/>
      <c r="X135" s="576"/>
      <c r="Y135" s="576"/>
      <c r="Z135" s="577"/>
      <c r="AA135" s="578">
        <v>0</v>
      </c>
      <c r="AB135" s="578"/>
      <c r="AC135" s="578"/>
      <c r="AD135" s="578"/>
      <c r="AE135" s="578"/>
      <c r="AF135" s="578"/>
      <c r="AG135" s="572"/>
      <c r="AH135" s="573"/>
      <c r="AI135" s="573"/>
      <c r="AJ135" s="573"/>
      <c r="AK135" s="573"/>
      <c r="AL135" s="574"/>
      <c r="AM135" s="572"/>
      <c r="AN135" s="573"/>
      <c r="AO135" s="573"/>
      <c r="AP135" s="573"/>
      <c r="AQ135" s="573"/>
      <c r="AR135" s="573"/>
      <c r="AS135" s="573"/>
      <c r="AT135" s="574"/>
      <c r="AU135" s="579">
        <f>AA135/AG130</f>
        <v>0</v>
      </c>
      <c r="AV135" s="580"/>
      <c r="AW135" s="580"/>
      <c r="AX135" s="580"/>
      <c r="AY135" s="580"/>
      <c r="AZ135" s="580"/>
      <c r="BA135" s="580"/>
      <c r="BB135" s="581"/>
    </row>
    <row r="136" spans="1:54" ht="15" customHeight="1" thickBot="1" x14ac:dyDescent="0.25">
      <c r="A136" s="545" t="s">
        <v>51</v>
      </c>
      <c r="B136" s="546"/>
      <c r="C136" s="546"/>
      <c r="D136" s="546"/>
      <c r="E136" s="546"/>
      <c r="F136" s="546"/>
      <c r="G136" s="546"/>
      <c r="H136" s="546"/>
      <c r="I136" s="546"/>
      <c r="J136" s="546"/>
      <c r="K136" s="546"/>
      <c r="L136" s="546"/>
      <c r="M136" s="546"/>
      <c r="N136" s="546"/>
      <c r="O136" s="546"/>
      <c r="P136" s="546"/>
      <c r="Q136" s="546"/>
      <c r="R136" s="546"/>
      <c r="S136" s="546"/>
      <c r="T136" s="546"/>
      <c r="U136" s="546"/>
      <c r="V136" s="546"/>
      <c r="W136" s="546"/>
      <c r="X136" s="546"/>
      <c r="Y136" s="546"/>
      <c r="Z136" s="547"/>
      <c r="AA136" s="548">
        <f>SUM(AA130:AF133)</f>
        <v>0</v>
      </c>
      <c r="AB136" s="549"/>
      <c r="AC136" s="549"/>
      <c r="AD136" s="549"/>
      <c r="AE136" s="549"/>
      <c r="AF136" s="550"/>
      <c r="AG136" s="531">
        <f>AG130</f>
        <v>36</v>
      </c>
      <c r="AH136" s="533"/>
      <c r="AI136" s="533"/>
      <c r="AJ136" s="533"/>
      <c r="AK136" s="533"/>
      <c r="AL136" s="534"/>
      <c r="AM136" s="551" t="s">
        <v>17</v>
      </c>
      <c r="AN136" s="552"/>
      <c r="AO136" s="552"/>
      <c r="AP136" s="552"/>
      <c r="AQ136" s="552"/>
      <c r="AR136" s="552"/>
      <c r="AS136" s="552"/>
      <c r="AT136" s="553"/>
      <c r="AU136" s="554">
        <f>SUM(AU130:BB135)</f>
        <v>0</v>
      </c>
      <c r="AV136" s="555"/>
      <c r="AW136" s="555"/>
      <c r="AX136" s="555"/>
      <c r="AY136" s="555"/>
      <c r="AZ136" s="555"/>
      <c r="BA136" s="555"/>
      <c r="BB136" s="556"/>
    </row>
    <row r="137" spans="1:54" s="161" customFormat="1" ht="15" customHeight="1" x14ac:dyDescent="0.2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</row>
    <row r="138" spans="1:54" ht="27" customHeight="1" x14ac:dyDescent="0.2">
      <c r="A138" s="159" t="s">
        <v>62</v>
      </c>
      <c r="B138" s="159"/>
      <c r="C138" s="159" t="s">
        <v>63</v>
      </c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159"/>
      <c r="AX138" s="160"/>
      <c r="AY138" s="160"/>
      <c r="AZ138" s="160"/>
      <c r="BA138" s="160"/>
      <c r="BB138" s="160"/>
    </row>
    <row r="139" spans="1:54" ht="21.75" customHeight="1" thickBot="1" x14ac:dyDescent="0.25"/>
    <row r="140" spans="1:54" ht="63" customHeight="1" x14ac:dyDescent="0.2">
      <c r="A140" s="499" t="s">
        <v>54</v>
      </c>
      <c r="B140" s="500"/>
      <c r="C140" s="500"/>
      <c r="D140" s="500"/>
      <c r="E140" s="500"/>
      <c r="F140" s="500"/>
      <c r="G140" s="500"/>
      <c r="H140" s="535" t="s">
        <v>64</v>
      </c>
      <c r="I140" s="535"/>
      <c r="J140" s="535"/>
      <c r="K140" s="535"/>
      <c r="L140" s="535"/>
      <c r="M140" s="535" t="s">
        <v>94</v>
      </c>
      <c r="N140" s="535"/>
      <c r="O140" s="535"/>
      <c r="P140" s="535"/>
      <c r="Q140" s="535"/>
      <c r="R140" s="535" t="s">
        <v>82</v>
      </c>
      <c r="S140" s="535"/>
      <c r="T140" s="535"/>
      <c r="U140" s="535"/>
      <c r="V140" s="535" t="s">
        <v>65</v>
      </c>
      <c r="W140" s="535"/>
      <c r="X140" s="535"/>
      <c r="Y140" s="535"/>
      <c r="Z140" s="535" t="s">
        <v>66</v>
      </c>
      <c r="AA140" s="535"/>
      <c r="AB140" s="535"/>
      <c r="AC140" s="535"/>
      <c r="AD140" s="535" t="s">
        <v>67</v>
      </c>
      <c r="AE140" s="535"/>
      <c r="AF140" s="535"/>
      <c r="AG140" s="535"/>
      <c r="AH140" s="535"/>
      <c r="AI140" s="535"/>
      <c r="AJ140" s="535"/>
      <c r="AK140" s="535"/>
      <c r="AL140" s="535"/>
      <c r="AM140" s="535"/>
      <c r="AN140" s="535"/>
      <c r="AO140" s="535"/>
      <c r="AP140" s="535"/>
      <c r="AQ140" s="535" t="s">
        <v>431</v>
      </c>
      <c r="AR140" s="535"/>
      <c r="AS140" s="535"/>
      <c r="AT140" s="535"/>
      <c r="AU140" s="536" t="s">
        <v>430</v>
      </c>
      <c r="AV140" s="537"/>
      <c r="AW140" s="537"/>
      <c r="AX140" s="538"/>
      <c r="AY140" s="536" t="s">
        <v>87</v>
      </c>
      <c r="AZ140" s="537"/>
      <c r="BA140" s="537"/>
      <c r="BB140" s="539"/>
    </row>
    <row r="141" spans="1:54" ht="71.25" customHeight="1" thickBot="1" x14ac:dyDescent="0.25">
      <c r="A141" s="888"/>
      <c r="B141" s="889"/>
      <c r="C141" s="889"/>
      <c r="D141" s="889"/>
      <c r="E141" s="889"/>
      <c r="F141" s="889"/>
      <c r="G141" s="889"/>
      <c r="H141" s="894" t="s">
        <v>68</v>
      </c>
      <c r="I141" s="894"/>
      <c r="J141" s="894"/>
      <c r="K141" s="894"/>
      <c r="L141" s="894"/>
      <c r="M141" s="894" t="s">
        <v>68</v>
      </c>
      <c r="N141" s="894"/>
      <c r="O141" s="894"/>
      <c r="P141" s="894"/>
      <c r="Q141" s="894"/>
      <c r="R141" s="894"/>
      <c r="S141" s="894"/>
      <c r="T141" s="894"/>
      <c r="U141" s="894"/>
      <c r="V141" s="894"/>
      <c r="W141" s="894"/>
      <c r="X141" s="894"/>
      <c r="Y141" s="894"/>
      <c r="Z141" s="894"/>
      <c r="AA141" s="894"/>
      <c r="AB141" s="894"/>
      <c r="AC141" s="894"/>
      <c r="AD141" s="894" t="s">
        <v>68</v>
      </c>
      <c r="AE141" s="894"/>
      <c r="AF141" s="894"/>
      <c r="AG141" s="894"/>
      <c r="AH141" s="894"/>
      <c r="AI141" s="894"/>
      <c r="AJ141" s="895" t="s">
        <v>69</v>
      </c>
      <c r="AK141" s="896"/>
      <c r="AL141" s="896"/>
      <c r="AM141" s="896"/>
      <c r="AN141" s="896"/>
      <c r="AO141" s="896"/>
      <c r="AP141" s="897"/>
      <c r="AQ141" s="894" t="s">
        <v>68</v>
      </c>
      <c r="AR141" s="894"/>
      <c r="AS141" s="894"/>
      <c r="AT141" s="894"/>
      <c r="AU141" s="894" t="s">
        <v>68</v>
      </c>
      <c r="AV141" s="894"/>
      <c r="AW141" s="894"/>
      <c r="AX141" s="894"/>
      <c r="AY141" s="894" t="s">
        <v>68</v>
      </c>
      <c r="AZ141" s="894"/>
      <c r="BA141" s="894"/>
      <c r="BB141" s="898"/>
    </row>
    <row r="142" spans="1:54" ht="22.5" customHeight="1" thickBot="1" x14ac:dyDescent="0.25">
      <c r="A142" s="530">
        <v>1</v>
      </c>
      <c r="B142" s="503"/>
      <c r="C142" s="503"/>
      <c r="D142" s="503"/>
      <c r="E142" s="503"/>
      <c r="F142" s="503"/>
      <c r="G142" s="503"/>
      <c r="H142" s="503">
        <v>2</v>
      </c>
      <c r="I142" s="503"/>
      <c r="J142" s="503"/>
      <c r="K142" s="503"/>
      <c r="L142" s="503"/>
      <c r="M142" s="503">
        <v>3</v>
      </c>
      <c r="N142" s="503"/>
      <c r="O142" s="503"/>
      <c r="P142" s="503"/>
      <c r="Q142" s="503"/>
      <c r="R142" s="503">
        <v>4</v>
      </c>
      <c r="S142" s="503"/>
      <c r="T142" s="503"/>
      <c r="U142" s="503"/>
      <c r="V142" s="503">
        <v>5</v>
      </c>
      <c r="W142" s="503"/>
      <c r="X142" s="503"/>
      <c r="Y142" s="503"/>
      <c r="Z142" s="503">
        <v>6</v>
      </c>
      <c r="AA142" s="503"/>
      <c r="AB142" s="503"/>
      <c r="AC142" s="531"/>
      <c r="AD142" s="503">
        <v>7</v>
      </c>
      <c r="AE142" s="503"/>
      <c r="AF142" s="503"/>
      <c r="AG142" s="503"/>
      <c r="AH142" s="503"/>
      <c r="AI142" s="503"/>
      <c r="AJ142" s="533">
        <v>8</v>
      </c>
      <c r="AK142" s="533"/>
      <c r="AL142" s="533"/>
      <c r="AM142" s="533"/>
      <c r="AN142" s="533"/>
      <c r="AO142" s="533"/>
      <c r="AP142" s="534"/>
      <c r="AQ142" s="503">
        <v>9</v>
      </c>
      <c r="AR142" s="503"/>
      <c r="AS142" s="503"/>
      <c r="AT142" s="503"/>
      <c r="AU142" s="503">
        <v>10</v>
      </c>
      <c r="AV142" s="503"/>
      <c r="AW142" s="503"/>
      <c r="AX142" s="503"/>
      <c r="AY142" s="503">
        <v>11</v>
      </c>
      <c r="AZ142" s="503"/>
      <c r="BA142" s="503"/>
      <c r="BB142" s="504"/>
    </row>
    <row r="143" spans="1:54" ht="24.75" customHeight="1" x14ac:dyDescent="0.2">
      <c r="A143" s="505" t="s">
        <v>70</v>
      </c>
      <c r="B143" s="506"/>
      <c r="C143" s="506"/>
      <c r="D143" s="506"/>
      <c r="E143" s="506"/>
      <c r="F143" s="506"/>
      <c r="G143" s="506"/>
      <c r="H143" s="507">
        <f>AO88/V143</f>
        <v>70.412159999999986</v>
      </c>
      <c r="I143" s="507"/>
      <c r="J143" s="507"/>
      <c r="K143" s="507"/>
      <c r="L143" s="507"/>
      <c r="M143" s="507">
        <f>H143</f>
        <v>70.412159999999986</v>
      </c>
      <c r="N143" s="507"/>
      <c r="O143" s="507"/>
      <c r="P143" s="507"/>
      <c r="Q143" s="507"/>
      <c r="R143" s="508">
        <f>U12</f>
        <v>36</v>
      </c>
      <c r="S143" s="509"/>
      <c r="T143" s="509"/>
      <c r="U143" s="510"/>
      <c r="V143" s="517">
        <f>Y16</f>
        <v>12</v>
      </c>
      <c r="W143" s="517"/>
      <c r="X143" s="517"/>
      <c r="Y143" s="517"/>
      <c r="Z143" s="517">
        <f>U16</f>
        <v>1</v>
      </c>
      <c r="AA143" s="517"/>
      <c r="AB143" s="517"/>
      <c r="AC143" s="517"/>
      <c r="AD143" s="520" t="s">
        <v>71</v>
      </c>
      <c r="AE143" s="521"/>
      <c r="AF143" s="521"/>
      <c r="AG143" s="521"/>
      <c r="AH143" s="521"/>
      <c r="AI143" s="522"/>
      <c r="AJ143" s="523"/>
      <c r="AK143" s="524"/>
      <c r="AL143" s="524"/>
      <c r="AM143" s="524"/>
      <c r="AN143" s="524"/>
      <c r="AO143" s="524"/>
      <c r="AP143" s="525"/>
      <c r="AQ143" s="507">
        <f>H143*4</f>
        <v>281.64863999999994</v>
      </c>
      <c r="AR143" s="507"/>
      <c r="AS143" s="507"/>
      <c r="AT143" s="507"/>
      <c r="AU143" s="507">
        <f>M143*1</f>
        <v>70.412159999999986</v>
      </c>
      <c r="AV143" s="507"/>
      <c r="AW143" s="507"/>
      <c r="AX143" s="507"/>
      <c r="AY143" s="507">
        <f>H143*R143</f>
        <v>2534.8377599999994</v>
      </c>
      <c r="AZ143" s="507"/>
      <c r="BA143" s="507"/>
      <c r="BB143" s="526"/>
    </row>
    <row r="144" spans="1:54" ht="21.75" customHeight="1" x14ac:dyDescent="0.2">
      <c r="A144" s="527" t="s">
        <v>72</v>
      </c>
      <c r="B144" s="528"/>
      <c r="C144" s="528"/>
      <c r="D144" s="528"/>
      <c r="E144" s="528"/>
      <c r="F144" s="528"/>
      <c r="G144" s="528"/>
      <c r="H144" s="529">
        <f>AV98</f>
        <v>27.981753675099391</v>
      </c>
      <c r="I144" s="529"/>
      <c r="J144" s="529"/>
      <c r="K144" s="529"/>
      <c r="L144" s="529"/>
      <c r="M144" s="477">
        <f t="shared" ref="M144:M146" si="3">H144</f>
        <v>27.981753675099391</v>
      </c>
      <c r="N144" s="477"/>
      <c r="O144" s="477"/>
      <c r="P144" s="477"/>
      <c r="Q144" s="477"/>
      <c r="R144" s="511"/>
      <c r="S144" s="512"/>
      <c r="T144" s="512"/>
      <c r="U144" s="513"/>
      <c r="V144" s="518"/>
      <c r="W144" s="518"/>
      <c r="X144" s="518"/>
      <c r="Y144" s="518"/>
      <c r="Z144" s="518"/>
      <c r="AA144" s="518"/>
      <c r="AB144" s="518"/>
      <c r="AC144" s="518"/>
      <c r="AD144" s="477" t="s">
        <v>71</v>
      </c>
      <c r="AE144" s="477"/>
      <c r="AF144" s="477"/>
      <c r="AG144" s="477"/>
      <c r="AH144" s="477"/>
      <c r="AI144" s="477"/>
      <c r="AJ144" s="478"/>
      <c r="AK144" s="479"/>
      <c r="AL144" s="479"/>
      <c r="AM144" s="479"/>
      <c r="AN144" s="479"/>
      <c r="AO144" s="479"/>
      <c r="AP144" s="480"/>
      <c r="AQ144" s="477">
        <f>H144*4</f>
        <v>111.92701470039756</v>
      </c>
      <c r="AR144" s="477"/>
      <c r="AS144" s="477"/>
      <c r="AT144" s="477"/>
      <c r="AU144" s="529">
        <f>M144*1</f>
        <v>27.981753675099391</v>
      </c>
      <c r="AV144" s="529"/>
      <c r="AW144" s="529"/>
      <c r="AX144" s="529"/>
      <c r="AY144" s="477">
        <f>H144*R143</f>
        <v>1007.343132303578</v>
      </c>
      <c r="AZ144" s="477"/>
      <c r="BA144" s="477"/>
      <c r="BB144" s="481"/>
    </row>
    <row r="145" spans="1:79" ht="15" customHeight="1" x14ac:dyDescent="0.2">
      <c r="A145" s="527" t="s">
        <v>73</v>
      </c>
      <c r="B145" s="528"/>
      <c r="C145" s="528"/>
      <c r="D145" s="528"/>
      <c r="E145" s="528"/>
      <c r="F145" s="528"/>
      <c r="G145" s="528"/>
      <c r="H145" s="529">
        <f>AU124</f>
        <v>80.177500000000009</v>
      </c>
      <c r="I145" s="529"/>
      <c r="J145" s="529"/>
      <c r="K145" s="529"/>
      <c r="L145" s="529"/>
      <c r="M145" s="477">
        <f t="shared" si="3"/>
        <v>80.177500000000009</v>
      </c>
      <c r="N145" s="477"/>
      <c r="O145" s="477"/>
      <c r="P145" s="477"/>
      <c r="Q145" s="477"/>
      <c r="R145" s="511"/>
      <c r="S145" s="512"/>
      <c r="T145" s="512"/>
      <c r="U145" s="513"/>
      <c r="V145" s="518"/>
      <c r="W145" s="518"/>
      <c r="X145" s="518"/>
      <c r="Y145" s="518"/>
      <c r="Z145" s="518"/>
      <c r="AA145" s="518"/>
      <c r="AB145" s="518"/>
      <c r="AC145" s="518"/>
      <c r="AD145" s="477" t="s">
        <v>71</v>
      </c>
      <c r="AE145" s="477"/>
      <c r="AF145" s="477"/>
      <c r="AG145" s="477"/>
      <c r="AH145" s="477"/>
      <c r="AI145" s="477"/>
      <c r="AJ145" s="478"/>
      <c r="AK145" s="479"/>
      <c r="AL145" s="479"/>
      <c r="AM145" s="479"/>
      <c r="AN145" s="479"/>
      <c r="AO145" s="479"/>
      <c r="AP145" s="480"/>
      <c r="AQ145" s="477">
        <f>H145*4</f>
        <v>320.71000000000004</v>
      </c>
      <c r="AR145" s="477"/>
      <c r="AS145" s="477"/>
      <c r="AT145" s="477"/>
      <c r="AU145" s="529">
        <f>M145*1</f>
        <v>80.177500000000009</v>
      </c>
      <c r="AV145" s="529"/>
      <c r="AW145" s="529"/>
      <c r="AX145" s="529"/>
      <c r="AY145" s="477">
        <f>H145*R143</f>
        <v>2886.3900000000003</v>
      </c>
      <c r="AZ145" s="477"/>
      <c r="BA145" s="477"/>
      <c r="BB145" s="481"/>
    </row>
    <row r="146" spans="1:79" ht="18" customHeight="1" thickBot="1" x14ac:dyDescent="0.25">
      <c r="A146" s="494" t="s">
        <v>74</v>
      </c>
      <c r="B146" s="495"/>
      <c r="C146" s="495"/>
      <c r="D146" s="495"/>
      <c r="E146" s="495"/>
      <c r="F146" s="495"/>
      <c r="G146" s="495"/>
      <c r="H146" s="483">
        <f>AU136</f>
        <v>0</v>
      </c>
      <c r="I146" s="483"/>
      <c r="J146" s="483"/>
      <c r="K146" s="483"/>
      <c r="L146" s="483"/>
      <c r="M146" s="482">
        <f t="shared" si="3"/>
        <v>0</v>
      </c>
      <c r="N146" s="482"/>
      <c r="O146" s="482"/>
      <c r="P146" s="482"/>
      <c r="Q146" s="482"/>
      <c r="R146" s="514"/>
      <c r="S146" s="515"/>
      <c r="T146" s="515"/>
      <c r="U146" s="516"/>
      <c r="V146" s="519"/>
      <c r="W146" s="519"/>
      <c r="X146" s="519"/>
      <c r="Y146" s="519"/>
      <c r="Z146" s="519"/>
      <c r="AA146" s="519"/>
      <c r="AB146" s="519"/>
      <c r="AC146" s="519"/>
      <c r="AD146" s="482" t="s">
        <v>71</v>
      </c>
      <c r="AE146" s="482"/>
      <c r="AF146" s="482"/>
      <c r="AG146" s="482"/>
      <c r="AH146" s="482"/>
      <c r="AI146" s="482"/>
      <c r="AJ146" s="496" t="s">
        <v>17</v>
      </c>
      <c r="AK146" s="497"/>
      <c r="AL146" s="497"/>
      <c r="AM146" s="497"/>
      <c r="AN146" s="497"/>
      <c r="AO146" s="497"/>
      <c r="AP146" s="498"/>
      <c r="AQ146" s="477">
        <f>H146*4</f>
        <v>0</v>
      </c>
      <c r="AR146" s="477"/>
      <c r="AS146" s="477"/>
      <c r="AT146" s="477"/>
      <c r="AU146" s="483">
        <f>M146*1</f>
        <v>0</v>
      </c>
      <c r="AV146" s="483"/>
      <c r="AW146" s="483"/>
      <c r="AX146" s="483"/>
      <c r="AY146" s="483">
        <f>H146*R143</f>
        <v>0</v>
      </c>
      <c r="AZ146" s="483"/>
      <c r="BA146" s="483"/>
      <c r="BB146" s="484"/>
    </row>
    <row r="147" spans="1:79" ht="25.5" customHeight="1" x14ac:dyDescent="0.2">
      <c r="A147" s="485" t="s">
        <v>80</v>
      </c>
      <c r="B147" s="486"/>
      <c r="C147" s="486"/>
      <c r="D147" s="486"/>
      <c r="E147" s="486"/>
      <c r="F147" s="486"/>
      <c r="G147" s="487"/>
      <c r="H147" s="488">
        <f>SUM(H143:L146)</f>
        <v>178.57141367509939</v>
      </c>
      <c r="I147" s="488"/>
      <c r="J147" s="488"/>
      <c r="K147" s="488"/>
      <c r="L147" s="488"/>
      <c r="M147" s="488">
        <f>SUM(M143:Q146)</f>
        <v>178.57141367509939</v>
      </c>
      <c r="N147" s="488"/>
      <c r="O147" s="488"/>
      <c r="P147" s="488"/>
      <c r="Q147" s="488"/>
      <c r="R147" s="489">
        <f>R143</f>
        <v>36</v>
      </c>
      <c r="S147" s="489"/>
      <c r="T147" s="489"/>
      <c r="U147" s="489"/>
      <c r="V147" s="490">
        <f>V143</f>
        <v>12</v>
      </c>
      <c r="W147" s="490"/>
      <c r="X147" s="490"/>
      <c r="Y147" s="490"/>
      <c r="Z147" s="490">
        <f>Z143</f>
        <v>1</v>
      </c>
      <c r="AA147" s="490"/>
      <c r="AB147" s="490"/>
      <c r="AC147" s="490"/>
      <c r="AD147" s="488" t="s">
        <v>17</v>
      </c>
      <c r="AE147" s="488"/>
      <c r="AF147" s="488"/>
      <c r="AG147" s="488"/>
      <c r="AH147" s="488"/>
      <c r="AI147" s="488"/>
      <c r="AJ147" s="491" t="s">
        <v>17</v>
      </c>
      <c r="AK147" s="492"/>
      <c r="AL147" s="492"/>
      <c r="AM147" s="492"/>
      <c r="AN147" s="492"/>
      <c r="AO147" s="492"/>
      <c r="AP147" s="493"/>
      <c r="AQ147" s="453">
        <f>SUM(AQ143:AT146)</f>
        <v>714.28565470039757</v>
      </c>
      <c r="AR147" s="453"/>
      <c r="AS147" s="453"/>
      <c r="AT147" s="453"/>
      <c r="AU147" s="453">
        <f>SUM(AU143:AX146)</f>
        <v>178.57141367509939</v>
      </c>
      <c r="AV147" s="453"/>
      <c r="AW147" s="453"/>
      <c r="AX147" s="453"/>
      <c r="AY147" s="453">
        <f>SUM(AY143:BB146)</f>
        <v>6428.5708923035781</v>
      </c>
      <c r="AZ147" s="453"/>
      <c r="BA147" s="453"/>
      <c r="BB147" s="454"/>
    </row>
    <row r="148" spans="1:79" ht="30.75" customHeight="1" x14ac:dyDescent="0.2">
      <c r="A148" s="455" t="s">
        <v>75</v>
      </c>
      <c r="B148" s="456"/>
      <c r="C148" s="456"/>
      <c r="D148" s="456"/>
      <c r="E148" s="456"/>
      <c r="F148" s="456"/>
      <c r="G148" s="215">
        <v>0.4</v>
      </c>
      <c r="H148" s="457">
        <f>H147*G148</f>
        <v>71.428565470039757</v>
      </c>
      <c r="I148" s="457"/>
      <c r="J148" s="457"/>
      <c r="K148" s="457"/>
      <c r="L148" s="457"/>
      <c r="M148" s="457">
        <f>M147*G148</f>
        <v>71.428565470039757</v>
      </c>
      <c r="N148" s="457"/>
      <c r="O148" s="457"/>
      <c r="P148" s="457"/>
      <c r="Q148" s="457"/>
      <c r="R148" s="818">
        <f>R143</f>
        <v>36</v>
      </c>
      <c r="S148" s="819"/>
      <c r="T148" s="819"/>
      <c r="U148" s="820"/>
      <c r="V148" s="821">
        <f>V143</f>
        <v>12</v>
      </c>
      <c r="W148" s="819"/>
      <c r="X148" s="819"/>
      <c r="Y148" s="820"/>
      <c r="Z148" s="821">
        <f>Z143</f>
        <v>1</v>
      </c>
      <c r="AA148" s="819"/>
      <c r="AB148" s="819"/>
      <c r="AC148" s="820"/>
      <c r="AD148" s="462" t="s">
        <v>17</v>
      </c>
      <c r="AE148" s="462"/>
      <c r="AF148" s="462"/>
      <c r="AG148" s="462"/>
      <c r="AH148" s="462"/>
      <c r="AI148" s="462"/>
      <c r="AJ148" s="462" t="s">
        <v>17</v>
      </c>
      <c r="AK148" s="462"/>
      <c r="AL148" s="462"/>
      <c r="AM148" s="462"/>
      <c r="AN148" s="462"/>
      <c r="AO148" s="462"/>
      <c r="AP148" s="462"/>
      <c r="AQ148" s="466">
        <f>AQ147*G148</f>
        <v>285.71426188015903</v>
      </c>
      <c r="AR148" s="466"/>
      <c r="AS148" s="466"/>
      <c r="AT148" s="466"/>
      <c r="AU148" s="466">
        <f>AU147*G148</f>
        <v>71.428565470039757</v>
      </c>
      <c r="AV148" s="466"/>
      <c r="AW148" s="466"/>
      <c r="AX148" s="466"/>
      <c r="AY148" s="466">
        <f>AY147*G148</f>
        <v>2571.4283569214313</v>
      </c>
      <c r="AZ148" s="466"/>
      <c r="BA148" s="466"/>
      <c r="BB148" s="467"/>
    </row>
    <row r="149" spans="1:79" ht="30.75" customHeight="1" thickBot="1" x14ac:dyDescent="0.25">
      <c r="A149" s="468" t="s">
        <v>81</v>
      </c>
      <c r="B149" s="469"/>
      <c r="C149" s="469"/>
      <c r="D149" s="469"/>
      <c r="E149" s="469"/>
      <c r="F149" s="469"/>
      <c r="G149" s="470"/>
      <c r="H149" s="464">
        <f>H147+H148</f>
        <v>249.99997914513915</v>
      </c>
      <c r="I149" s="464"/>
      <c r="J149" s="464"/>
      <c r="K149" s="464"/>
      <c r="L149" s="464"/>
      <c r="M149" s="471">
        <f>M147+M148</f>
        <v>249.99997914513915</v>
      </c>
      <c r="N149" s="472"/>
      <c r="O149" s="472"/>
      <c r="P149" s="472"/>
      <c r="Q149" s="473"/>
      <c r="R149" s="825">
        <f>R143</f>
        <v>36</v>
      </c>
      <c r="S149" s="826"/>
      <c r="T149" s="826"/>
      <c r="U149" s="827"/>
      <c r="V149" s="828">
        <f>V143</f>
        <v>12</v>
      </c>
      <c r="W149" s="829"/>
      <c r="X149" s="829"/>
      <c r="Y149" s="830"/>
      <c r="Z149" s="828">
        <f>Z143</f>
        <v>1</v>
      </c>
      <c r="AA149" s="829"/>
      <c r="AB149" s="829"/>
      <c r="AC149" s="830"/>
      <c r="AD149" s="463" t="s">
        <v>17</v>
      </c>
      <c r="AE149" s="463"/>
      <c r="AF149" s="463"/>
      <c r="AG149" s="463"/>
      <c r="AH149" s="463"/>
      <c r="AI149" s="463"/>
      <c r="AJ149" s="463" t="s">
        <v>17</v>
      </c>
      <c r="AK149" s="463"/>
      <c r="AL149" s="463"/>
      <c r="AM149" s="463"/>
      <c r="AN149" s="463"/>
      <c r="AO149" s="463"/>
      <c r="AP149" s="463"/>
      <c r="AQ149" s="464">
        <f>AQ147+AQ148</f>
        <v>999.9999165805566</v>
      </c>
      <c r="AR149" s="464"/>
      <c r="AS149" s="464"/>
      <c r="AT149" s="464"/>
      <c r="AU149" s="464">
        <f>AU147+AU148</f>
        <v>249.99997914513915</v>
      </c>
      <c r="AV149" s="464"/>
      <c r="AW149" s="464"/>
      <c r="AX149" s="464"/>
      <c r="AY149" s="464">
        <f>AY147+AY148</f>
        <v>8999.9992492250094</v>
      </c>
      <c r="AZ149" s="464"/>
      <c r="BA149" s="464"/>
      <c r="BB149" s="465"/>
      <c r="BE149" s="216"/>
      <c r="BF149" s="216"/>
    </row>
    <row r="150" spans="1:79" ht="16.5" customHeight="1" x14ac:dyDescent="0.2">
      <c r="BC150" s="432"/>
      <c r="BD150" s="432"/>
      <c r="BE150" s="216"/>
      <c r="BF150" s="216"/>
      <c r="BG150" s="216"/>
      <c r="BH150" s="216"/>
      <c r="BI150" s="216"/>
    </row>
    <row r="151" spans="1:79" ht="12" customHeight="1" x14ac:dyDescent="0.2">
      <c r="BC151" s="432"/>
      <c r="BD151" s="432"/>
      <c r="BE151" s="216"/>
      <c r="BF151" s="216"/>
    </row>
    <row r="152" spans="1:79" ht="14.25" customHeight="1" x14ac:dyDescent="0.25">
      <c r="B152" s="452" t="s">
        <v>421</v>
      </c>
      <c r="C152" s="452"/>
      <c r="D152" s="452"/>
      <c r="E152" s="452"/>
      <c r="F152" s="452"/>
      <c r="G152" s="452"/>
      <c r="H152" s="452"/>
      <c r="I152" s="452"/>
      <c r="J152" s="452"/>
      <c r="K152" s="452"/>
      <c r="L152" s="452"/>
      <c r="M152" s="452"/>
      <c r="N152" s="452"/>
      <c r="O152" s="452"/>
      <c r="P152" s="452"/>
      <c r="Q152" s="452"/>
      <c r="R152" s="452"/>
      <c r="S152" s="452"/>
      <c r="U152" s="164"/>
      <c r="V152" s="164"/>
      <c r="W152" s="164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M152" s="822" t="s">
        <v>515</v>
      </c>
      <c r="AN152" s="443"/>
      <c r="AO152" s="443"/>
      <c r="AP152" s="443"/>
      <c r="AQ152" s="443"/>
      <c r="AR152" s="443"/>
      <c r="AS152" s="443"/>
      <c r="AT152" s="443"/>
      <c r="AU152" s="443"/>
      <c r="AV152" s="443"/>
      <c r="AW152" s="443"/>
      <c r="AX152" s="443"/>
      <c r="AY152" s="443"/>
      <c r="AZ152" s="443"/>
      <c r="BA152" s="443"/>
      <c r="BB152" s="443"/>
      <c r="BC152" s="432"/>
      <c r="BD152" s="432"/>
      <c r="BE152" s="216"/>
      <c r="BF152" s="216"/>
    </row>
    <row r="153" spans="1:79" ht="8.25" customHeight="1" x14ac:dyDescent="0.2">
      <c r="B153" s="452" t="s">
        <v>78</v>
      </c>
      <c r="C153" s="452"/>
      <c r="D153" s="452"/>
      <c r="E153" s="452"/>
      <c r="F153" s="452"/>
      <c r="G153" s="452"/>
      <c r="H153" s="452"/>
      <c r="I153" s="452"/>
      <c r="J153" s="452"/>
      <c r="K153" s="452"/>
      <c r="L153" s="452"/>
      <c r="M153" s="452"/>
      <c r="N153" s="452"/>
      <c r="O153" s="452"/>
      <c r="P153" s="452"/>
      <c r="Q153" s="452"/>
      <c r="R153" s="452"/>
      <c r="S153" s="452"/>
      <c r="AM153" s="822" t="s">
        <v>418</v>
      </c>
      <c r="AN153" s="822"/>
      <c r="AO153" s="822"/>
      <c r="AP153" s="822"/>
      <c r="AQ153" s="822"/>
      <c r="AR153" s="822"/>
      <c r="AS153" s="822"/>
      <c r="AT153" s="822"/>
      <c r="AU153" s="822"/>
      <c r="AV153" s="822"/>
      <c r="AW153" s="822"/>
      <c r="AX153" s="822"/>
      <c r="AY153" s="822"/>
      <c r="AZ153" s="822"/>
      <c r="BA153" s="822"/>
      <c r="BB153" s="822"/>
      <c r="BC153" s="822"/>
    </row>
    <row r="154" spans="1:79" ht="19.5" customHeight="1" x14ac:dyDescent="0.2">
      <c r="B154" s="452"/>
      <c r="C154" s="452"/>
      <c r="D154" s="452"/>
      <c r="E154" s="452"/>
      <c r="F154" s="452"/>
      <c r="G154" s="452"/>
      <c r="H154" s="452"/>
      <c r="I154" s="452"/>
      <c r="J154" s="452"/>
      <c r="K154" s="452"/>
      <c r="L154" s="452"/>
      <c r="M154" s="452"/>
      <c r="N154" s="452"/>
      <c r="O154" s="452"/>
      <c r="P154" s="452"/>
      <c r="Q154" s="452"/>
      <c r="R154" s="452"/>
      <c r="S154" s="452"/>
      <c r="U154" s="164"/>
      <c r="V154" s="164"/>
      <c r="W154" s="164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M154" s="822"/>
      <c r="AN154" s="822"/>
      <c r="AO154" s="822"/>
      <c r="AP154" s="822"/>
      <c r="AQ154" s="822"/>
      <c r="AR154" s="822"/>
      <c r="AS154" s="822"/>
      <c r="AT154" s="822"/>
      <c r="AU154" s="822"/>
      <c r="AV154" s="822"/>
      <c r="AW154" s="822"/>
      <c r="AX154" s="822"/>
      <c r="AY154" s="822"/>
      <c r="AZ154" s="822"/>
      <c r="BA154" s="822"/>
      <c r="BB154" s="822"/>
      <c r="BC154" s="822"/>
      <c r="BE154" s="432"/>
      <c r="BF154" s="432"/>
      <c r="BG154" s="432"/>
      <c r="BH154" s="432"/>
      <c r="BI154" s="432"/>
      <c r="BJ154" s="432"/>
      <c r="BK154" s="432"/>
      <c r="BL154" s="432"/>
      <c r="BM154" s="432"/>
      <c r="BN154" s="432"/>
      <c r="BO154" s="432"/>
      <c r="BP154" s="432"/>
      <c r="BQ154" s="432"/>
      <c r="BR154" s="432"/>
      <c r="BS154" s="432"/>
      <c r="BT154" s="432"/>
      <c r="BU154" s="432"/>
      <c r="BV154" s="432"/>
      <c r="BW154" s="432"/>
      <c r="BX154" s="432"/>
      <c r="BY154" s="432"/>
      <c r="BZ154" s="432"/>
      <c r="CA154" s="432"/>
    </row>
    <row r="155" spans="1:79" ht="15.75" customHeight="1" x14ac:dyDescent="0.2">
      <c r="BE155" s="432"/>
      <c r="BF155" s="432"/>
      <c r="BG155" s="432"/>
      <c r="BH155" s="433"/>
      <c r="BI155" s="433"/>
      <c r="BJ155" s="433"/>
      <c r="BK155" s="433"/>
      <c r="BL155" s="433"/>
      <c r="BM155" s="311"/>
      <c r="BN155" s="311"/>
      <c r="BO155" s="311"/>
      <c r="BP155" s="311"/>
      <c r="BQ155" s="311"/>
      <c r="BR155" s="311"/>
      <c r="BS155" s="311"/>
      <c r="BT155" s="311"/>
    </row>
    <row r="156" spans="1:79" ht="13.5" customHeight="1" x14ac:dyDescent="0.2">
      <c r="A156" s="219" t="s">
        <v>125</v>
      </c>
      <c r="B156" s="219"/>
      <c r="C156" s="219"/>
      <c r="D156" s="219"/>
      <c r="BE156" s="434"/>
      <c r="BF156" s="432"/>
      <c r="BG156" s="432"/>
      <c r="BH156" s="216"/>
      <c r="BI156" s="432"/>
      <c r="BJ156" s="432"/>
      <c r="BK156" s="432"/>
      <c r="BL156" s="432"/>
      <c r="BM156" s="432"/>
      <c r="BN156" s="432"/>
      <c r="BO156" s="432"/>
      <c r="BP156" s="432"/>
      <c r="BQ156" s="432"/>
      <c r="BR156" s="432"/>
      <c r="BS156" s="432"/>
      <c r="BT156" s="432"/>
    </row>
    <row r="157" spans="1:79" ht="20.25" customHeight="1" x14ac:dyDescent="0.2">
      <c r="A157" s="221"/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BE157" s="432"/>
      <c r="BF157" s="432"/>
      <c r="BG157" s="432"/>
      <c r="BH157" s="216"/>
      <c r="BI157" s="435"/>
      <c r="BJ157" s="435"/>
      <c r="BK157" s="435"/>
      <c r="BL157" s="435"/>
      <c r="BM157" s="435"/>
      <c r="BN157" s="435"/>
      <c r="BO157" s="432"/>
      <c r="BP157" s="432"/>
      <c r="BQ157" s="432"/>
      <c r="BR157" s="432"/>
      <c r="BS157" s="432"/>
      <c r="BT157" s="432"/>
    </row>
    <row r="159" spans="1:79" ht="12" x14ac:dyDescent="0.2">
      <c r="BE159" s="432" t="s">
        <v>548</v>
      </c>
      <c r="BF159" s="432"/>
      <c r="BG159" s="432"/>
      <c r="BH159" s="432"/>
      <c r="BI159" s="432"/>
      <c r="BJ159" s="432"/>
      <c r="BK159" s="432"/>
      <c r="BL159" s="432"/>
      <c r="BM159" s="432"/>
      <c r="BN159" s="432"/>
      <c r="BO159" s="432"/>
      <c r="BP159" s="432"/>
      <c r="BQ159" s="432"/>
      <c r="BR159" s="432"/>
      <c r="BS159" s="432"/>
      <c r="BT159" s="432"/>
      <c r="BU159" s="432"/>
      <c r="BV159" s="432"/>
      <c r="BW159" s="432"/>
      <c r="BX159" s="432"/>
      <c r="BY159" s="432"/>
      <c r="BZ159" s="432"/>
      <c r="CA159" s="432"/>
    </row>
    <row r="160" spans="1:79" ht="12" x14ac:dyDescent="0.2">
      <c r="BE160" s="432" t="s">
        <v>126</v>
      </c>
      <c r="BF160" s="432"/>
      <c r="BG160" s="432"/>
      <c r="BH160" s="433">
        <f>250*19</f>
        <v>4750</v>
      </c>
      <c r="BI160" s="433"/>
      <c r="BJ160" s="433"/>
      <c r="BK160" s="433"/>
      <c r="BL160" s="433"/>
      <c r="BM160" s="311" t="s">
        <v>127</v>
      </c>
      <c r="BN160" s="311"/>
      <c r="BO160" s="311"/>
      <c r="BP160" s="311"/>
      <c r="BQ160" s="311"/>
      <c r="BR160" s="311"/>
      <c r="BS160" s="311"/>
      <c r="BT160" s="311"/>
    </row>
    <row r="161" spans="57:98" ht="15" x14ac:dyDescent="0.25">
      <c r="BE161" s="434">
        <v>0.6</v>
      </c>
      <c r="BF161" s="432"/>
      <c r="BG161" s="432"/>
      <c r="BH161" s="216">
        <f>BH160*BE161</f>
        <v>2850</v>
      </c>
      <c r="BI161" s="432" t="s">
        <v>128</v>
      </c>
      <c r="BJ161" s="432"/>
      <c r="BK161" s="432"/>
      <c r="BL161" s="432"/>
      <c r="BM161" s="432"/>
      <c r="BN161" s="432" t="s">
        <v>129</v>
      </c>
      <c r="BO161" s="432"/>
      <c r="BP161" s="432"/>
      <c r="BQ161" s="432"/>
      <c r="BR161" s="432"/>
      <c r="BS161" s="432"/>
      <c r="BT161" s="432"/>
      <c r="CE161" s="432" t="s">
        <v>368</v>
      </c>
      <c r="CF161" s="443"/>
      <c r="CG161" s="443"/>
      <c r="CH161" s="443"/>
      <c r="CI161" s="443"/>
      <c r="CJ161" s="443"/>
      <c r="CM161" s="432" t="s">
        <v>366</v>
      </c>
      <c r="CN161" s="443"/>
      <c r="CO161" s="443"/>
      <c r="CP161" s="443"/>
      <c r="CQ161" s="443"/>
      <c r="CR161" s="443"/>
      <c r="CS161" s="443"/>
      <c r="CT161" s="443"/>
    </row>
    <row r="162" spans="57:98" ht="15" x14ac:dyDescent="0.25">
      <c r="BE162" s="432">
        <v>211</v>
      </c>
      <c r="BF162" s="432"/>
      <c r="BG162" s="432"/>
      <c r="BH162" s="216">
        <f>BH161-BH163</f>
        <v>2188.9400921658985</v>
      </c>
      <c r="BI162" s="435">
        <f>BH162*0.2</f>
        <v>437.78801843317973</v>
      </c>
      <c r="BJ162" s="435"/>
      <c r="BK162" s="435"/>
      <c r="BL162" s="435"/>
      <c r="BM162" s="435"/>
      <c r="BN162" s="436">
        <f>BH162-BI162</f>
        <v>1751.1520737327187</v>
      </c>
      <c r="BO162" s="445"/>
      <c r="BP162" s="445"/>
      <c r="BQ162" s="445"/>
      <c r="BR162" s="445"/>
      <c r="BS162" s="445"/>
      <c r="BT162" s="445"/>
      <c r="CE162" s="437">
        <f>BI162*15/20</f>
        <v>328.34101382488478</v>
      </c>
      <c r="CF162" s="446"/>
      <c r="CG162" s="446"/>
      <c r="CH162" s="446"/>
      <c r="CI162" s="446"/>
      <c r="CJ162" s="446"/>
      <c r="CM162" s="437">
        <f>BI162*5/20</f>
        <v>109.44700460829492</v>
      </c>
      <c r="CN162" s="446"/>
      <c r="CO162" s="446"/>
      <c r="CP162" s="446"/>
      <c r="CQ162" s="446"/>
      <c r="CR162" s="446"/>
      <c r="CS162" s="446"/>
      <c r="CT162" s="446"/>
    </row>
    <row r="163" spans="57:98" ht="12" x14ac:dyDescent="0.2">
      <c r="BE163" s="432">
        <v>213</v>
      </c>
      <c r="BF163" s="432"/>
      <c r="BG163" s="432"/>
      <c r="BH163" s="216">
        <f>BH161*30.2/130.2</f>
        <v>661.05990783410141</v>
      </c>
      <c r="BI163" s="435">
        <f>BI162*30.2%</f>
        <v>132.21198156682027</v>
      </c>
      <c r="BJ163" s="435"/>
      <c r="BK163" s="435"/>
      <c r="BL163" s="435"/>
      <c r="BM163" s="435"/>
      <c r="BN163" s="435">
        <f>BN162*30.2%</f>
        <v>528.84792626728108</v>
      </c>
      <c r="BO163" s="435"/>
      <c r="BP163" s="435"/>
      <c r="BQ163" s="435"/>
      <c r="BR163" s="435"/>
      <c r="BS163" s="435"/>
      <c r="BT163" s="435"/>
    </row>
    <row r="166" spans="57:98" ht="12" x14ac:dyDescent="0.2">
      <c r="BE166" s="432" t="s">
        <v>586</v>
      </c>
      <c r="BF166" s="432"/>
      <c r="BG166" s="432"/>
      <c r="BH166" s="432"/>
      <c r="BI166" s="432"/>
      <c r="BJ166" s="432"/>
      <c r="BK166" s="432"/>
      <c r="BL166" s="432"/>
      <c r="BM166" s="432"/>
      <c r="BN166" s="432"/>
      <c r="BO166" s="432"/>
      <c r="BP166" s="432"/>
      <c r="BQ166" s="432"/>
      <c r="BR166" s="432"/>
      <c r="BS166" s="432"/>
      <c r="BT166" s="432"/>
      <c r="BU166" s="432"/>
      <c r="BV166" s="432"/>
      <c r="BW166" s="432"/>
      <c r="BX166" s="432"/>
      <c r="BY166" s="432"/>
      <c r="BZ166" s="432"/>
      <c r="CA166" s="432"/>
    </row>
    <row r="167" spans="57:98" ht="12" x14ac:dyDescent="0.2">
      <c r="BE167" s="432" t="s">
        <v>126</v>
      </c>
      <c r="BF167" s="432"/>
      <c r="BG167" s="432"/>
      <c r="BH167" s="433">
        <f>250*20</f>
        <v>5000</v>
      </c>
      <c r="BI167" s="433"/>
      <c r="BJ167" s="433"/>
      <c r="BK167" s="433"/>
      <c r="BL167" s="433"/>
      <c r="BM167" s="340" t="s">
        <v>127</v>
      </c>
      <c r="BN167" s="340"/>
      <c r="BO167" s="340"/>
      <c r="BP167" s="340"/>
      <c r="BQ167" s="340"/>
      <c r="BR167" s="340"/>
      <c r="BS167" s="340"/>
      <c r="BT167" s="340"/>
    </row>
    <row r="168" spans="57:98" ht="15" x14ac:dyDescent="0.25">
      <c r="BE168" s="434">
        <v>0.6</v>
      </c>
      <c r="BF168" s="432"/>
      <c r="BG168" s="432"/>
      <c r="BH168" s="216">
        <f>BH167*BE168</f>
        <v>3000</v>
      </c>
      <c r="BI168" s="432" t="s">
        <v>128</v>
      </c>
      <c r="BJ168" s="432"/>
      <c r="BK168" s="432"/>
      <c r="BL168" s="432"/>
      <c r="BM168" s="432"/>
      <c r="BN168" s="432" t="s">
        <v>129</v>
      </c>
      <c r="BO168" s="432"/>
      <c r="BP168" s="432"/>
      <c r="BQ168" s="432"/>
      <c r="BR168" s="432"/>
      <c r="BS168" s="432"/>
      <c r="BT168" s="432"/>
      <c r="CE168" s="432" t="s">
        <v>368</v>
      </c>
      <c r="CF168" s="443"/>
      <c r="CG168" s="443"/>
      <c r="CH168" s="443"/>
      <c r="CI168" s="443"/>
      <c r="CJ168" s="443"/>
      <c r="CM168" s="432" t="s">
        <v>366</v>
      </c>
      <c r="CN168" s="443"/>
      <c r="CO168" s="443"/>
      <c r="CP168" s="443"/>
      <c r="CQ168" s="443"/>
      <c r="CR168" s="443"/>
      <c r="CS168" s="443"/>
      <c r="CT168" s="443"/>
    </row>
    <row r="169" spans="57:98" ht="15" x14ac:dyDescent="0.25">
      <c r="BE169" s="432">
        <v>211</v>
      </c>
      <c r="BF169" s="432"/>
      <c r="BG169" s="432"/>
      <c r="BH169" s="216">
        <f>BH168-BH170</f>
        <v>2304.147465437788</v>
      </c>
      <c r="BI169" s="435">
        <f>BH169*0.2</f>
        <v>460.82949308755764</v>
      </c>
      <c r="BJ169" s="435"/>
      <c r="BK169" s="435"/>
      <c r="BL169" s="435"/>
      <c r="BM169" s="435"/>
      <c r="BN169" s="436">
        <f>BH169-BI169</f>
        <v>1843.3179723502303</v>
      </c>
      <c r="BO169" s="445"/>
      <c r="BP169" s="445"/>
      <c r="BQ169" s="445"/>
      <c r="BR169" s="445"/>
      <c r="BS169" s="445"/>
      <c r="BT169" s="445"/>
      <c r="CE169" s="437">
        <f>BI169*15/20</f>
        <v>345.62211981566827</v>
      </c>
      <c r="CF169" s="446"/>
      <c r="CG169" s="446"/>
      <c r="CH169" s="446"/>
      <c r="CI169" s="446"/>
      <c r="CJ169" s="446"/>
      <c r="CM169" s="437">
        <f>BI169*5/20</f>
        <v>115.2073732718894</v>
      </c>
      <c r="CN169" s="446"/>
      <c r="CO169" s="446"/>
      <c r="CP169" s="446"/>
      <c r="CQ169" s="446"/>
      <c r="CR169" s="446"/>
      <c r="CS169" s="446"/>
      <c r="CT169" s="446"/>
    </row>
    <row r="170" spans="57:98" ht="12" x14ac:dyDescent="0.2">
      <c r="BE170" s="432">
        <v>213</v>
      </c>
      <c r="BF170" s="432"/>
      <c r="BG170" s="432"/>
      <c r="BH170" s="216">
        <f>BH168*30.2/130.2</f>
        <v>695.85253456221199</v>
      </c>
      <c r="BI170" s="435">
        <f>BI169*30.2%</f>
        <v>139.17050691244239</v>
      </c>
      <c r="BJ170" s="435"/>
      <c r="BK170" s="435"/>
      <c r="BL170" s="435"/>
      <c r="BM170" s="435"/>
      <c r="BN170" s="435">
        <f>BN169*30.2%</f>
        <v>556.68202764976957</v>
      </c>
      <c r="BO170" s="435"/>
      <c r="BP170" s="435"/>
      <c r="BQ170" s="435"/>
      <c r="BR170" s="435"/>
      <c r="BS170" s="435"/>
      <c r="BT170" s="435"/>
    </row>
    <row r="173" spans="57:98" ht="12" x14ac:dyDescent="0.2">
      <c r="BE173" s="432" t="s">
        <v>601</v>
      </c>
      <c r="BF173" s="432"/>
      <c r="BG173" s="432"/>
      <c r="BH173" s="432"/>
      <c r="BI173" s="432"/>
      <c r="BJ173" s="432"/>
      <c r="BK173" s="432"/>
      <c r="BL173" s="432"/>
      <c r="BM173" s="432"/>
      <c r="BN173" s="432"/>
      <c r="BO173" s="432"/>
      <c r="BP173" s="432"/>
      <c r="BQ173" s="432"/>
      <c r="BR173" s="432"/>
      <c r="BS173" s="432"/>
      <c r="BT173" s="432"/>
      <c r="BU173" s="432"/>
      <c r="BV173" s="432"/>
      <c r="BW173" s="432"/>
      <c r="BX173" s="432"/>
      <c r="BY173" s="432"/>
      <c r="BZ173" s="432"/>
      <c r="CA173" s="432"/>
    </row>
    <row r="174" spans="57:98" ht="12" x14ac:dyDescent="0.2">
      <c r="BE174" s="432" t="s">
        <v>126</v>
      </c>
      <c r="BF174" s="432"/>
      <c r="BG174" s="432"/>
      <c r="BH174" s="433">
        <f>250*3</f>
        <v>750</v>
      </c>
      <c r="BI174" s="433"/>
      <c r="BJ174" s="433"/>
      <c r="BK174" s="433"/>
      <c r="BL174" s="433"/>
      <c r="BM174" s="348" t="s">
        <v>127</v>
      </c>
      <c r="BN174" s="348"/>
      <c r="BO174" s="348"/>
      <c r="BP174" s="348"/>
      <c r="BQ174" s="348"/>
      <c r="BR174" s="348"/>
      <c r="BS174" s="348"/>
      <c r="BT174" s="348"/>
    </row>
    <row r="175" spans="57:98" ht="15" x14ac:dyDescent="0.25">
      <c r="BE175" s="434">
        <v>0.6</v>
      </c>
      <c r="BF175" s="432"/>
      <c r="BG175" s="432"/>
      <c r="BH175" s="216">
        <f>BH174*BE175</f>
        <v>450</v>
      </c>
      <c r="BI175" s="432" t="s">
        <v>128</v>
      </c>
      <c r="BJ175" s="432"/>
      <c r="BK175" s="432"/>
      <c r="BL175" s="432"/>
      <c r="BM175" s="432"/>
      <c r="BN175" s="432" t="s">
        <v>129</v>
      </c>
      <c r="BO175" s="432"/>
      <c r="BP175" s="432"/>
      <c r="BQ175" s="432"/>
      <c r="BR175" s="432"/>
      <c r="BS175" s="432"/>
      <c r="BT175" s="432"/>
      <c r="CE175" s="432" t="s">
        <v>368</v>
      </c>
      <c r="CF175" s="443"/>
      <c r="CG175" s="443"/>
      <c r="CH175" s="443"/>
      <c r="CI175" s="443"/>
      <c r="CJ175" s="443"/>
      <c r="CM175" s="432" t="s">
        <v>366</v>
      </c>
      <c r="CN175" s="443"/>
      <c r="CO175" s="443"/>
      <c r="CP175" s="443"/>
      <c r="CQ175" s="443"/>
      <c r="CR175" s="443"/>
      <c r="CS175" s="443"/>
      <c r="CT175" s="443"/>
    </row>
    <row r="176" spans="57:98" ht="15" x14ac:dyDescent="0.25">
      <c r="BE176" s="432">
        <v>211</v>
      </c>
      <c r="BF176" s="432"/>
      <c r="BG176" s="432"/>
      <c r="BH176" s="216">
        <f>BH175-BH177</f>
        <v>345.62211981566821</v>
      </c>
      <c r="BI176" s="435">
        <f>BH176*0.2</f>
        <v>69.124423963133651</v>
      </c>
      <c r="BJ176" s="435"/>
      <c r="BK176" s="435"/>
      <c r="BL176" s="435"/>
      <c r="BM176" s="435"/>
      <c r="BN176" s="436">
        <f>BH176-BI176</f>
        <v>276.49769585253455</v>
      </c>
      <c r="BO176" s="445"/>
      <c r="BP176" s="445"/>
      <c r="BQ176" s="445"/>
      <c r="BR176" s="445"/>
      <c r="BS176" s="445"/>
      <c r="BT176" s="445"/>
      <c r="CE176" s="437">
        <f>BI176*15/20</f>
        <v>51.843317972350235</v>
      </c>
      <c r="CF176" s="446"/>
      <c r="CG176" s="446"/>
      <c r="CH176" s="446"/>
      <c r="CI176" s="446"/>
      <c r="CJ176" s="446"/>
      <c r="CM176" s="437">
        <f>BI176*5/20</f>
        <v>17.281105990783413</v>
      </c>
      <c r="CN176" s="446"/>
      <c r="CO176" s="446"/>
      <c r="CP176" s="446"/>
      <c r="CQ176" s="446"/>
      <c r="CR176" s="446"/>
      <c r="CS176" s="446"/>
      <c r="CT176" s="446"/>
    </row>
    <row r="177" spans="57:98" ht="12" x14ac:dyDescent="0.2">
      <c r="BE177" s="432">
        <v>213</v>
      </c>
      <c r="BF177" s="432"/>
      <c r="BG177" s="432"/>
      <c r="BH177" s="216">
        <f>BH175*30.2/130.2</f>
        <v>104.3778801843318</v>
      </c>
      <c r="BI177" s="435">
        <f>BI176*30.2%</f>
        <v>20.875576036866363</v>
      </c>
      <c r="BJ177" s="435"/>
      <c r="BK177" s="435"/>
      <c r="BL177" s="435"/>
      <c r="BM177" s="435"/>
      <c r="BN177" s="435">
        <f>BN176*30.2%</f>
        <v>83.502304147465438</v>
      </c>
      <c r="BO177" s="435"/>
      <c r="BP177" s="435"/>
      <c r="BQ177" s="435"/>
      <c r="BR177" s="435"/>
      <c r="BS177" s="435"/>
      <c r="BT177" s="435"/>
    </row>
    <row r="180" spans="57:98" ht="12" x14ac:dyDescent="0.2">
      <c r="BE180" s="432" t="s">
        <v>651</v>
      </c>
      <c r="BF180" s="432"/>
      <c r="BG180" s="432"/>
      <c r="BH180" s="432"/>
      <c r="BI180" s="432"/>
      <c r="BJ180" s="432"/>
      <c r="BK180" s="432"/>
      <c r="BL180" s="432"/>
      <c r="BM180" s="432"/>
      <c r="BN180" s="432"/>
      <c r="BO180" s="432"/>
      <c r="BP180" s="432"/>
      <c r="BQ180" s="432"/>
      <c r="BR180" s="432"/>
      <c r="BS180" s="432"/>
      <c r="BT180" s="432"/>
      <c r="BU180" s="432"/>
      <c r="BV180" s="432"/>
      <c r="BW180" s="432"/>
      <c r="BX180" s="432"/>
      <c r="BY180" s="432"/>
      <c r="BZ180" s="432"/>
      <c r="CA180" s="432"/>
    </row>
    <row r="181" spans="57:98" ht="12" x14ac:dyDescent="0.2">
      <c r="BE181" s="432" t="s">
        <v>126</v>
      </c>
      <c r="BF181" s="432"/>
      <c r="BG181" s="432"/>
      <c r="BH181" s="433">
        <f>250*10</f>
        <v>2500</v>
      </c>
      <c r="BI181" s="433"/>
      <c r="BJ181" s="433"/>
      <c r="BK181" s="433"/>
      <c r="BL181" s="433"/>
      <c r="BM181" s="385" t="s">
        <v>127</v>
      </c>
      <c r="BN181" s="385"/>
      <c r="BO181" s="385"/>
      <c r="BP181" s="385"/>
      <c r="BQ181" s="385"/>
      <c r="BR181" s="385"/>
      <c r="BS181" s="385"/>
      <c r="BT181" s="385"/>
    </row>
    <row r="182" spans="57:98" ht="15" x14ac:dyDescent="0.25">
      <c r="BE182" s="434">
        <v>0.6</v>
      </c>
      <c r="BF182" s="432"/>
      <c r="BG182" s="432"/>
      <c r="BH182" s="216">
        <f>BH181*BE182</f>
        <v>1500</v>
      </c>
      <c r="BI182" s="432" t="s">
        <v>128</v>
      </c>
      <c r="BJ182" s="432"/>
      <c r="BK182" s="432"/>
      <c r="BL182" s="432"/>
      <c r="BM182" s="432"/>
      <c r="BN182" s="432" t="s">
        <v>129</v>
      </c>
      <c r="BO182" s="432"/>
      <c r="BP182" s="432"/>
      <c r="BQ182" s="432"/>
      <c r="BR182" s="432"/>
      <c r="BS182" s="432"/>
      <c r="BT182" s="432"/>
      <c r="CE182" s="432" t="s">
        <v>368</v>
      </c>
      <c r="CF182" s="443"/>
      <c r="CG182" s="443"/>
      <c r="CH182" s="443"/>
      <c r="CI182" s="443"/>
      <c r="CJ182" s="443"/>
      <c r="CM182" s="432" t="s">
        <v>366</v>
      </c>
      <c r="CN182" s="443"/>
      <c r="CO182" s="443"/>
      <c r="CP182" s="443"/>
      <c r="CQ182" s="443"/>
      <c r="CR182" s="443"/>
      <c r="CS182" s="443"/>
      <c r="CT182" s="443"/>
    </row>
    <row r="183" spans="57:98" ht="15" x14ac:dyDescent="0.25">
      <c r="BE183" s="432">
        <v>211</v>
      </c>
      <c r="BF183" s="432"/>
      <c r="BG183" s="432"/>
      <c r="BH183" s="216">
        <f>BH182-BH184</f>
        <v>1152.073732718894</v>
      </c>
      <c r="BI183" s="435">
        <f>BH183*0.2</f>
        <v>230.41474654377882</v>
      </c>
      <c r="BJ183" s="435"/>
      <c r="BK183" s="435"/>
      <c r="BL183" s="435"/>
      <c r="BM183" s="435"/>
      <c r="BN183" s="436">
        <f>BH183-BI183</f>
        <v>921.65898617511516</v>
      </c>
      <c r="BO183" s="445"/>
      <c r="BP183" s="445"/>
      <c r="BQ183" s="445"/>
      <c r="BR183" s="445"/>
      <c r="BS183" s="445"/>
      <c r="BT183" s="445"/>
      <c r="CE183" s="437">
        <f>BI183*15/20</f>
        <v>172.81105990783414</v>
      </c>
      <c r="CF183" s="446"/>
      <c r="CG183" s="446"/>
      <c r="CH183" s="446"/>
      <c r="CI183" s="446"/>
      <c r="CJ183" s="446"/>
      <c r="CM183" s="437">
        <f>BI183*5/20</f>
        <v>57.603686635944698</v>
      </c>
      <c r="CN183" s="446"/>
      <c r="CO183" s="446"/>
      <c r="CP183" s="446"/>
      <c r="CQ183" s="446"/>
      <c r="CR183" s="446"/>
      <c r="CS183" s="446"/>
      <c r="CT183" s="446"/>
    </row>
    <row r="184" spans="57:98" ht="12" x14ac:dyDescent="0.2">
      <c r="BE184" s="432">
        <v>213</v>
      </c>
      <c r="BF184" s="432"/>
      <c r="BG184" s="432"/>
      <c r="BH184" s="216">
        <f>BH182*30.2/130.2</f>
        <v>347.92626728110599</v>
      </c>
      <c r="BI184" s="435">
        <f>BI183*30.2%</f>
        <v>69.585253456221196</v>
      </c>
      <c r="BJ184" s="435"/>
      <c r="BK184" s="435"/>
      <c r="BL184" s="435"/>
      <c r="BM184" s="435"/>
      <c r="BN184" s="435">
        <f>BN183*30.2%</f>
        <v>278.34101382488478</v>
      </c>
      <c r="BO184" s="435"/>
      <c r="BP184" s="435"/>
      <c r="BQ184" s="435"/>
      <c r="BR184" s="435"/>
      <c r="BS184" s="435"/>
      <c r="BT184" s="435"/>
    </row>
  </sheetData>
  <mergeCells count="481">
    <mergeCell ref="A12:S12"/>
    <mergeCell ref="U12:W12"/>
    <mergeCell ref="A14:S14"/>
    <mergeCell ref="U14:W14"/>
    <mergeCell ref="A16:S16"/>
    <mergeCell ref="U16:W16"/>
    <mergeCell ref="AV5:BC5"/>
    <mergeCell ref="A7:BA7"/>
    <mergeCell ref="A8:BA8"/>
    <mergeCell ref="C10:E10"/>
    <mergeCell ref="G10:L10"/>
    <mergeCell ref="N10:Q10"/>
    <mergeCell ref="U10:AG10"/>
    <mergeCell ref="AH10:AI10"/>
    <mergeCell ref="AJ10:AL10"/>
    <mergeCell ref="AN10:AT10"/>
    <mergeCell ref="AV10:AY10"/>
    <mergeCell ref="Y16:AA16"/>
    <mergeCell ref="AX19:BB19"/>
    <mergeCell ref="A20:G22"/>
    <mergeCell ref="H20:AB22"/>
    <mergeCell ref="AC20:AG22"/>
    <mergeCell ref="AH20:AM22"/>
    <mergeCell ref="AN20:AR22"/>
    <mergeCell ref="AS20:AW22"/>
    <mergeCell ref="H34:M34"/>
    <mergeCell ref="AS34:AW34"/>
    <mergeCell ref="AX34:BB34"/>
    <mergeCell ref="AX20:BB22"/>
    <mergeCell ref="AO35:AR35"/>
    <mergeCell ref="AS35:AW35"/>
    <mergeCell ref="AX35:BB35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H51:K51"/>
    <mergeCell ref="AS51:AW51"/>
    <mergeCell ref="AX51:BB51"/>
    <mergeCell ref="AO52:AR52"/>
    <mergeCell ref="AS52:AW52"/>
    <mergeCell ref="AX52:BB52"/>
    <mergeCell ref="AX37:BB39"/>
    <mergeCell ref="A40:BB4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37:G39"/>
    <mergeCell ref="H37:AB39"/>
    <mergeCell ref="AC37:AG39"/>
    <mergeCell ref="AH37:AM39"/>
    <mergeCell ref="AN37:AR39"/>
    <mergeCell ref="AS37:AW39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AX63:BB67"/>
    <mergeCell ref="H64:M64"/>
    <mergeCell ref="N64:P64"/>
    <mergeCell ref="R64:V64"/>
    <mergeCell ref="I66:K66"/>
    <mergeCell ref="R59:V59"/>
    <mergeCell ref="I61:K61"/>
    <mergeCell ref="M61:O61"/>
    <mergeCell ref="Q61:S61"/>
    <mergeCell ref="U61:W61"/>
    <mergeCell ref="Z61:AB61"/>
    <mergeCell ref="M66:O66"/>
    <mergeCell ref="Q66:S66"/>
    <mergeCell ref="U66:W66"/>
    <mergeCell ref="Z66:AB66"/>
    <mergeCell ref="A68:G72"/>
    <mergeCell ref="AC68:AG72"/>
    <mergeCell ref="U71:W71"/>
    <mergeCell ref="Z71:AB71"/>
    <mergeCell ref="A63:G67"/>
    <mergeCell ref="AC63:AG67"/>
    <mergeCell ref="AH73:AM77"/>
    <mergeCell ref="AN73:AR77"/>
    <mergeCell ref="AS73:AW77"/>
    <mergeCell ref="AH63:AM67"/>
    <mergeCell ref="AN63:AR67"/>
    <mergeCell ref="AS63:AW67"/>
    <mergeCell ref="AX73:BB77"/>
    <mergeCell ref="H74:M74"/>
    <mergeCell ref="N74:P74"/>
    <mergeCell ref="R74:V74"/>
    <mergeCell ref="I76:K76"/>
    <mergeCell ref="AH68:AM72"/>
    <mergeCell ref="AN68:AR72"/>
    <mergeCell ref="AS68:AW72"/>
    <mergeCell ref="AX68:BB72"/>
    <mergeCell ref="H69:M69"/>
    <mergeCell ref="N69:P69"/>
    <mergeCell ref="R69:V69"/>
    <mergeCell ref="I71:K71"/>
    <mergeCell ref="M71:O71"/>
    <mergeCell ref="Q71:S71"/>
    <mergeCell ref="M76:O76"/>
    <mergeCell ref="Q76:S76"/>
    <mergeCell ref="U76:W76"/>
    <mergeCell ref="Z76:AB76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AX78:BB82"/>
    <mergeCell ref="H79:M79"/>
    <mergeCell ref="N79:P79"/>
    <mergeCell ref="R79:V79"/>
    <mergeCell ref="I81:K81"/>
    <mergeCell ref="M81:O81"/>
    <mergeCell ref="Q81:S81"/>
    <mergeCell ref="AS83:AW83"/>
    <mergeCell ref="AX83:BB83"/>
    <mergeCell ref="AO84:AR84"/>
    <mergeCell ref="AS84:AW84"/>
    <mergeCell ref="AX84:BB84"/>
    <mergeCell ref="A86:N86"/>
    <mergeCell ref="O86:AN86"/>
    <mergeCell ref="AO86:AU86"/>
    <mergeCell ref="AV86:BB86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103:Z103"/>
    <mergeCell ref="AA103:AF103"/>
    <mergeCell ref="AG103:AL103"/>
    <mergeCell ref="AM103:AT103"/>
    <mergeCell ref="AU103:BB103"/>
    <mergeCell ref="AU106:BB106"/>
    <mergeCell ref="A107:Z107"/>
    <mergeCell ref="AA107:AF107"/>
    <mergeCell ref="AU107:BB107"/>
    <mergeCell ref="A108:Z108"/>
    <mergeCell ref="AA108:AF108"/>
    <mergeCell ref="AU108:BB108"/>
    <mergeCell ref="A104:Z104"/>
    <mergeCell ref="AA104:AF104"/>
    <mergeCell ref="AG104:AL123"/>
    <mergeCell ref="AM104:AT123"/>
    <mergeCell ref="AU104:BB104"/>
    <mergeCell ref="A105:Z105"/>
    <mergeCell ref="AA105:AF105"/>
    <mergeCell ref="AU105:BB105"/>
    <mergeCell ref="A106:Z106"/>
    <mergeCell ref="AA106:AF106"/>
    <mergeCell ref="A111:Z111"/>
    <mergeCell ref="AA111:AF111"/>
    <mergeCell ref="AU111:BB111"/>
    <mergeCell ref="A112:Z112"/>
    <mergeCell ref="AA112:AF112"/>
    <mergeCell ref="AU112:BB112"/>
    <mergeCell ref="A109:Z109"/>
    <mergeCell ref="AA109:AF109"/>
    <mergeCell ref="AU109:BB109"/>
    <mergeCell ref="A115:Z115"/>
    <mergeCell ref="AA115:AF115"/>
    <mergeCell ref="AU115:BB115"/>
    <mergeCell ref="A116:Z116"/>
    <mergeCell ref="AA116:AF116"/>
    <mergeCell ref="AU116:BB116"/>
    <mergeCell ref="A113:Z113"/>
    <mergeCell ref="AA113:AF113"/>
    <mergeCell ref="AU113:BB113"/>
    <mergeCell ref="A114:Z114"/>
    <mergeCell ref="AA114:AF114"/>
    <mergeCell ref="AU114:BB114"/>
    <mergeCell ref="A119:Z119"/>
    <mergeCell ref="AA119:AF119"/>
    <mergeCell ref="AU119:BB119"/>
    <mergeCell ref="A120:Z120"/>
    <mergeCell ref="AA120:AF120"/>
    <mergeCell ref="AU120:BB120"/>
    <mergeCell ref="A117:Z117"/>
    <mergeCell ref="AA117:AF117"/>
    <mergeCell ref="AU117:BB117"/>
    <mergeCell ref="A118:Z118"/>
    <mergeCell ref="AA118:AF118"/>
    <mergeCell ref="AU118:BB118"/>
    <mergeCell ref="A123:Z123"/>
    <mergeCell ref="AA123:AF123"/>
    <mergeCell ref="AU123:BB123"/>
    <mergeCell ref="A124:Z124"/>
    <mergeCell ref="AA124:AF124"/>
    <mergeCell ref="AG124:AL124"/>
    <mergeCell ref="AM124:AT124"/>
    <mergeCell ref="AU124:BB124"/>
    <mergeCell ref="A121:Z121"/>
    <mergeCell ref="AA121:AF121"/>
    <mergeCell ref="AU121:BB121"/>
    <mergeCell ref="A122:Z122"/>
    <mergeCell ref="AA122:AF122"/>
    <mergeCell ref="AU122:BB122"/>
    <mergeCell ref="A128:Z128"/>
    <mergeCell ref="AA128:AF128"/>
    <mergeCell ref="AG128:AL128"/>
    <mergeCell ref="AM128:AT128"/>
    <mergeCell ref="AU128:BB128"/>
    <mergeCell ref="A129:Z129"/>
    <mergeCell ref="AA129:AF129"/>
    <mergeCell ref="AG129:AL129"/>
    <mergeCell ref="AM129:AT129"/>
    <mergeCell ref="AU129:BB129"/>
    <mergeCell ref="A130:Z130"/>
    <mergeCell ref="AA130:AF130"/>
    <mergeCell ref="AG130:AL135"/>
    <mergeCell ref="AM130:AT135"/>
    <mergeCell ref="AU130:BB130"/>
    <mergeCell ref="A131:Z131"/>
    <mergeCell ref="AA131:AF131"/>
    <mergeCell ref="AU131:BB131"/>
    <mergeCell ref="A132:Z132"/>
    <mergeCell ref="AA132:AF132"/>
    <mergeCell ref="A135:Z135"/>
    <mergeCell ref="AA135:AF135"/>
    <mergeCell ref="AU135:BB135"/>
    <mergeCell ref="A136:Z136"/>
    <mergeCell ref="AA136:AF136"/>
    <mergeCell ref="AG136:AL136"/>
    <mergeCell ref="AM136:AT136"/>
    <mergeCell ref="AU136:BB136"/>
    <mergeCell ref="AU132:BB132"/>
    <mergeCell ref="A133:Z133"/>
    <mergeCell ref="AA133:AF133"/>
    <mergeCell ref="AU133:BB133"/>
    <mergeCell ref="A134:Z134"/>
    <mergeCell ref="AA134:AF134"/>
    <mergeCell ref="AU134:BB134"/>
    <mergeCell ref="AD140:AP140"/>
    <mergeCell ref="AQ140:AT140"/>
    <mergeCell ref="AU140:AX140"/>
    <mergeCell ref="AY140:BB140"/>
    <mergeCell ref="H141:L141"/>
    <mergeCell ref="M141:Q141"/>
    <mergeCell ref="AD141:AI141"/>
    <mergeCell ref="AJ141:AP141"/>
    <mergeCell ref="AQ141:AT141"/>
    <mergeCell ref="AU141:AX141"/>
    <mergeCell ref="H140:L140"/>
    <mergeCell ref="M140:Q140"/>
    <mergeCell ref="R140:U141"/>
    <mergeCell ref="V140:Y141"/>
    <mergeCell ref="Z140:AC141"/>
    <mergeCell ref="AY141:BB141"/>
    <mergeCell ref="A142:G142"/>
    <mergeCell ref="H142:L142"/>
    <mergeCell ref="M142:Q142"/>
    <mergeCell ref="R142:U142"/>
    <mergeCell ref="V142:Y142"/>
    <mergeCell ref="Z142:AC142"/>
    <mergeCell ref="AD142:AI142"/>
    <mergeCell ref="AJ142:AP142"/>
    <mergeCell ref="AQ142:AT142"/>
    <mergeCell ref="A140:G141"/>
    <mergeCell ref="AU142:AX142"/>
    <mergeCell ref="AY142:BB142"/>
    <mergeCell ref="A143:G143"/>
    <mergeCell ref="H143:L143"/>
    <mergeCell ref="M143:Q143"/>
    <mergeCell ref="R143:U146"/>
    <mergeCell ref="V143:Y146"/>
    <mergeCell ref="Z143:AC146"/>
    <mergeCell ref="AD143:AI143"/>
    <mergeCell ref="AJ143:AP143"/>
    <mergeCell ref="AQ143:AT143"/>
    <mergeCell ref="AU143:AX143"/>
    <mergeCell ref="AY143:BB143"/>
    <mergeCell ref="A144:G144"/>
    <mergeCell ref="H144:L144"/>
    <mergeCell ref="M144:Q144"/>
    <mergeCell ref="AD144:AI144"/>
    <mergeCell ref="AJ144:AP144"/>
    <mergeCell ref="AQ144:AT144"/>
    <mergeCell ref="AU144:AX144"/>
    <mergeCell ref="AY144:BB144"/>
    <mergeCell ref="A145:G145"/>
    <mergeCell ref="H145:L145"/>
    <mergeCell ref="M145:Q145"/>
    <mergeCell ref="AD145:AI145"/>
    <mergeCell ref="AJ145:AP145"/>
    <mergeCell ref="AQ145:AT145"/>
    <mergeCell ref="AU145:AX145"/>
    <mergeCell ref="AY145:BB145"/>
    <mergeCell ref="AU146:AX146"/>
    <mergeCell ref="AY146:BB146"/>
    <mergeCell ref="A147:G147"/>
    <mergeCell ref="H147:L147"/>
    <mergeCell ref="M147:Q147"/>
    <mergeCell ref="R147:U147"/>
    <mergeCell ref="V147:Y147"/>
    <mergeCell ref="Z147:AC147"/>
    <mergeCell ref="AD147:AI147"/>
    <mergeCell ref="AJ147:AP147"/>
    <mergeCell ref="A146:G146"/>
    <mergeCell ref="H146:L146"/>
    <mergeCell ref="M146:Q146"/>
    <mergeCell ref="AD146:AI146"/>
    <mergeCell ref="AJ146:AP146"/>
    <mergeCell ref="AQ146:AT146"/>
    <mergeCell ref="AQ147:AT147"/>
    <mergeCell ref="AU147:AX147"/>
    <mergeCell ref="AY147:BB147"/>
    <mergeCell ref="A148:F148"/>
    <mergeCell ref="H148:L148"/>
    <mergeCell ref="M148:Q148"/>
    <mergeCell ref="R148:U148"/>
    <mergeCell ref="V148:Y148"/>
    <mergeCell ref="Z148:AC148"/>
    <mergeCell ref="AD148:AI148"/>
    <mergeCell ref="AY148:BB148"/>
    <mergeCell ref="A149:G149"/>
    <mergeCell ref="H149:L149"/>
    <mergeCell ref="M149:Q149"/>
    <mergeCell ref="R149:U149"/>
    <mergeCell ref="V149:Y149"/>
    <mergeCell ref="Z149:AC149"/>
    <mergeCell ref="AD149:AI149"/>
    <mergeCell ref="AJ149:AP149"/>
    <mergeCell ref="AQ149:AT149"/>
    <mergeCell ref="BC150:BD150"/>
    <mergeCell ref="AJ148:AP148"/>
    <mergeCell ref="AQ148:AT148"/>
    <mergeCell ref="AU148:AX148"/>
    <mergeCell ref="BE154:CA154"/>
    <mergeCell ref="BE155:BG155"/>
    <mergeCell ref="BH155:BL155"/>
    <mergeCell ref="BE156:BG156"/>
    <mergeCell ref="BI156:BM156"/>
    <mergeCell ref="BN156:BT156"/>
    <mergeCell ref="BC151:BD151"/>
    <mergeCell ref="AU149:AX149"/>
    <mergeCell ref="AY149:BB149"/>
    <mergeCell ref="CE161:CJ161"/>
    <mergeCell ref="CM161:CT161"/>
    <mergeCell ref="BE162:BG162"/>
    <mergeCell ref="BI162:BM162"/>
    <mergeCell ref="BN162:BT162"/>
    <mergeCell ref="CE162:CJ162"/>
    <mergeCell ref="CM162:CT162"/>
    <mergeCell ref="A110:Z110"/>
    <mergeCell ref="BE163:BG163"/>
    <mergeCell ref="BI163:BM163"/>
    <mergeCell ref="BN163:BT163"/>
    <mergeCell ref="AU110:BB110"/>
    <mergeCell ref="AA110:AF110"/>
    <mergeCell ref="BE161:BG161"/>
    <mergeCell ref="BI161:BM161"/>
    <mergeCell ref="BN161:BT161"/>
    <mergeCell ref="B152:S152"/>
    <mergeCell ref="AM152:BB152"/>
    <mergeCell ref="BC152:BD152"/>
    <mergeCell ref="B153:S154"/>
    <mergeCell ref="AM153:BC154"/>
    <mergeCell ref="BE157:BG157"/>
    <mergeCell ref="BI157:BM157"/>
    <mergeCell ref="BN157:BT157"/>
    <mergeCell ref="BE159:CA159"/>
    <mergeCell ref="BE160:BG160"/>
    <mergeCell ref="BH160:BL160"/>
    <mergeCell ref="BE166:CA166"/>
    <mergeCell ref="BE167:BG167"/>
    <mergeCell ref="BH167:BL167"/>
    <mergeCell ref="BE168:BG168"/>
    <mergeCell ref="BI168:BM168"/>
    <mergeCell ref="BN168:BT168"/>
    <mergeCell ref="CE168:CJ168"/>
    <mergeCell ref="CM168:CT168"/>
    <mergeCell ref="BE173:CA173"/>
    <mergeCell ref="BE174:BG174"/>
    <mergeCell ref="BH174:BL174"/>
    <mergeCell ref="BE175:BG175"/>
    <mergeCell ref="BI175:BM175"/>
    <mergeCell ref="BN175:BT175"/>
    <mergeCell ref="CE175:CJ175"/>
    <mergeCell ref="CM175:CT175"/>
    <mergeCell ref="BE169:BG169"/>
    <mergeCell ref="BI169:BM169"/>
    <mergeCell ref="BN169:BT169"/>
    <mergeCell ref="CE169:CJ169"/>
    <mergeCell ref="CM169:CT169"/>
    <mergeCell ref="BE170:BG170"/>
    <mergeCell ref="BI170:BM170"/>
    <mergeCell ref="BN170:BT170"/>
    <mergeCell ref="BE176:BG176"/>
    <mergeCell ref="BI176:BM176"/>
    <mergeCell ref="BN176:BT176"/>
    <mergeCell ref="CE176:CJ176"/>
    <mergeCell ref="CM176:CT176"/>
    <mergeCell ref="CE182:CJ182"/>
    <mergeCell ref="CM182:CT182"/>
    <mergeCell ref="BE183:BG183"/>
    <mergeCell ref="BI183:BM183"/>
    <mergeCell ref="BN183:BT183"/>
    <mergeCell ref="CE183:CJ183"/>
    <mergeCell ref="CM183:CT183"/>
    <mergeCell ref="BE177:BG177"/>
    <mergeCell ref="BI177:BM177"/>
    <mergeCell ref="BN177:BT177"/>
    <mergeCell ref="BE184:BG184"/>
    <mergeCell ref="BI184:BM184"/>
    <mergeCell ref="BN184:BT184"/>
    <mergeCell ref="BE180:CA180"/>
    <mergeCell ref="BE181:BG181"/>
    <mergeCell ref="BH181:BL181"/>
    <mergeCell ref="BE182:BG182"/>
    <mergeCell ref="BI182:BM182"/>
    <mergeCell ref="BN182:BT182"/>
  </mergeCells>
  <pageMargins left="0" right="0" top="0" bottom="0" header="0.31496062992125984" footer="0.31496062992125984"/>
  <pageSetup paperSize="9" scale="75" fitToHeight="0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CT398"/>
  <sheetViews>
    <sheetView topLeftCell="A146" zoomScaleNormal="100" workbookViewId="0">
      <selection activeCell="CE397" sqref="CE397:CJ397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5" width="1.85546875" style="117"/>
    <col min="26" max="26" width="9.85546875" style="117" bestFit="1" customWidth="1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4.42578125" style="117" customWidth="1"/>
    <col min="55" max="55" width="4.5703125" style="117" customWidth="1"/>
    <col min="56" max="56" width="4.7109375" style="117" customWidth="1"/>
    <col min="57" max="57" width="10.140625" style="117" customWidth="1"/>
    <col min="58" max="58" width="5.85546875" style="117" customWidth="1"/>
    <col min="59" max="59" width="2.7109375" style="117" customWidth="1"/>
    <col min="60" max="60" width="10.42578125" style="117" customWidth="1"/>
    <col min="61" max="61" width="8.140625" style="117" customWidth="1"/>
    <col min="62" max="87" width="1.85546875" style="117" customWidth="1"/>
    <col min="88" max="16384" width="1.85546875" style="117"/>
  </cols>
  <sheetData>
    <row r="1" spans="1:55" s="100" customFormat="1" ht="15" customHeight="1" x14ac:dyDescent="0.25">
      <c r="AW1" s="100" t="s">
        <v>83</v>
      </c>
    </row>
    <row r="2" spans="1:55" s="100" customFormat="1" ht="15" x14ac:dyDescent="0.25">
      <c r="AQ2" s="915" t="s">
        <v>681</v>
      </c>
      <c r="AR2" s="915"/>
      <c r="AS2" s="915"/>
      <c r="AT2" s="916"/>
      <c r="AU2" s="916"/>
      <c r="AV2" s="916"/>
      <c r="AW2" s="916"/>
      <c r="AX2" s="916"/>
      <c r="AY2" s="916"/>
      <c r="AZ2" s="916"/>
      <c r="BA2" s="916"/>
      <c r="BB2" s="916"/>
    </row>
    <row r="3" spans="1:55" s="100" customFormat="1" ht="15" customHeight="1" x14ac:dyDescent="0.25">
      <c r="AQ3" s="100" t="s">
        <v>91</v>
      </c>
    </row>
    <row r="4" spans="1:55" s="100" customFormat="1" ht="5.0999999999999996" customHeight="1" x14ac:dyDescent="0.25"/>
    <row r="5" spans="1:55" s="100" customFormat="1" ht="15" customHeight="1" x14ac:dyDescent="0.25">
      <c r="AM5" s="157"/>
      <c r="AN5" s="157"/>
      <c r="AO5" s="157"/>
      <c r="AP5" s="157"/>
      <c r="AQ5" s="156"/>
      <c r="AR5" s="156"/>
      <c r="AS5" s="156"/>
      <c r="AT5" s="156"/>
      <c r="AU5" s="156"/>
      <c r="AV5" s="1370" t="s">
        <v>222</v>
      </c>
      <c r="AW5" s="443"/>
      <c r="AX5" s="443"/>
      <c r="AY5" s="443"/>
      <c r="AZ5" s="443"/>
      <c r="BA5" s="443"/>
      <c r="BB5" s="443"/>
      <c r="BC5" s="443"/>
    </row>
    <row r="6" spans="1:55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5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5" s="100" customFormat="1" ht="15" customHeight="1" x14ac:dyDescent="0.25">
      <c r="A8" s="756" t="s">
        <v>524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5" s="100" customFormat="1" ht="5.0999999999999996" customHeight="1" x14ac:dyDescent="0.25">
      <c r="A9" s="310"/>
      <c r="B9" s="310"/>
      <c r="C9" s="310"/>
      <c r="D9" s="310"/>
      <c r="E9" s="310"/>
      <c r="F9" s="310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0"/>
      <c r="AL9" s="310"/>
      <c r="AM9" s="310"/>
      <c r="AN9" s="310"/>
      <c r="AO9" s="310"/>
      <c r="AP9" s="310"/>
      <c r="AQ9" s="310"/>
      <c r="AR9" s="310"/>
      <c r="AS9" s="310"/>
      <c r="AT9" s="310"/>
      <c r="AU9" s="310"/>
      <c r="AV9" s="310"/>
      <c r="AW9" s="310"/>
      <c r="AX9" s="310"/>
      <c r="AY9" s="310"/>
      <c r="AZ9" s="310"/>
      <c r="BA9" s="310"/>
    </row>
    <row r="10" spans="1:55" s="100" customFormat="1" ht="15" customHeight="1" x14ac:dyDescent="0.25">
      <c r="A10" s="310"/>
      <c r="B10" s="310" t="s">
        <v>113</v>
      </c>
      <c r="C10" s="757">
        <v>1</v>
      </c>
      <c r="D10" s="757"/>
      <c r="E10" s="757"/>
      <c r="F10" s="310"/>
      <c r="G10" s="757" t="s">
        <v>675</v>
      </c>
      <c r="H10" s="757"/>
      <c r="I10" s="757"/>
      <c r="J10" s="757"/>
      <c r="K10" s="757"/>
      <c r="L10" s="757"/>
      <c r="M10" s="310"/>
      <c r="N10" s="756">
        <v>2021</v>
      </c>
      <c r="O10" s="756"/>
      <c r="P10" s="756"/>
      <c r="Q10" s="756"/>
      <c r="R10" s="310"/>
      <c r="S10" s="310" t="s">
        <v>114</v>
      </c>
      <c r="T10" s="310"/>
      <c r="U10" s="756" t="s">
        <v>115</v>
      </c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758"/>
      <c r="AI10" s="758"/>
      <c r="AJ10" s="757">
        <v>31</v>
      </c>
      <c r="AK10" s="757"/>
      <c r="AL10" s="757"/>
      <c r="AM10" s="310"/>
      <c r="AN10" s="757" t="s">
        <v>116</v>
      </c>
      <c r="AO10" s="757"/>
      <c r="AP10" s="757"/>
      <c r="AQ10" s="757"/>
      <c r="AR10" s="757"/>
      <c r="AS10" s="757"/>
      <c r="AT10" s="757"/>
      <c r="AU10" s="310"/>
      <c r="AV10" s="756">
        <v>2021</v>
      </c>
      <c r="AW10" s="756"/>
      <c r="AX10" s="756"/>
      <c r="AY10" s="756"/>
      <c r="AZ10" s="310"/>
      <c r="BA10" s="310" t="s">
        <v>114</v>
      </c>
    </row>
    <row r="11" spans="1:55" s="82" customFormat="1" ht="5.0999999999999996" customHeight="1" x14ac:dyDescent="0.2"/>
    <row r="12" spans="1:55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14</v>
      </c>
      <c r="V12" s="761"/>
      <c r="W12" s="761"/>
    </row>
    <row r="13" spans="1:55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5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1">
        <v>12</v>
      </c>
      <c r="V14" s="761"/>
      <c r="W14" s="761"/>
    </row>
    <row r="15" spans="1:55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5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1</v>
      </c>
      <c r="V16" s="761"/>
      <c r="W16" s="761"/>
      <c r="X16" s="312" t="s">
        <v>4</v>
      </c>
      <c r="Y16" s="761">
        <v>12</v>
      </c>
      <c r="Z16" s="761"/>
      <c r="AA16" s="761"/>
    </row>
    <row r="17" spans="1:54" ht="5.0999999999999996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530</v>
      </c>
      <c r="AR19" s="162"/>
      <c r="AS19" s="164"/>
      <c r="AX19" s="708">
        <v>15600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419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4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customHeight="1" x14ac:dyDescent="0.2">
      <c r="A24" s="764" t="s">
        <v>417</v>
      </c>
      <c r="B24" s="765"/>
      <c r="C24" s="765"/>
      <c r="D24" s="765"/>
      <c r="E24" s="765"/>
      <c r="F24" s="765"/>
      <c r="G24" s="766"/>
      <c r="H24" s="711" t="s">
        <v>16</v>
      </c>
      <c r="I24" s="712"/>
      <c r="J24" s="712"/>
      <c r="K24" s="712"/>
      <c r="L24" s="712"/>
      <c r="M24" s="712"/>
      <c r="N24" s="712"/>
      <c r="O24" s="712"/>
      <c r="P24" s="712"/>
      <c r="Q24" s="712"/>
      <c r="R24" s="712"/>
      <c r="S24" s="712"/>
      <c r="T24" s="712"/>
      <c r="U24" s="712"/>
      <c r="V24" s="712"/>
      <c r="W24" s="712"/>
      <c r="X24" s="712"/>
      <c r="Y24" s="712"/>
      <c r="Z24" s="723">
        <v>0.2</v>
      </c>
      <c r="AA24" s="723"/>
      <c r="AB24" s="723"/>
      <c r="AC24" s="662">
        <f>(AX51+AX83)*Z24*AH24</f>
        <v>1577.3333333333335</v>
      </c>
      <c r="AD24" s="662"/>
      <c r="AE24" s="662"/>
      <c r="AF24" s="662"/>
      <c r="AG24" s="662"/>
      <c r="AH24" s="663">
        <v>2</v>
      </c>
      <c r="AI24" s="663"/>
      <c r="AJ24" s="663"/>
      <c r="AK24" s="663"/>
      <c r="AL24" s="663"/>
      <c r="AM24" s="663"/>
      <c r="AN24" s="662">
        <f>AC24/U12</f>
        <v>112.66666666666667</v>
      </c>
      <c r="AO24" s="662"/>
      <c r="AP24" s="662"/>
      <c r="AQ24" s="662"/>
      <c r="AR24" s="662"/>
      <c r="AS24" s="663" t="s">
        <v>17</v>
      </c>
      <c r="AT24" s="663"/>
      <c r="AU24" s="663"/>
      <c r="AV24" s="663"/>
      <c r="AW24" s="663"/>
      <c r="AX24" s="662" t="s">
        <v>17</v>
      </c>
      <c r="AY24" s="662"/>
      <c r="AZ24" s="662"/>
      <c r="BA24" s="662"/>
      <c r="BB24" s="684"/>
    </row>
    <row r="25" spans="1:54" s="165" customFormat="1" ht="26.25" customHeight="1" x14ac:dyDescent="0.2">
      <c r="A25" s="767"/>
      <c r="B25" s="768"/>
      <c r="C25" s="768"/>
      <c r="D25" s="768"/>
      <c r="E25" s="768"/>
      <c r="F25" s="768"/>
      <c r="G25" s="769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771" t="s">
        <v>89</v>
      </c>
      <c r="B26" s="772"/>
      <c r="C26" s="772"/>
      <c r="D26" s="772"/>
      <c r="E26" s="772"/>
      <c r="F26" s="772"/>
      <c r="G26" s="773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11.25" customHeight="1" x14ac:dyDescent="0.2">
      <c r="A27" s="750"/>
      <c r="B27" s="751"/>
      <c r="C27" s="751"/>
      <c r="D27" s="751"/>
      <c r="E27" s="751"/>
      <c r="F27" s="751"/>
      <c r="G27" s="7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17.25" customHeight="1" thickBot="1" x14ac:dyDescent="0.25">
      <c r="A33" s="753"/>
      <c r="B33" s="754"/>
      <c r="C33" s="754"/>
      <c r="D33" s="754"/>
      <c r="E33" s="754"/>
      <c r="F33" s="754"/>
      <c r="G33" s="775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9"/>
      <c r="AA33" s="729"/>
      <c r="AB33" s="729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191"/>
      <c r="R34" s="187" t="s">
        <v>18</v>
      </c>
      <c r="S34" s="163"/>
      <c r="T34" s="163"/>
      <c r="U34" s="162"/>
      <c r="V34" s="162"/>
      <c r="W34" s="162"/>
      <c r="X34" s="162"/>
      <c r="Y34" s="162"/>
      <c r="Z34" s="162"/>
      <c r="AA34" s="162"/>
      <c r="AB34" s="162"/>
      <c r="AC34" s="162"/>
      <c r="AD34" s="162" t="s">
        <v>19</v>
      </c>
      <c r="AE34" s="162" t="s">
        <v>20</v>
      </c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88"/>
      <c r="AS34" s="702">
        <f>AN24</f>
        <v>112.66666666666667</v>
      </c>
      <c r="AT34" s="702"/>
      <c r="AU34" s="702"/>
      <c r="AV34" s="702"/>
      <c r="AW34" s="702"/>
      <c r="AX34" s="702">
        <f>AC24</f>
        <v>1577.3333333333335</v>
      </c>
      <c r="AY34" s="702"/>
      <c r="AZ34" s="702"/>
      <c r="BA34" s="702"/>
      <c r="BB34" s="703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309"/>
      <c r="I35" s="309"/>
      <c r="J35" s="309"/>
      <c r="K35" s="309"/>
      <c r="L35" s="309"/>
      <c r="M35" s="309"/>
      <c r="P35" s="168"/>
      <c r="Q35" s="307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34.025333333333336</v>
      </c>
      <c r="AT35" s="463"/>
      <c r="AU35" s="463"/>
      <c r="AV35" s="463"/>
      <c r="AW35" s="463"/>
      <c r="AX35" s="463">
        <f>AX34*AO35</f>
        <v>476.35466666666667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309"/>
      <c r="I36" s="309"/>
      <c r="J36" s="309"/>
      <c r="K36" s="309"/>
      <c r="L36" s="309"/>
      <c r="M36" s="309"/>
      <c r="P36" s="168"/>
      <c r="Q36" s="307"/>
      <c r="R36" s="307"/>
      <c r="S36" s="307"/>
      <c r="U36" s="307"/>
      <c r="V36" s="307"/>
      <c r="W36" s="307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313"/>
      <c r="AT36" s="315"/>
      <c r="AU36" s="315"/>
      <c r="AV36" s="315"/>
      <c r="AW36" s="315"/>
      <c r="AX36" s="313"/>
      <c r="AY36" s="315"/>
      <c r="AZ36" s="315"/>
      <c r="BA36" s="315"/>
      <c r="BB36" s="315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420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660"/>
      <c r="B41" s="661"/>
      <c r="C41" s="661"/>
      <c r="D41" s="661"/>
      <c r="E41" s="661"/>
      <c r="F41" s="661"/>
      <c r="G41" s="661"/>
      <c r="H41" s="662" t="s">
        <v>16</v>
      </c>
      <c r="I41" s="662"/>
      <c r="J41" s="662"/>
      <c r="K41" s="662"/>
      <c r="L41" s="662"/>
      <c r="M41" s="662"/>
      <c r="N41" s="662"/>
      <c r="O41" s="662"/>
      <c r="P41" s="662"/>
      <c r="Q41" s="662"/>
      <c r="R41" s="662"/>
      <c r="S41" s="662"/>
      <c r="T41" s="662"/>
      <c r="U41" s="662"/>
      <c r="V41" s="662"/>
      <c r="W41" s="662"/>
      <c r="X41" s="662"/>
      <c r="Y41" s="662"/>
      <c r="Z41" s="723">
        <v>0</v>
      </c>
      <c r="AA41" s="723"/>
      <c r="AB41" s="723"/>
      <c r="AC41" s="662">
        <f>AX83*Z41*AH41</f>
        <v>0</v>
      </c>
      <c r="AD41" s="662"/>
      <c r="AE41" s="662"/>
      <c r="AF41" s="662"/>
      <c r="AG41" s="662"/>
      <c r="AH41" s="508">
        <v>1</v>
      </c>
      <c r="AI41" s="509"/>
      <c r="AJ41" s="509"/>
      <c r="AK41" s="509"/>
      <c r="AL41" s="509"/>
      <c r="AM41" s="510"/>
      <c r="AN41" s="711">
        <f>AC41/U12</f>
        <v>0</v>
      </c>
      <c r="AO41" s="712"/>
      <c r="AP41" s="712"/>
      <c r="AQ41" s="712"/>
      <c r="AR41" s="734"/>
      <c r="AS41" s="508" t="s">
        <v>17</v>
      </c>
      <c r="AT41" s="509"/>
      <c r="AU41" s="509"/>
      <c r="AV41" s="509"/>
      <c r="AW41" s="510"/>
      <c r="AX41" s="711" t="s">
        <v>17</v>
      </c>
      <c r="AY41" s="712"/>
      <c r="AZ41" s="712"/>
      <c r="BA41" s="712"/>
      <c r="BB41" s="713"/>
    </row>
    <row r="42" spans="1:54" s="165" customFormat="1" ht="0.75" hidden="1" customHeight="1" x14ac:dyDescent="0.2">
      <c r="A42" s="652"/>
      <c r="B42" s="653"/>
      <c r="C42" s="653"/>
      <c r="D42" s="653"/>
      <c r="E42" s="653"/>
      <c r="F42" s="653"/>
      <c r="G42" s="653"/>
      <c r="H42" s="601"/>
      <c r="I42" s="601"/>
      <c r="J42" s="601"/>
      <c r="K42" s="601"/>
      <c r="L42" s="601"/>
      <c r="M42" s="601"/>
      <c r="N42" s="601"/>
      <c r="O42" s="601"/>
      <c r="P42" s="601"/>
      <c r="Q42" s="601"/>
      <c r="R42" s="601"/>
      <c r="S42" s="601"/>
      <c r="T42" s="601"/>
      <c r="U42" s="601"/>
      <c r="V42" s="601"/>
      <c r="W42" s="601"/>
      <c r="X42" s="601"/>
      <c r="Y42" s="601"/>
      <c r="Z42" s="726"/>
      <c r="AA42" s="726"/>
      <c r="AB42" s="726"/>
      <c r="AC42" s="601"/>
      <c r="AD42" s="601"/>
      <c r="AE42" s="601"/>
      <c r="AF42" s="601"/>
      <c r="AG42" s="601"/>
      <c r="AH42" s="511"/>
      <c r="AI42" s="512"/>
      <c r="AJ42" s="512"/>
      <c r="AK42" s="512"/>
      <c r="AL42" s="512"/>
      <c r="AM42" s="513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714"/>
      <c r="AY42" s="704"/>
      <c r="AZ42" s="704"/>
      <c r="BA42" s="704"/>
      <c r="BB42" s="715"/>
    </row>
    <row r="43" spans="1:54" ht="18" customHeight="1" x14ac:dyDescent="0.2">
      <c r="A43" s="652"/>
      <c r="B43" s="653"/>
      <c r="C43" s="653"/>
      <c r="D43" s="653"/>
      <c r="E43" s="653"/>
      <c r="F43" s="653"/>
      <c r="G43" s="653"/>
      <c r="H43" s="601"/>
      <c r="I43" s="601"/>
      <c r="J43" s="601"/>
      <c r="K43" s="601"/>
      <c r="L43" s="601"/>
      <c r="M43" s="601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726"/>
      <c r="AA43" s="726"/>
      <c r="AB43" s="726"/>
      <c r="AC43" s="601"/>
      <c r="AD43" s="601"/>
      <c r="AE43" s="601"/>
      <c r="AF43" s="601"/>
      <c r="AG43" s="601"/>
      <c r="AH43" s="736"/>
      <c r="AI43" s="737"/>
      <c r="AJ43" s="737"/>
      <c r="AK43" s="737"/>
      <c r="AL43" s="737"/>
      <c r="AM43" s="738"/>
      <c r="AN43" s="716"/>
      <c r="AO43" s="669"/>
      <c r="AP43" s="669"/>
      <c r="AQ43" s="669"/>
      <c r="AR43" s="670"/>
      <c r="AS43" s="736"/>
      <c r="AT43" s="737"/>
      <c r="AU43" s="737"/>
      <c r="AV43" s="737"/>
      <c r="AW43" s="738"/>
      <c r="AX43" s="716"/>
      <c r="AY43" s="669"/>
      <c r="AZ43" s="669"/>
      <c r="BA43" s="669"/>
      <c r="BB43" s="717"/>
    </row>
    <row r="44" spans="1:54" s="165" customFormat="1" ht="21" hidden="1" customHeight="1" x14ac:dyDescent="0.2">
      <c r="A44" s="652"/>
      <c r="B44" s="653"/>
      <c r="C44" s="653"/>
      <c r="D44" s="653"/>
      <c r="E44" s="653"/>
      <c r="F44" s="653"/>
      <c r="G44" s="653"/>
      <c r="H44" s="601"/>
      <c r="I44" s="601"/>
      <c r="J44" s="601"/>
      <c r="K44" s="601"/>
      <c r="L44" s="601"/>
      <c r="M44" s="601"/>
      <c r="N44" s="601"/>
      <c r="O44" s="601"/>
      <c r="P44" s="601"/>
      <c r="Q44" s="601"/>
      <c r="R44" s="601"/>
      <c r="S44" s="601"/>
      <c r="T44" s="601"/>
      <c r="U44" s="601"/>
      <c r="V44" s="601"/>
      <c r="W44" s="601"/>
      <c r="X44" s="601"/>
      <c r="Y44" s="601"/>
      <c r="Z44" s="726"/>
      <c r="AA44" s="726"/>
      <c r="AB44" s="726"/>
      <c r="AC44" s="279"/>
      <c r="AD44" s="279"/>
      <c r="AE44" s="279"/>
      <c r="AF44" s="279"/>
      <c r="AG44" s="279"/>
      <c r="AH44" s="180"/>
      <c r="AI44" s="181"/>
      <c r="AJ44" s="181"/>
      <c r="AK44" s="181"/>
      <c r="AL44" s="181"/>
      <c r="AM44" s="182"/>
      <c r="AN44" s="86"/>
      <c r="AO44" s="84"/>
      <c r="AP44" s="84"/>
      <c r="AQ44" s="84"/>
      <c r="AR44" s="85"/>
      <c r="AS44" s="180"/>
      <c r="AT44" s="181"/>
      <c r="AU44" s="181"/>
      <c r="AV44" s="181"/>
      <c r="AW44" s="182"/>
      <c r="AX44" s="86"/>
      <c r="AY44" s="84"/>
      <c r="AZ44" s="84"/>
      <c r="BA44" s="84"/>
      <c r="BB44" s="255"/>
    </row>
    <row r="45" spans="1:54" s="165" customFormat="1" ht="21.75" hidden="1" customHeight="1" x14ac:dyDescent="0.2">
      <c r="A45" s="652"/>
      <c r="B45" s="653"/>
      <c r="C45" s="653"/>
      <c r="D45" s="653"/>
      <c r="E45" s="653"/>
      <c r="F45" s="653"/>
      <c r="G45" s="653"/>
      <c r="H45" s="601"/>
      <c r="I45" s="601"/>
      <c r="J45" s="601"/>
      <c r="K45" s="601"/>
      <c r="L45" s="601"/>
      <c r="M45" s="601"/>
      <c r="N45" s="601"/>
      <c r="O45" s="601"/>
      <c r="P45" s="601"/>
      <c r="Q45" s="601"/>
      <c r="R45" s="601"/>
      <c r="S45" s="601"/>
      <c r="T45" s="601"/>
      <c r="U45" s="601"/>
      <c r="V45" s="601"/>
      <c r="W45" s="601"/>
      <c r="X45" s="601"/>
      <c r="Y45" s="601"/>
      <c r="Z45" s="726"/>
      <c r="AA45" s="726"/>
      <c r="AB45" s="726"/>
      <c r="AC45" s="279"/>
      <c r="AD45" s="279"/>
      <c r="AE45" s="279"/>
      <c r="AF45" s="279"/>
      <c r="AG45" s="279"/>
      <c r="AH45" s="180"/>
      <c r="AI45" s="181"/>
      <c r="AJ45" s="181"/>
      <c r="AK45" s="181"/>
      <c r="AL45" s="181"/>
      <c r="AM45" s="182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255"/>
    </row>
    <row r="46" spans="1:54" s="165" customFormat="1" ht="24" hidden="1" customHeight="1" x14ac:dyDescent="0.2">
      <c r="A46" s="652"/>
      <c r="B46" s="653"/>
      <c r="C46" s="653"/>
      <c r="D46" s="653"/>
      <c r="E46" s="653"/>
      <c r="F46" s="653"/>
      <c r="G46" s="653"/>
      <c r="H46" s="601"/>
      <c r="I46" s="601"/>
      <c r="J46" s="601"/>
      <c r="K46" s="601"/>
      <c r="L46" s="601"/>
      <c r="M46" s="601"/>
      <c r="N46" s="601"/>
      <c r="O46" s="601"/>
      <c r="P46" s="601"/>
      <c r="Q46" s="601"/>
      <c r="R46" s="601"/>
      <c r="S46" s="601"/>
      <c r="T46" s="601"/>
      <c r="U46" s="601"/>
      <c r="V46" s="601"/>
      <c r="W46" s="601"/>
      <c r="X46" s="601"/>
      <c r="Y46" s="601"/>
      <c r="Z46" s="726"/>
      <c r="AA46" s="726"/>
      <c r="AB46" s="726"/>
      <c r="AC46" s="279"/>
      <c r="AD46" s="279"/>
      <c r="AE46" s="279"/>
      <c r="AF46" s="279"/>
      <c r="AG46" s="279"/>
      <c r="AH46" s="180"/>
      <c r="AI46" s="181"/>
      <c r="AJ46" s="181"/>
      <c r="AK46" s="181"/>
      <c r="AL46" s="181"/>
      <c r="AM46" s="182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255"/>
    </row>
    <row r="47" spans="1:54" s="165" customFormat="1" ht="18" hidden="1" customHeight="1" x14ac:dyDescent="0.2">
      <c r="A47" s="652"/>
      <c r="B47" s="653"/>
      <c r="C47" s="653"/>
      <c r="D47" s="653"/>
      <c r="E47" s="653"/>
      <c r="F47" s="653"/>
      <c r="G47" s="653"/>
      <c r="H47" s="601"/>
      <c r="I47" s="601"/>
      <c r="J47" s="601"/>
      <c r="K47" s="601"/>
      <c r="L47" s="601"/>
      <c r="M47" s="601"/>
      <c r="N47" s="601"/>
      <c r="O47" s="601"/>
      <c r="P47" s="601"/>
      <c r="Q47" s="601"/>
      <c r="R47" s="601"/>
      <c r="S47" s="601"/>
      <c r="T47" s="601"/>
      <c r="U47" s="601"/>
      <c r="V47" s="601"/>
      <c r="W47" s="601"/>
      <c r="X47" s="601"/>
      <c r="Y47" s="601"/>
      <c r="Z47" s="726"/>
      <c r="AA47" s="726"/>
      <c r="AB47" s="726"/>
      <c r="AC47" s="279"/>
      <c r="AD47" s="279"/>
      <c r="AE47" s="279"/>
      <c r="AF47" s="279"/>
      <c r="AG47" s="279"/>
      <c r="AH47" s="180"/>
      <c r="AI47" s="181"/>
      <c r="AJ47" s="181"/>
      <c r="AK47" s="181"/>
      <c r="AL47" s="181"/>
      <c r="AM47" s="182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255"/>
    </row>
    <row r="48" spans="1:54" s="165" customFormat="1" ht="17.25" hidden="1" customHeight="1" x14ac:dyDescent="0.2">
      <c r="A48" s="652"/>
      <c r="B48" s="653"/>
      <c r="C48" s="653"/>
      <c r="D48" s="653"/>
      <c r="E48" s="653"/>
      <c r="F48" s="653"/>
      <c r="G48" s="653"/>
      <c r="H48" s="601"/>
      <c r="I48" s="601"/>
      <c r="J48" s="601"/>
      <c r="K48" s="601"/>
      <c r="L48" s="601"/>
      <c r="M48" s="601"/>
      <c r="N48" s="601"/>
      <c r="O48" s="601"/>
      <c r="P48" s="601"/>
      <c r="Q48" s="601"/>
      <c r="R48" s="601"/>
      <c r="S48" s="601"/>
      <c r="T48" s="601"/>
      <c r="U48" s="601"/>
      <c r="V48" s="601"/>
      <c r="W48" s="601"/>
      <c r="X48" s="601"/>
      <c r="Y48" s="601"/>
      <c r="Z48" s="726"/>
      <c r="AA48" s="726"/>
      <c r="AB48" s="726"/>
      <c r="AC48" s="279"/>
      <c r="AD48" s="279"/>
      <c r="AE48" s="279"/>
      <c r="AF48" s="279"/>
      <c r="AG48" s="279"/>
      <c r="AH48" s="180"/>
      <c r="AI48" s="181"/>
      <c r="AJ48" s="181"/>
      <c r="AK48" s="181"/>
      <c r="AL48" s="181"/>
      <c r="AM48" s="182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255"/>
    </row>
    <row r="49" spans="1:54" s="165" customFormat="1" ht="14.25" hidden="1" customHeight="1" x14ac:dyDescent="0.2">
      <c r="A49" s="652"/>
      <c r="B49" s="653"/>
      <c r="C49" s="653"/>
      <c r="D49" s="653"/>
      <c r="E49" s="653"/>
      <c r="F49" s="653"/>
      <c r="G49" s="653"/>
      <c r="H49" s="601"/>
      <c r="I49" s="601"/>
      <c r="J49" s="601"/>
      <c r="K49" s="601"/>
      <c r="L49" s="601"/>
      <c r="M49" s="601"/>
      <c r="N49" s="601"/>
      <c r="O49" s="601"/>
      <c r="P49" s="601"/>
      <c r="Q49" s="601"/>
      <c r="R49" s="601"/>
      <c r="S49" s="601"/>
      <c r="T49" s="601"/>
      <c r="U49" s="601"/>
      <c r="V49" s="601"/>
      <c r="W49" s="601"/>
      <c r="X49" s="601"/>
      <c r="Y49" s="601"/>
      <c r="Z49" s="726"/>
      <c r="AA49" s="726"/>
      <c r="AB49" s="726"/>
      <c r="AC49" s="279"/>
      <c r="AD49" s="279"/>
      <c r="AE49" s="279"/>
      <c r="AF49" s="279"/>
      <c r="AG49" s="279"/>
      <c r="AH49" s="180"/>
      <c r="AI49" s="181"/>
      <c r="AJ49" s="181"/>
      <c r="AK49" s="181"/>
      <c r="AL49" s="181"/>
      <c r="AM49" s="182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255"/>
    </row>
    <row r="50" spans="1:54" ht="0.75" customHeight="1" thickBot="1" x14ac:dyDescent="0.25">
      <c r="A50" s="681"/>
      <c r="B50" s="682"/>
      <c r="C50" s="682"/>
      <c r="D50" s="682"/>
      <c r="E50" s="682"/>
      <c r="F50" s="682"/>
      <c r="G50" s="682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  <c r="V50" s="656"/>
      <c r="W50" s="656"/>
      <c r="X50" s="656"/>
      <c r="Y50" s="656"/>
      <c r="Z50" s="729"/>
      <c r="AA50" s="729"/>
      <c r="AB50" s="729"/>
      <c r="AC50" s="280"/>
      <c r="AD50" s="280"/>
      <c r="AE50" s="280"/>
      <c r="AF50" s="280"/>
      <c r="AG50" s="280"/>
      <c r="AH50" s="259"/>
      <c r="AI50" s="260"/>
      <c r="AJ50" s="260"/>
      <c r="AK50" s="260"/>
      <c r="AL50" s="260"/>
      <c r="AM50" s="261"/>
      <c r="AN50" s="256"/>
      <c r="AO50" s="257"/>
      <c r="AP50" s="257"/>
      <c r="AQ50" s="257"/>
      <c r="AR50" s="258"/>
      <c r="AS50" s="259"/>
      <c r="AT50" s="260"/>
      <c r="AU50" s="260"/>
      <c r="AV50" s="260"/>
      <c r="AW50" s="261"/>
      <c r="AX50" s="256"/>
      <c r="AY50" s="257"/>
      <c r="AZ50" s="257"/>
      <c r="BA50" s="257"/>
      <c r="BB50" s="262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305"/>
      <c r="I52" s="305"/>
      <c r="J52" s="305"/>
      <c r="K52" s="305"/>
      <c r="L52" s="164"/>
      <c r="M52" s="164"/>
      <c r="N52" s="164"/>
      <c r="O52" s="164"/>
      <c r="P52" s="164"/>
      <c r="Q52" s="306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660" t="s">
        <v>101</v>
      </c>
      <c r="B58" s="661"/>
      <c r="C58" s="661"/>
      <c r="D58" s="661"/>
      <c r="E58" s="661"/>
      <c r="F58" s="661"/>
      <c r="G58" s="661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96"/>
      <c r="AC58" s="662">
        <f>((R59+(R59*U61)+(R59*Q61)+(R59*M61)+(R59*I61))*Z61)</f>
        <v>40560</v>
      </c>
      <c r="AD58" s="662"/>
      <c r="AE58" s="662"/>
      <c r="AF58" s="662"/>
      <c r="AG58" s="662"/>
      <c r="AH58" s="662">
        <v>144</v>
      </c>
      <c r="AI58" s="662"/>
      <c r="AJ58" s="662"/>
      <c r="AK58" s="662"/>
      <c r="AL58" s="662"/>
      <c r="AM58" s="662"/>
      <c r="AN58" s="662">
        <f>AC58/AH58</f>
        <v>281.66666666666669</v>
      </c>
      <c r="AO58" s="662"/>
      <c r="AP58" s="662"/>
      <c r="AQ58" s="662"/>
      <c r="AR58" s="662"/>
      <c r="AS58" s="663">
        <f>U12</f>
        <v>14</v>
      </c>
      <c r="AT58" s="663"/>
      <c r="AU58" s="663"/>
      <c r="AV58" s="663"/>
      <c r="AW58" s="663"/>
      <c r="AX58" s="662">
        <f>AN58*AS58</f>
        <v>3943.3333333333335</v>
      </c>
      <c r="AY58" s="662"/>
      <c r="AZ58" s="662"/>
      <c r="BA58" s="662"/>
      <c r="BB58" s="684"/>
    </row>
    <row r="59" spans="1:54" s="165" customFormat="1" ht="24" customHeight="1" x14ac:dyDescent="0.2">
      <c r="A59" s="652"/>
      <c r="B59" s="653"/>
      <c r="C59" s="653"/>
      <c r="D59" s="653"/>
      <c r="E59" s="653"/>
      <c r="F59" s="653"/>
      <c r="G59" s="653"/>
      <c r="H59" s="685" t="s">
        <v>530</v>
      </c>
      <c r="I59" s="686"/>
      <c r="J59" s="686"/>
      <c r="K59" s="686"/>
      <c r="L59" s="686"/>
      <c r="M59" s="686"/>
      <c r="N59" s="669"/>
      <c r="O59" s="669"/>
      <c r="P59" s="669"/>
      <c r="Q59" s="84" t="s">
        <v>27</v>
      </c>
      <c r="R59" s="669">
        <v>15600</v>
      </c>
      <c r="S59" s="669"/>
      <c r="T59" s="669"/>
      <c r="U59" s="669"/>
      <c r="V59" s="669"/>
      <c r="W59" s="84" t="s">
        <v>28</v>
      </c>
      <c r="X59" s="84"/>
      <c r="Y59" s="84"/>
      <c r="Z59" s="84"/>
      <c r="AA59" s="84"/>
      <c r="AB59" s="85"/>
      <c r="AC59" s="601"/>
      <c r="AD59" s="601"/>
      <c r="AE59" s="601"/>
      <c r="AF59" s="601"/>
      <c r="AG59" s="601"/>
      <c r="AH59" s="601"/>
      <c r="AI59" s="601"/>
      <c r="AJ59" s="601"/>
      <c r="AK59" s="601"/>
      <c r="AL59" s="601"/>
      <c r="AM59" s="601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652"/>
      <c r="B60" s="653"/>
      <c r="C60" s="653"/>
      <c r="D60" s="653"/>
      <c r="E60" s="653"/>
      <c r="F60" s="653"/>
      <c r="G60" s="653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601"/>
      <c r="AD60" s="601"/>
      <c r="AE60" s="601"/>
      <c r="AF60" s="601"/>
      <c r="AG60" s="601"/>
      <c r="AH60" s="601"/>
      <c r="AI60" s="601"/>
      <c r="AJ60" s="601"/>
      <c r="AK60" s="601"/>
      <c r="AL60" s="601"/>
      <c r="AM60" s="601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1.25" customHeight="1" x14ac:dyDescent="0.2">
      <c r="A61" s="652"/>
      <c r="B61" s="653"/>
      <c r="C61" s="653"/>
      <c r="D61" s="653"/>
      <c r="E61" s="653"/>
      <c r="F61" s="653"/>
      <c r="G61" s="653"/>
      <c r="H61" s="706" t="s">
        <v>656</v>
      </c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  <c r="V61" s="707"/>
      <c r="W61" s="707"/>
      <c r="X61" s="707"/>
      <c r="Y61" s="390" t="s">
        <v>28</v>
      </c>
      <c r="Z61" s="669">
        <v>2.6</v>
      </c>
      <c r="AA61" s="669"/>
      <c r="AB61" s="670"/>
      <c r="AC61" s="601"/>
      <c r="AD61" s="601"/>
      <c r="AE61" s="601"/>
      <c r="AF61" s="601"/>
      <c r="AG61" s="601"/>
      <c r="AH61" s="601"/>
      <c r="AI61" s="601"/>
      <c r="AJ61" s="601"/>
      <c r="AK61" s="601"/>
      <c r="AL61" s="601"/>
      <c r="AM61" s="601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" customHeight="1" thickBot="1" x14ac:dyDescent="0.25">
      <c r="A62" s="681"/>
      <c r="B62" s="682"/>
      <c r="C62" s="682"/>
      <c r="D62" s="682"/>
      <c r="E62" s="682"/>
      <c r="F62" s="682"/>
      <c r="G62" s="682"/>
      <c r="H62" s="256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8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83"/>
      <c r="AT62" s="683"/>
      <c r="AU62" s="683"/>
      <c r="AV62" s="683"/>
      <c r="AW62" s="683"/>
      <c r="AX62" s="656"/>
      <c r="AY62" s="656"/>
      <c r="AZ62" s="656"/>
      <c r="BA62" s="656"/>
      <c r="BB62" s="657"/>
    </row>
    <row r="63" spans="1:54" ht="5.0999999999999996" hidden="1" customHeight="1" x14ac:dyDescent="0.2">
      <c r="A63" s="666"/>
      <c r="B63" s="667"/>
      <c r="C63" s="667"/>
      <c r="D63" s="667"/>
      <c r="E63" s="667"/>
      <c r="F63" s="667"/>
      <c r="G63" s="667"/>
      <c r="H63" s="193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94" t="e">
        <f>#REF!</f>
        <v>#REF!</v>
      </c>
      <c r="AA63" s="191"/>
      <c r="AB63" s="195"/>
      <c r="AC63" s="477">
        <f>((R64+(R64*U66)+(R64*Q66)+(R64*M66)+(R64*I66))*Z66)*1.15</f>
        <v>0</v>
      </c>
      <c r="AD63" s="477"/>
      <c r="AE63" s="477"/>
      <c r="AF63" s="477"/>
      <c r="AG63" s="477"/>
      <c r="AH63" s="477">
        <v>1</v>
      </c>
      <c r="AI63" s="477"/>
      <c r="AJ63" s="477"/>
      <c r="AK63" s="477"/>
      <c r="AL63" s="477"/>
      <c r="AM63" s="477"/>
      <c r="AN63" s="477">
        <f>AC63/AH63</f>
        <v>0</v>
      </c>
      <c r="AO63" s="477"/>
      <c r="AP63" s="477"/>
      <c r="AQ63" s="477"/>
      <c r="AR63" s="477"/>
      <c r="AS63" s="668">
        <f t="shared" ref="AS63" si="0">U17</f>
        <v>0</v>
      </c>
      <c r="AT63" s="668"/>
      <c r="AU63" s="668"/>
      <c r="AV63" s="668"/>
      <c r="AW63" s="668"/>
      <c r="AX63" s="477">
        <f>AN63*AS63</f>
        <v>0</v>
      </c>
      <c r="AY63" s="477"/>
      <c r="AZ63" s="477"/>
      <c r="BA63" s="477"/>
      <c r="BB63" s="481"/>
    </row>
    <row r="64" spans="1:54" s="165" customFormat="1" ht="11.25" hidden="1" customHeight="1" x14ac:dyDescent="0.2">
      <c r="A64" s="652"/>
      <c r="B64" s="653"/>
      <c r="C64" s="653"/>
      <c r="D64" s="653"/>
      <c r="E64" s="653"/>
      <c r="F64" s="653"/>
      <c r="G64" s="653"/>
      <c r="H64" s="658" t="s">
        <v>26</v>
      </c>
      <c r="I64" s="659"/>
      <c r="J64" s="659"/>
      <c r="K64" s="659"/>
      <c r="L64" s="659"/>
      <c r="M64" s="659"/>
      <c r="N64" s="650">
        <v>0</v>
      </c>
      <c r="O64" s="650"/>
      <c r="P64" s="650"/>
      <c r="Q64" s="191" t="s">
        <v>27</v>
      </c>
      <c r="R64" s="650">
        <f>$AX$19*N64</f>
        <v>0</v>
      </c>
      <c r="S64" s="650"/>
      <c r="T64" s="650"/>
      <c r="U64" s="650"/>
      <c r="V64" s="650"/>
      <c r="W64" s="191" t="s">
        <v>28</v>
      </c>
      <c r="X64" s="191" t="s">
        <v>29</v>
      </c>
      <c r="Y64" s="191"/>
      <c r="Z64" s="191"/>
      <c r="AA64" s="191"/>
      <c r="AB64" s="195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664"/>
      <c r="AT64" s="664"/>
      <c r="AU64" s="664"/>
      <c r="AV64" s="664"/>
      <c r="AW64" s="664"/>
      <c r="AX64" s="529"/>
      <c r="AY64" s="529"/>
      <c r="AZ64" s="529"/>
      <c r="BA64" s="529"/>
      <c r="BB64" s="665"/>
    </row>
    <row r="65" spans="1:54" s="165" customFormat="1" ht="5.0999999999999996" hidden="1" customHeight="1" x14ac:dyDescent="0.2">
      <c r="A65" s="652"/>
      <c r="B65" s="653"/>
      <c r="C65" s="653"/>
      <c r="D65" s="653"/>
      <c r="E65" s="653"/>
      <c r="F65" s="653"/>
      <c r="G65" s="653"/>
      <c r="H65" s="196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91"/>
      <c r="AA65" s="191"/>
      <c r="AB65" s="195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65" customFormat="1" ht="11.25" hidden="1" customHeight="1" x14ac:dyDescent="0.2">
      <c r="A66" s="652"/>
      <c r="B66" s="653"/>
      <c r="C66" s="653"/>
      <c r="D66" s="653"/>
      <c r="E66" s="653"/>
      <c r="F66" s="653"/>
      <c r="G66" s="653"/>
      <c r="H66" s="197" t="s">
        <v>30</v>
      </c>
      <c r="I66" s="654">
        <v>0</v>
      </c>
      <c r="J66" s="654"/>
      <c r="K66" s="654"/>
      <c r="L66" s="191" t="s">
        <v>28</v>
      </c>
      <c r="M66" s="654">
        <v>0</v>
      </c>
      <c r="N66" s="654"/>
      <c r="O66" s="654"/>
      <c r="P66" s="191" t="s">
        <v>28</v>
      </c>
      <c r="Q66" s="654"/>
      <c r="R66" s="654"/>
      <c r="S66" s="654"/>
      <c r="T66" s="191" t="s">
        <v>28</v>
      </c>
      <c r="U66" s="654"/>
      <c r="V66" s="654"/>
      <c r="W66" s="654"/>
      <c r="X66" s="191" t="s">
        <v>31</v>
      </c>
      <c r="Y66" s="191" t="s">
        <v>28</v>
      </c>
      <c r="Z66" s="650">
        <v>2.6</v>
      </c>
      <c r="AA66" s="650"/>
      <c r="AB66" s="651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65" customFormat="1" ht="5.0999999999999996" hidden="1" customHeight="1" thickBot="1" x14ac:dyDescent="0.25">
      <c r="A67" s="652"/>
      <c r="B67" s="653"/>
      <c r="C67" s="653"/>
      <c r="D67" s="653"/>
      <c r="E67" s="653"/>
      <c r="F67" s="653"/>
      <c r="G67" s="653"/>
      <c r="H67" s="198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308"/>
      <c r="AA67" s="308"/>
      <c r="AB67" s="201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65" customFormat="1" ht="5.0999999999999996" hidden="1" customHeight="1" x14ac:dyDescent="0.2">
      <c r="A68" s="652"/>
      <c r="B68" s="653"/>
      <c r="C68" s="653"/>
      <c r="D68" s="653"/>
      <c r="E68" s="653"/>
      <c r="F68" s="653"/>
      <c r="G68" s="653"/>
      <c r="H68" s="19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94" t="e">
        <f>#REF!</f>
        <v>#REF!</v>
      </c>
      <c r="AA68" s="191"/>
      <c r="AB68" s="195"/>
      <c r="AC68" s="507">
        <f>((R69+(R69*U71)+(R69*Q71)+(R69*M71)+(R69*I71))*Z71)*1.15</f>
        <v>0</v>
      </c>
      <c r="AD68" s="507"/>
      <c r="AE68" s="507"/>
      <c r="AF68" s="507"/>
      <c r="AG68" s="507"/>
      <c r="AH68" s="529">
        <v>1</v>
      </c>
      <c r="AI68" s="529"/>
      <c r="AJ68" s="529"/>
      <c r="AK68" s="529"/>
      <c r="AL68" s="529"/>
      <c r="AM68" s="529"/>
      <c r="AN68" s="529">
        <f>AC68/AH68</f>
        <v>0</v>
      </c>
      <c r="AO68" s="529"/>
      <c r="AP68" s="529"/>
      <c r="AQ68" s="529"/>
      <c r="AR68" s="529"/>
      <c r="AS68" s="663">
        <f t="shared" ref="AS68" si="1">U22</f>
        <v>0</v>
      </c>
      <c r="AT68" s="663"/>
      <c r="AU68" s="663"/>
      <c r="AV68" s="663"/>
      <c r="AW68" s="663"/>
      <c r="AX68" s="529">
        <f>AN68*AS68</f>
        <v>0</v>
      </c>
      <c r="AY68" s="529"/>
      <c r="AZ68" s="529"/>
      <c r="BA68" s="529"/>
      <c r="BB68" s="665"/>
    </row>
    <row r="69" spans="1:54" s="165" customFormat="1" ht="11.25" hidden="1" customHeight="1" x14ac:dyDescent="0.2">
      <c r="A69" s="652"/>
      <c r="B69" s="653"/>
      <c r="C69" s="653"/>
      <c r="D69" s="653"/>
      <c r="E69" s="653"/>
      <c r="F69" s="653"/>
      <c r="G69" s="653"/>
      <c r="H69" s="658" t="s">
        <v>26</v>
      </c>
      <c r="I69" s="659"/>
      <c r="J69" s="659"/>
      <c r="K69" s="659"/>
      <c r="L69" s="659"/>
      <c r="M69" s="659"/>
      <c r="N69" s="650">
        <v>0</v>
      </c>
      <c r="O69" s="650"/>
      <c r="P69" s="650"/>
      <c r="Q69" s="191" t="s">
        <v>27</v>
      </c>
      <c r="R69" s="650">
        <f>$AX$19*N69</f>
        <v>0</v>
      </c>
      <c r="S69" s="650"/>
      <c r="T69" s="650"/>
      <c r="U69" s="650"/>
      <c r="V69" s="650"/>
      <c r="W69" s="191" t="s">
        <v>28</v>
      </c>
      <c r="X69" s="191" t="s">
        <v>29</v>
      </c>
      <c r="Y69" s="191"/>
      <c r="Z69" s="191"/>
      <c r="AA69" s="191"/>
      <c r="AB69" s="195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529"/>
      <c r="AP69" s="529"/>
      <c r="AQ69" s="529"/>
      <c r="AR69" s="529"/>
      <c r="AS69" s="664"/>
      <c r="AT69" s="664"/>
      <c r="AU69" s="664"/>
      <c r="AV69" s="664"/>
      <c r="AW69" s="664"/>
      <c r="AX69" s="529"/>
      <c r="AY69" s="529"/>
      <c r="AZ69" s="529"/>
      <c r="BA69" s="529"/>
      <c r="BB69" s="665"/>
    </row>
    <row r="70" spans="1:54" ht="5.0999999999999996" hidden="1" customHeight="1" x14ac:dyDescent="0.2">
      <c r="A70" s="652"/>
      <c r="B70" s="653"/>
      <c r="C70" s="653"/>
      <c r="D70" s="653"/>
      <c r="E70" s="653"/>
      <c r="F70" s="653"/>
      <c r="G70" s="653"/>
      <c r="H70" s="19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91"/>
      <c r="AA70" s="191"/>
      <c r="AB70" s="195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s="165" customFormat="1" ht="11.25" hidden="1" customHeight="1" x14ac:dyDescent="0.2">
      <c r="A71" s="652"/>
      <c r="B71" s="653"/>
      <c r="C71" s="653"/>
      <c r="D71" s="653"/>
      <c r="E71" s="653"/>
      <c r="F71" s="653"/>
      <c r="G71" s="653"/>
      <c r="H71" s="197" t="s">
        <v>30</v>
      </c>
      <c r="I71" s="654">
        <v>0</v>
      </c>
      <c r="J71" s="654"/>
      <c r="K71" s="654"/>
      <c r="L71" s="191" t="s">
        <v>28</v>
      </c>
      <c r="M71" s="654">
        <v>0</v>
      </c>
      <c r="N71" s="654"/>
      <c r="O71" s="654"/>
      <c r="P71" s="191" t="s">
        <v>28</v>
      </c>
      <c r="Q71" s="654"/>
      <c r="R71" s="654"/>
      <c r="S71" s="654"/>
      <c r="T71" s="191" t="s">
        <v>28</v>
      </c>
      <c r="U71" s="654"/>
      <c r="V71" s="654"/>
      <c r="W71" s="654"/>
      <c r="X71" s="191" t="s">
        <v>31</v>
      </c>
      <c r="Y71" s="191" t="s">
        <v>28</v>
      </c>
      <c r="Z71" s="650">
        <v>2.6</v>
      </c>
      <c r="AA71" s="650"/>
      <c r="AB71" s="651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65" customFormat="1" ht="11.25" hidden="1" customHeight="1" thickBot="1" x14ac:dyDescent="0.25">
      <c r="A72" s="652"/>
      <c r="B72" s="653"/>
      <c r="C72" s="653"/>
      <c r="D72" s="653"/>
      <c r="E72" s="653"/>
      <c r="F72" s="653"/>
      <c r="G72" s="653"/>
      <c r="H72" s="198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308"/>
      <c r="AA72" s="308"/>
      <c r="AB72" s="201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65" customFormat="1" ht="15" hidden="1" customHeight="1" x14ac:dyDescent="0.2">
      <c r="A73" s="660" t="s">
        <v>84</v>
      </c>
      <c r="B73" s="661"/>
      <c r="C73" s="661"/>
      <c r="D73" s="661"/>
      <c r="E73" s="661"/>
      <c r="F73" s="661"/>
      <c r="G73" s="661"/>
      <c r="H73" s="19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94" t="e">
        <f>#REF!</f>
        <v>#REF!</v>
      </c>
      <c r="AA73" s="191"/>
      <c r="AB73" s="195"/>
      <c r="AC73" s="507">
        <f>((R74+(R74*U76)+(R74*Q76)+(R74*M76)+(R74*I76))*Z76)</f>
        <v>0</v>
      </c>
      <c r="AD73" s="507"/>
      <c r="AE73" s="507"/>
      <c r="AF73" s="507"/>
      <c r="AG73" s="507"/>
      <c r="AH73" s="529">
        <v>75</v>
      </c>
      <c r="AI73" s="529"/>
      <c r="AJ73" s="529"/>
      <c r="AK73" s="529"/>
      <c r="AL73" s="529"/>
      <c r="AM73" s="529"/>
      <c r="AN73" s="529">
        <f>AC73/AH73</f>
        <v>0</v>
      </c>
      <c r="AO73" s="529"/>
      <c r="AP73" s="529"/>
      <c r="AQ73" s="529"/>
      <c r="AR73" s="529"/>
      <c r="AS73" s="663">
        <f t="shared" ref="AS73" si="2">U27</f>
        <v>0</v>
      </c>
      <c r="AT73" s="663"/>
      <c r="AU73" s="663"/>
      <c r="AV73" s="663"/>
      <c r="AW73" s="663"/>
      <c r="AX73" s="529">
        <f>AN73*AS73</f>
        <v>0</v>
      </c>
      <c r="AY73" s="529"/>
      <c r="AZ73" s="529"/>
      <c r="BA73" s="529"/>
      <c r="BB73" s="665"/>
    </row>
    <row r="74" spans="1:54" s="165" customFormat="1" ht="21" hidden="1" customHeight="1" thickBot="1" x14ac:dyDescent="0.25">
      <c r="A74" s="652"/>
      <c r="B74" s="653"/>
      <c r="C74" s="653"/>
      <c r="D74" s="653"/>
      <c r="E74" s="653"/>
      <c r="F74" s="653"/>
      <c r="G74" s="653"/>
      <c r="H74" s="658" t="s">
        <v>26</v>
      </c>
      <c r="I74" s="659"/>
      <c r="J74" s="659"/>
      <c r="K74" s="659"/>
      <c r="L74" s="659"/>
      <c r="M74" s="659"/>
      <c r="N74" s="650">
        <v>0</v>
      </c>
      <c r="O74" s="650"/>
      <c r="P74" s="650"/>
      <c r="Q74" s="191" t="s">
        <v>27</v>
      </c>
      <c r="R74" s="650">
        <f>$AX$19*N74</f>
        <v>0</v>
      </c>
      <c r="S74" s="650"/>
      <c r="T74" s="650"/>
      <c r="U74" s="650"/>
      <c r="V74" s="650"/>
      <c r="W74" s="191" t="s">
        <v>28</v>
      </c>
      <c r="X74" s="191" t="s">
        <v>29</v>
      </c>
      <c r="Y74" s="191"/>
      <c r="Z74" s="191"/>
      <c r="AA74" s="191"/>
      <c r="AB74" s="195"/>
      <c r="AC74" s="529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29"/>
      <c r="AS74" s="664"/>
      <c r="AT74" s="664"/>
      <c r="AU74" s="664"/>
      <c r="AV74" s="664"/>
      <c r="AW74" s="664"/>
      <c r="AX74" s="529"/>
      <c r="AY74" s="529"/>
      <c r="AZ74" s="529"/>
      <c r="BA74" s="529"/>
      <c r="BB74" s="665"/>
    </row>
    <row r="75" spans="1:54" s="165" customFormat="1" ht="12" hidden="1" customHeight="1" thickBot="1" x14ac:dyDescent="0.25">
      <c r="A75" s="652"/>
      <c r="B75" s="653"/>
      <c r="C75" s="653"/>
      <c r="D75" s="653"/>
      <c r="E75" s="653"/>
      <c r="F75" s="653"/>
      <c r="G75" s="653"/>
      <c r="H75" s="196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91"/>
      <c r="AA75" s="191"/>
      <c r="AB75" s="195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29"/>
      <c r="AS75" s="664"/>
      <c r="AT75" s="664"/>
      <c r="AU75" s="664"/>
      <c r="AV75" s="664"/>
      <c r="AW75" s="664"/>
      <c r="AX75" s="529"/>
      <c r="AY75" s="529"/>
      <c r="AZ75" s="529"/>
      <c r="BA75" s="529"/>
      <c r="BB75" s="665"/>
    </row>
    <row r="76" spans="1:54" s="165" customFormat="1" ht="15.75" hidden="1" customHeight="1" thickBot="1" x14ac:dyDescent="0.25">
      <c r="A76" s="652"/>
      <c r="B76" s="653"/>
      <c r="C76" s="653"/>
      <c r="D76" s="653"/>
      <c r="E76" s="653"/>
      <c r="F76" s="653"/>
      <c r="G76" s="653"/>
      <c r="H76" s="197" t="s">
        <v>30</v>
      </c>
      <c r="I76" s="654">
        <v>0.2</v>
      </c>
      <c r="J76" s="654"/>
      <c r="K76" s="654"/>
      <c r="L76" s="191" t="s">
        <v>28</v>
      </c>
      <c r="M76" s="654">
        <v>0.15</v>
      </c>
      <c r="N76" s="654"/>
      <c r="O76" s="654"/>
      <c r="P76" s="191" t="s">
        <v>28</v>
      </c>
      <c r="Q76" s="654">
        <v>0.5</v>
      </c>
      <c r="R76" s="654"/>
      <c r="S76" s="654"/>
      <c r="T76" s="191" t="s">
        <v>28</v>
      </c>
      <c r="U76" s="654">
        <v>0</v>
      </c>
      <c r="V76" s="654"/>
      <c r="W76" s="654"/>
      <c r="X76" s="191" t="s">
        <v>31</v>
      </c>
      <c r="Y76" s="191" t="s">
        <v>28</v>
      </c>
      <c r="Z76" s="650">
        <v>2.6</v>
      </c>
      <c r="AA76" s="650"/>
      <c r="AB76" s="651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29"/>
      <c r="AS76" s="664"/>
      <c r="AT76" s="664"/>
      <c r="AU76" s="664"/>
      <c r="AV76" s="664"/>
      <c r="AW76" s="664"/>
      <c r="AX76" s="529"/>
      <c r="AY76" s="529"/>
      <c r="AZ76" s="529"/>
      <c r="BA76" s="529"/>
      <c r="BB76" s="665"/>
    </row>
    <row r="77" spans="1:54" ht="13.5" hidden="1" customHeight="1" thickBot="1" x14ac:dyDescent="0.25">
      <c r="A77" s="652"/>
      <c r="B77" s="653"/>
      <c r="C77" s="653"/>
      <c r="D77" s="653"/>
      <c r="E77" s="653"/>
      <c r="F77" s="653"/>
      <c r="G77" s="653"/>
      <c r="H77" s="198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308"/>
      <c r="AA77" s="308"/>
      <c r="AB77" s="201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29"/>
      <c r="AS77" s="664"/>
      <c r="AT77" s="664"/>
      <c r="AU77" s="664"/>
      <c r="AV77" s="664"/>
      <c r="AW77" s="664"/>
      <c r="AX77" s="529"/>
      <c r="AY77" s="529"/>
      <c r="AZ77" s="529"/>
      <c r="BA77" s="529"/>
      <c r="BB77" s="665"/>
    </row>
    <row r="78" spans="1:54" s="165" customFormat="1" ht="8.25" hidden="1" customHeight="1" x14ac:dyDescent="0.2">
      <c r="A78" s="660" t="s">
        <v>86</v>
      </c>
      <c r="B78" s="661"/>
      <c r="C78" s="661"/>
      <c r="D78" s="661"/>
      <c r="E78" s="661"/>
      <c r="F78" s="661"/>
      <c r="G78" s="661"/>
      <c r="H78" s="19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94" t="e">
        <f>#REF!</f>
        <v>#REF!</v>
      </c>
      <c r="AA78" s="191"/>
      <c r="AB78" s="195"/>
      <c r="AC78" s="662">
        <f>((R79+(R79*U81)+(R79*Q81)+(R79*M81)+(R79*I81))*Z81)*1.15</f>
        <v>0</v>
      </c>
      <c r="AD78" s="662"/>
      <c r="AE78" s="662"/>
      <c r="AF78" s="662"/>
      <c r="AG78" s="662"/>
      <c r="AH78" s="601">
        <v>144</v>
      </c>
      <c r="AI78" s="601"/>
      <c r="AJ78" s="601"/>
      <c r="AK78" s="601"/>
      <c r="AL78" s="601"/>
      <c r="AM78" s="601"/>
      <c r="AN78" s="601">
        <f>AC78/AH78</f>
        <v>0</v>
      </c>
      <c r="AO78" s="601"/>
      <c r="AP78" s="601"/>
      <c r="AQ78" s="601"/>
      <c r="AR78" s="601"/>
      <c r="AS78" s="663">
        <v>72</v>
      </c>
      <c r="AT78" s="663"/>
      <c r="AU78" s="663"/>
      <c r="AV78" s="663"/>
      <c r="AW78" s="663"/>
      <c r="AX78" s="601">
        <f>AN78*AS78</f>
        <v>0</v>
      </c>
      <c r="AY78" s="601"/>
      <c r="AZ78" s="601"/>
      <c r="BA78" s="601"/>
      <c r="BB78" s="655"/>
    </row>
    <row r="79" spans="1:54" s="165" customFormat="1" ht="27" hidden="1" customHeight="1" thickBot="1" x14ac:dyDescent="0.25">
      <c r="A79" s="652"/>
      <c r="B79" s="653"/>
      <c r="C79" s="653"/>
      <c r="D79" s="653"/>
      <c r="E79" s="653"/>
      <c r="F79" s="653"/>
      <c r="G79" s="653"/>
      <c r="H79" s="658" t="s">
        <v>26</v>
      </c>
      <c r="I79" s="659"/>
      <c r="J79" s="659"/>
      <c r="K79" s="659"/>
      <c r="L79" s="659"/>
      <c r="M79" s="659"/>
      <c r="N79" s="650">
        <v>0</v>
      </c>
      <c r="O79" s="650"/>
      <c r="P79" s="650"/>
      <c r="Q79" s="191" t="s">
        <v>27</v>
      </c>
      <c r="R79" s="650">
        <f>$AX$19*N79</f>
        <v>0</v>
      </c>
      <c r="S79" s="650"/>
      <c r="T79" s="650"/>
      <c r="U79" s="650"/>
      <c r="V79" s="650"/>
      <c r="W79" s="191" t="s">
        <v>28</v>
      </c>
      <c r="X79" s="191" t="s">
        <v>29</v>
      </c>
      <c r="Y79" s="191"/>
      <c r="Z79" s="191"/>
      <c r="AA79" s="191"/>
      <c r="AB79" s="195"/>
      <c r="AC79" s="601"/>
      <c r="AD79" s="601"/>
      <c r="AE79" s="601"/>
      <c r="AF79" s="601"/>
      <c r="AG79" s="601"/>
      <c r="AH79" s="601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64"/>
      <c r="AT79" s="664"/>
      <c r="AU79" s="664"/>
      <c r="AV79" s="664"/>
      <c r="AW79" s="664"/>
      <c r="AX79" s="601"/>
      <c r="AY79" s="601"/>
      <c r="AZ79" s="601"/>
      <c r="BA79" s="601"/>
      <c r="BB79" s="655"/>
    </row>
    <row r="80" spans="1:54" s="165" customFormat="1" ht="6.75" hidden="1" customHeight="1" thickBot="1" x14ac:dyDescent="0.25">
      <c r="A80" s="652"/>
      <c r="B80" s="653"/>
      <c r="C80" s="653"/>
      <c r="D80" s="653"/>
      <c r="E80" s="653"/>
      <c r="F80" s="653"/>
      <c r="G80" s="653"/>
      <c r="H80" s="19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91"/>
      <c r="AA80" s="191"/>
      <c r="AB80" s="195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ht="12" hidden="1" customHeight="1" thickBot="1" x14ac:dyDescent="0.25">
      <c r="A81" s="652"/>
      <c r="B81" s="653"/>
      <c r="C81" s="653"/>
      <c r="D81" s="653"/>
      <c r="E81" s="653"/>
      <c r="F81" s="653"/>
      <c r="G81" s="653"/>
      <c r="H81" s="197" t="s">
        <v>30</v>
      </c>
      <c r="I81" s="654">
        <v>0.2</v>
      </c>
      <c r="J81" s="654"/>
      <c r="K81" s="654"/>
      <c r="L81" s="191" t="s">
        <v>28</v>
      </c>
      <c r="M81" s="654">
        <v>0</v>
      </c>
      <c r="N81" s="654"/>
      <c r="O81" s="654"/>
      <c r="P81" s="191" t="s">
        <v>28</v>
      </c>
      <c r="Q81" s="654">
        <v>0</v>
      </c>
      <c r="R81" s="654"/>
      <c r="S81" s="654"/>
      <c r="T81" s="191" t="s">
        <v>28</v>
      </c>
      <c r="U81" s="654">
        <v>0</v>
      </c>
      <c r="V81" s="654"/>
      <c r="W81" s="654"/>
      <c r="X81" s="191" t="s">
        <v>31</v>
      </c>
      <c r="Y81" s="191" t="s">
        <v>28</v>
      </c>
      <c r="Z81" s="650">
        <v>2.6</v>
      </c>
      <c r="AA81" s="650"/>
      <c r="AB81" s="651"/>
      <c r="AC81" s="601"/>
      <c r="AD81" s="601"/>
      <c r="AE81" s="601"/>
      <c r="AF81" s="601"/>
      <c r="AG81" s="601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3.5" hidden="1" customHeight="1" thickBot="1" x14ac:dyDescent="0.25">
      <c r="A82" s="652"/>
      <c r="B82" s="653"/>
      <c r="C82" s="653"/>
      <c r="D82" s="653"/>
      <c r="E82" s="653"/>
      <c r="F82" s="653"/>
      <c r="G82" s="653"/>
      <c r="H82" s="202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4"/>
      <c r="AA82" s="204"/>
      <c r="AB82" s="205"/>
      <c r="AC82" s="601"/>
      <c r="AD82" s="601"/>
      <c r="AE82" s="601"/>
      <c r="AF82" s="601"/>
      <c r="AG82" s="601"/>
      <c r="AH82" s="656"/>
      <c r="AI82" s="656"/>
      <c r="AJ82" s="656"/>
      <c r="AK82" s="656"/>
      <c r="AL82" s="656"/>
      <c r="AM82" s="656"/>
      <c r="AN82" s="656"/>
      <c r="AO82" s="656"/>
      <c r="AP82" s="656"/>
      <c r="AQ82" s="656"/>
      <c r="AR82" s="656"/>
      <c r="AS82" s="664"/>
      <c r="AT82" s="664"/>
      <c r="AU82" s="664"/>
      <c r="AV82" s="664"/>
      <c r="AW82" s="664"/>
      <c r="AX82" s="656"/>
      <c r="AY82" s="656"/>
      <c r="AZ82" s="656"/>
      <c r="BA82" s="656"/>
      <c r="BB82" s="657"/>
    </row>
    <row r="83" spans="1:54" ht="11.25" customHeight="1" x14ac:dyDescent="0.2">
      <c r="R83" s="169" t="s">
        <v>18</v>
      </c>
      <c r="S83" s="170"/>
      <c r="T83" s="170"/>
      <c r="U83" s="171"/>
      <c r="V83" s="171"/>
      <c r="W83" s="171"/>
      <c r="X83" s="171"/>
      <c r="Y83" s="171"/>
      <c r="Z83" s="171"/>
      <c r="AA83" s="171"/>
      <c r="AB83" s="171"/>
      <c r="AC83" s="171"/>
      <c r="AD83" s="171" t="s">
        <v>19</v>
      </c>
      <c r="AE83" s="171" t="s">
        <v>20</v>
      </c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2"/>
      <c r="AS83" s="453">
        <f>AX83/U12</f>
        <v>281.66666666666669</v>
      </c>
      <c r="AT83" s="453"/>
      <c r="AU83" s="453"/>
      <c r="AV83" s="453"/>
      <c r="AW83" s="453"/>
      <c r="AX83" s="453">
        <f>SUM(AX58:BB82)</f>
        <v>3943.3333333333335</v>
      </c>
      <c r="AY83" s="453"/>
      <c r="AZ83" s="453"/>
      <c r="BA83" s="453"/>
      <c r="BB83" s="454"/>
    </row>
    <row r="84" spans="1:54" ht="11.25" customHeight="1" thickBot="1" x14ac:dyDescent="0.25">
      <c r="R84" s="175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 t="s">
        <v>19</v>
      </c>
      <c r="AE84" s="176" t="s">
        <v>21</v>
      </c>
      <c r="AF84" s="176"/>
      <c r="AG84" s="176"/>
      <c r="AH84" s="176"/>
      <c r="AI84" s="176"/>
      <c r="AJ84" s="176"/>
      <c r="AK84" s="176"/>
      <c r="AL84" s="176"/>
      <c r="AM84" s="176"/>
      <c r="AN84" s="176"/>
      <c r="AO84" s="630">
        <v>0.30199999999999999</v>
      </c>
      <c r="AP84" s="631"/>
      <c r="AQ84" s="631"/>
      <c r="AR84" s="632"/>
      <c r="AS84" s="463">
        <f>AX84/U12</f>
        <v>85.063333333333347</v>
      </c>
      <c r="AT84" s="463"/>
      <c r="AU84" s="463"/>
      <c r="AV84" s="463"/>
      <c r="AW84" s="463"/>
      <c r="AX84" s="463">
        <f>AX83*AO84</f>
        <v>1190.8866666666668</v>
      </c>
      <c r="AY84" s="463"/>
      <c r="AZ84" s="463"/>
      <c r="BA84" s="463"/>
      <c r="BB84" s="633"/>
    </row>
    <row r="85" spans="1:54" ht="11.25" customHeight="1" thickBot="1" x14ac:dyDescent="0.25">
      <c r="M85" s="164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206"/>
      <c r="AP85" s="315"/>
      <c r="AQ85" s="315"/>
      <c r="AR85" s="315"/>
      <c r="AS85" s="314"/>
      <c r="AT85" s="314"/>
      <c r="AU85" s="314"/>
      <c r="AV85" s="314"/>
      <c r="AW85" s="314"/>
      <c r="AX85" s="314"/>
      <c r="AY85" s="314"/>
      <c r="AZ85" s="314"/>
      <c r="BA85" s="314"/>
      <c r="BB85" s="314"/>
    </row>
    <row r="86" spans="1:54" ht="12" customHeight="1" x14ac:dyDescent="0.2">
      <c r="A86" s="634" t="s">
        <v>32</v>
      </c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34"/>
      <c r="O86" s="635" t="s">
        <v>33</v>
      </c>
      <c r="P86" s="636"/>
      <c r="Q86" s="636"/>
      <c r="R86" s="636"/>
      <c r="S86" s="636"/>
      <c r="T86" s="636"/>
      <c r="U86" s="636"/>
      <c r="V86" s="636"/>
      <c r="W86" s="636"/>
      <c r="X86" s="636"/>
      <c r="Y86" s="636"/>
      <c r="Z86" s="636"/>
      <c r="AA86" s="636"/>
      <c r="AB86" s="636"/>
      <c r="AC86" s="636"/>
      <c r="AD86" s="636"/>
      <c r="AE86" s="636"/>
      <c r="AF86" s="636"/>
      <c r="AG86" s="636"/>
      <c r="AH86" s="636"/>
      <c r="AI86" s="636"/>
      <c r="AJ86" s="636"/>
      <c r="AK86" s="636"/>
      <c r="AL86" s="636"/>
      <c r="AM86" s="636"/>
      <c r="AN86" s="636"/>
      <c r="AO86" s="637">
        <f>AS34+AS51+AS83</f>
        <v>394.33333333333337</v>
      </c>
      <c r="AP86" s="637"/>
      <c r="AQ86" s="637"/>
      <c r="AR86" s="637"/>
      <c r="AS86" s="637"/>
      <c r="AT86" s="637"/>
      <c r="AU86" s="637"/>
      <c r="AV86" s="637">
        <f>AX34+AX51+AX83</f>
        <v>5520.666666666667</v>
      </c>
      <c r="AW86" s="637"/>
      <c r="AX86" s="637"/>
      <c r="AY86" s="637"/>
      <c r="AZ86" s="637"/>
      <c r="BA86" s="637"/>
      <c r="BB86" s="638"/>
    </row>
    <row r="87" spans="1:54" ht="12" customHeight="1" thickBot="1" x14ac:dyDescent="0.25">
      <c r="M87" s="163"/>
      <c r="O87" s="643" t="s">
        <v>34</v>
      </c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4"/>
      <c r="AI87" s="644"/>
      <c r="AJ87" s="644"/>
      <c r="AK87" s="644"/>
      <c r="AL87" s="644"/>
      <c r="AM87" s="644"/>
      <c r="AN87" s="644"/>
      <c r="AO87" s="645">
        <f>AS35+AS52+AS84</f>
        <v>119.08866666666668</v>
      </c>
      <c r="AP87" s="645"/>
      <c r="AQ87" s="645"/>
      <c r="AR87" s="645"/>
      <c r="AS87" s="645"/>
      <c r="AT87" s="645"/>
      <c r="AU87" s="645"/>
      <c r="AV87" s="645">
        <f>AX35+AX52+AX84</f>
        <v>1667.2413333333334</v>
      </c>
      <c r="AW87" s="645"/>
      <c r="AX87" s="645"/>
      <c r="AY87" s="645"/>
      <c r="AZ87" s="645"/>
      <c r="BA87" s="645"/>
      <c r="BB87" s="646"/>
    </row>
    <row r="88" spans="1:54" ht="12" customHeight="1" thickBot="1" x14ac:dyDescent="0.25">
      <c r="M88" s="208" t="s">
        <v>35</v>
      </c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10"/>
      <c r="AO88" s="647">
        <f>AO87+AO86</f>
        <v>513.42200000000003</v>
      </c>
      <c r="AP88" s="648"/>
      <c r="AQ88" s="648"/>
      <c r="AR88" s="648"/>
      <c r="AS88" s="648"/>
      <c r="AT88" s="648"/>
      <c r="AU88" s="648"/>
      <c r="AV88" s="648">
        <f>AV86+AV87</f>
        <v>7187.9080000000004</v>
      </c>
      <c r="AW88" s="648"/>
      <c r="AX88" s="648"/>
      <c r="AY88" s="648"/>
      <c r="AZ88" s="648"/>
      <c r="BA88" s="648"/>
      <c r="BB88" s="649"/>
    </row>
    <row r="89" spans="1:54" ht="10.5" customHeight="1" x14ac:dyDescent="0.2"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</row>
    <row r="90" spans="1:54" s="159" customFormat="1" ht="15" customHeight="1" x14ac:dyDescent="0.2">
      <c r="A90" s="159" t="s">
        <v>36</v>
      </c>
      <c r="C90" s="159" t="s">
        <v>37</v>
      </c>
      <c r="AX90" s="160"/>
      <c r="AY90" s="160"/>
      <c r="AZ90" s="160"/>
      <c r="BA90" s="160"/>
      <c r="BB90" s="160"/>
    </row>
    <row r="91" spans="1:54" ht="12" customHeight="1" thickBot="1" x14ac:dyDescent="0.25"/>
    <row r="92" spans="1:54" s="163" customFormat="1" ht="39" customHeight="1" x14ac:dyDescent="0.2">
      <c r="A92" s="499" t="s">
        <v>38</v>
      </c>
      <c r="B92" s="500"/>
      <c r="C92" s="500"/>
      <c r="D92" s="500"/>
      <c r="E92" s="500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35" t="s">
        <v>39</v>
      </c>
      <c r="R92" s="535"/>
      <c r="S92" s="535"/>
      <c r="T92" s="535"/>
      <c r="U92" s="535"/>
      <c r="V92" s="535"/>
      <c r="W92" s="535"/>
      <c r="X92" s="535" t="s">
        <v>40</v>
      </c>
      <c r="Y92" s="535"/>
      <c r="Z92" s="535"/>
      <c r="AA92" s="535"/>
      <c r="AB92" s="535"/>
      <c r="AC92" s="535"/>
      <c r="AD92" s="535"/>
      <c r="AE92" s="535" t="s">
        <v>41</v>
      </c>
      <c r="AF92" s="535"/>
      <c r="AG92" s="535"/>
      <c r="AH92" s="535"/>
      <c r="AI92" s="535"/>
      <c r="AJ92" s="535"/>
      <c r="AK92" s="535"/>
      <c r="AL92" s="535"/>
      <c r="AM92" s="500" t="s">
        <v>42</v>
      </c>
      <c r="AN92" s="500"/>
      <c r="AO92" s="500"/>
      <c r="AP92" s="500"/>
      <c r="AQ92" s="500"/>
      <c r="AR92" s="500"/>
      <c r="AS92" s="500"/>
      <c r="AT92" s="500"/>
      <c r="AU92" s="500"/>
      <c r="AV92" s="500" t="s">
        <v>43</v>
      </c>
      <c r="AW92" s="500"/>
      <c r="AX92" s="500"/>
      <c r="AY92" s="500"/>
      <c r="AZ92" s="500"/>
      <c r="BA92" s="500"/>
      <c r="BB92" s="639"/>
    </row>
    <row r="93" spans="1:54" s="163" customFormat="1" ht="12" customHeight="1" thickBot="1" x14ac:dyDescent="0.25">
      <c r="A93" s="640">
        <v>1</v>
      </c>
      <c r="B93" s="641"/>
      <c r="C93" s="641"/>
      <c r="D93" s="641"/>
      <c r="E93" s="641"/>
      <c r="F93" s="641"/>
      <c r="G93" s="641"/>
      <c r="H93" s="641"/>
      <c r="I93" s="641"/>
      <c r="J93" s="641"/>
      <c r="K93" s="641"/>
      <c r="L93" s="641"/>
      <c r="M93" s="641"/>
      <c r="N93" s="641"/>
      <c r="O93" s="641"/>
      <c r="P93" s="641"/>
      <c r="Q93" s="641">
        <v>2</v>
      </c>
      <c r="R93" s="641"/>
      <c r="S93" s="641"/>
      <c r="T93" s="641"/>
      <c r="U93" s="641"/>
      <c r="V93" s="641"/>
      <c r="W93" s="641"/>
      <c r="X93" s="641">
        <v>3</v>
      </c>
      <c r="Y93" s="641"/>
      <c r="Z93" s="641"/>
      <c r="AA93" s="641"/>
      <c r="AB93" s="641"/>
      <c r="AC93" s="641"/>
      <c r="AD93" s="641"/>
      <c r="AE93" s="641">
        <v>4</v>
      </c>
      <c r="AF93" s="641"/>
      <c r="AG93" s="641"/>
      <c r="AH93" s="641"/>
      <c r="AI93" s="641"/>
      <c r="AJ93" s="641"/>
      <c r="AK93" s="641"/>
      <c r="AL93" s="641"/>
      <c r="AM93" s="641">
        <v>5</v>
      </c>
      <c r="AN93" s="641"/>
      <c r="AO93" s="641"/>
      <c r="AP93" s="641"/>
      <c r="AQ93" s="641"/>
      <c r="AR93" s="641"/>
      <c r="AS93" s="641"/>
      <c r="AT93" s="641"/>
      <c r="AU93" s="641"/>
      <c r="AV93" s="641">
        <v>6</v>
      </c>
      <c r="AW93" s="641"/>
      <c r="AX93" s="641"/>
      <c r="AY93" s="641"/>
      <c r="AZ93" s="641"/>
      <c r="BA93" s="641"/>
      <c r="BB93" s="642"/>
    </row>
    <row r="94" spans="1:54" ht="15" customHeight="1" x14ac:dyDescent="0.2">
      <c r="A94" s="618" t="s">
        <v>44</v>
      </c>
      <c r="B94" s="619"/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9"/>
      <c r="Q94" s="572">
        <v>5014.7</v>
      </c>
      <c r="R94" s="573"/>
      <c r="S94" s="573"/>
      <c r="T94" s="573"/>
      <c r="U94" s="573"/>
      <c r="V94" s="573"/>
      <c r="W94" s="574"/>
      <c r="X94" s="572">
        <v>53.8</v>
      </c>
      <c r="Y94" s="573"/>
      <c r="Z94" s="573"/>
      <c r="AA94" s="573"/>
      <c r="AB94" s="573"/>
      <c r="AC94" s="573"/>
      <c r="AD94" s="574"/>
      <c r="AE94" s="477">
        <v>1543273.99</v>
      </c>
      <c r="AF94" s="477"/>
      <c r="AG94" s="477"/>
      <c r="AH94" s="477"/>
      <c r="AI94" s="477"/>
      <c r="AJ94" s="477"/>
      <c r="AK94" s="477"/>
      <c r="AL94" s="477"/>
      <c r="AM94" s="620" t="s">
        <v>45</v>
      </c>
      <c r="AN94" s="621"/>
      <c r="AO94" s="621"/>
      <c r="AP94" s="621"/>
      <c r="AQ94" s="621"/>
      <c r="AR94" s="621"/>
      <c r="AS94" s="621"/>
      <c r="AT94" s="621"/>
      <c r="AU94" s="622"/>
      <c r="AV94" s="615">
        <f>AE94/$Q$94*$X$94/($AN$95*$AN$96)</f>
        <v>5.5860157548413607</v>
      </c>
      <c r="AW94" s="615"/>
      <c r="AX94" s="615"/>
      <c r="AY94" s="615"/>
      <c r="AZ94" s="615"/>
      <c r="BA94" s="615"/>
      <c r="BB94" s="616"/>
    </row>
    <row r="95" spans="1:54" ht="15" customHeight="1" x14ac:dyDescent="0.2">
      <c r="A95" s="618" t="s">
        <v>46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/>
      <c r="R95" s="573"/>
      <c r="S95" s="573"/>
      <c r="T95" s="573"/>
      <c r="U95" s="573"/>
      <c r="V95" s="573"/>
      <c r="W95" s="574"/>
      <c r="X95" s="572"/>
      <c r="Y95" s="573"/>
      <c r="Z95" s="573"/>
      <c r="AA95" s="573"/>
      <c r="AB95" s="573"/>
      <c r="AC95" s="573"/>
      <c r="AD95" s="574"/>
      <c r="AE95" s="529">
        <v>2640483.81</v>
      </c>
      <c r="AF95" s="529"/>
      <c r="AG95" s="529"/>
      <c r="AH95" s="529"/>
      <c r="AI95" s="529"/>
      <c r="AJ95" s="529"/>
      <c r="AK95" s="529"/>
      <c r="AL95" s="529"/>
      <c r="AM95" s="213"/>
      <c r="AN95" s="623">
        <v>247</v>
      </c>
      <c r="AO95" s="623"/>
      <c r="AP95" s="623"/>
      <c r="AQ95" s="617" t="s">
        <v>47</v>
      </c>
      <c r="AR95" s="617"/>
      <c r="AS95" s="617"/>
      <c r="AT95" s="617"/>
      <c r="AU95" s="214"/>
      <c r="AV95" s="615">
        <f>AE95/$Q$94*$X$94/($AN$95*$AN$96)</f>
        <v>9.5574630678921384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449" t="s">
        <v>48</v>
      </c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  <c r="M96" s="450"/>
      <c r="N96" s="450"/>
      <c r="O96" s="450"/>
      <c r="P96" s="451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529">
        <v>4214618.8899999997</v>
      </c>
      <c r="AF96" s="529"/>
      <c r="AG96" s="529"/>
      <c r="AH96" s="529"/>
      <c r="AI96" s="529"/>
      <c r="AJ96" s="529"/>
      <c r="AK96" s="529"/>
      <c r="AL96" s="529"/>
      <c r="AM96" s="213"/>
      <c r="AN96" s="562">
        <v>12</v>
      </c>
      <c r="AO96" s="562"/>
      <c r="AP96" s="562"/>
      <c r="AQ96" s="617" t="s">
        <v>49</v>
      </c>
      <c r="AR96" s="617"/>
      <c r="AS96" s="617"/>
      <c r="AT96" s="617"/>
      <c r="AU96" s="214"/>
      <c r="AV96" s="615">
        <f>AE96/$Q$94*$X$94/($AN$95*$AN$96)</f>
        <v>15.255183248563661</v>
      </c>
      <c r="AW96" s="615"/>
      <c r="AX96" s="615"/>
      <c r="AY96" s="615"/>
      <c r="AZ96" s="615"/>
      <c r="BA96" s="615"/>
      <c r="BB96" s="616"/>
    </row>
    <row r="97" spans="1:57" ht="15" customHeight="1" thickBot="1" x14ac:dyDescent="0.25">
      <c r="A97" s="624" t="s">
        <v>50</v>
      </c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6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627">
        <v>1852856.09</v>
      </c>
      <c r="AF97" s="627"/>
      <c r="AG97" s="627"/>
      <c r="AH97" s="627"/>
      <c r="AI97" s="627"/>
      <c r="AJ97" s="627"/>
      <c r="AK97" s="627"/>
      <c r="AL97" s="627"/>
      <c r="AM97" s="213"/>
      <c r="AN97" s="186"/>
      <c r="AO97" s="186"/>
      <c r="AP97" s="186"/>
      <c r="AQ97" s="186"/>
      <c r="AR97" s="186"/>
      <c r="AS97" s="186"/>
      <c r="AT97" s="186"/>
      <c r="AU97" s="214"/>
      <c r="AV97" s="628">
        <f>AE97/$Q$94*$X$94/($AN$95*$AN$96)</f>
        <v>6.7065753568449384</v>
      </c>
      <c r="AW97" s="628"/>
      <c r="AX97" s="628"/>
      <c r="AY97" s="628"/>
      <c r="AZ97" s="628"/>
      <c r="BA97" s="628"/>
      <c r="BB97" s="629"/>
    </row>
    <row r="98" spans="1:57" s="161" customFormat="1" ht="15" customHeight="1" thickBot="1" x14ac:dyDescent="0.25">
      <c r="A98" s="610" t="s">
        <v>51</v>
      </c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531">
        <f>Q94</f>
        <v>5014.7</v>
      </c>
      <c r="R98" s="533"/>
      <c r="S98" s="533"/>
      <c r="T98" s="533"/>
      <c r="U98" s="533"/>
      <c r="V98" s="533"/>
      <c r="W98" s="534"/>
      <c r="X98" s="531">
        <f>X94</f>
        <v>53.8</v>
      </c>
      <c r="Y98" s="533"/>
      <c r="Z98" s="533"/>
      <c r="AA98" s="533"/>
      <c r="AB98" s="533"/>
      <c r="AC98" s="533"/>
      <c r="AD98" s="534"/>
      <c r="AE98" s="612">
        <f>SUM(AE94:AL97)</f>
        <v>10251232.779999999</v>
      </c>
      <c r="AF98" s="612"/>
      <c r="AG98" s="612"/>
      <c r="AH98" s="612"/>
      <c r="AI98" s="612"/>
      <c r="AJ98" s="612"/>
      <c r="AK98" s="612"/>
      <c r="AL98" s="612"/>
      <c r="AM98" s="531" t="s">
        <v>17</v>
      </c>
      <c r="AN98" s="533"/>
      <c r="AO98" s="533"/>
      <c r="AP98" s="533"/>
      <c r="AQ98" s="533"/>
      <c r="AR98" s="533"/>
      <c r="AS98" s="533"/>
      <c r="AT98" s="533"/>
      <c r="AU98" s="534"/>
      <c r="AV98" s="613">
        <f>SUM(AV94:BB97)</f>
        <v>37.105237428142097</v>
      </c>
      <c r="AW98" s="613"/>
      <c r="AX98" s="613"/>
      <c r="AY98" s="613"/>
      <c r="AZ98" s="613"/>
      <c r="BA98" s="613"/>
      <c r="BB98" s="614"/>
    </row>
    <row r="99" spans="1:57" ht="12" customHeight="1" x14ac:dyDescent="0.2"/>
    <row r="100" spans="1:57" s="159" customFormat="1" ht="15" customHeight="1" x14ac:dyDescent="0.2">
      <c r="A100" s="159" t="s">
        <v>52</v>
      </c>
      <c r="C100" s="159" t="s">
        <v>53</v>
      </c>
      <c r="AX100" s="160"/>
      <c r="AY100" s="160"/>
      <c r="AZ100" s="160"/>
      <c r="BA100" s="160"/>
      <c r="BB100" s="160"/>
    </row>
    <row r="101" spans="1:57" ht="12" customHeight="1" thickBot="1" x14ac:dyDescent="0.25"/>
    <row r="102" spans="1:57" ht="39" customHeight="1" x14ac:dyDescent="0.2">
      <c r="A102" s="585" t="s">
        <v>54</v>
      </c>
      <c r="B102" s="586"/>
      <c r="C102" s="586"/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7"/>
      <c r="AA102" s="536" t="s">
        <v>55</v>
      </c>
      <c r="AB102" s="537"/>
      <c r="AC102" s="537"/>
      <c r="AD102" s="537"/>
      <c r="AE102" s="537"/>
      <c r="AF102" s="538"/>
      <c r="AG102" s="536" t="s">
        <v>56</v>
      </c>
      <c r="AH102" s="537"/>
      <c r="AI102" s="537"/>
      <c r="AJ102" s="537"/>
      <c r="AK102" s="537"/>
      <c r="AL102" s="538"/>
      <c r="AM102" s="588" t="s">
        <v>57</v>
      </c>
      <c r="AN102" s="586"/>
      <c r="AO102" s="586"/>
      <c r="AP102" s="586"/>
      <c r="AQ102" s="586"/>
      <c r="AR102" s="586"/>
      <c r="AS102" s="586"/>
      <c r="AT102" s="587"/>
      <c r="AU102" s="588" t="s">
        <v>43</v>
      </c>
      <c r="AV102" s="586"/>
      <c r="AW102" s="586"/>
      <c r="AX102" s="586"/>
      <c r="AY102" s="586"/>
      <c r="AZ102" s="586"/>
      <c r="BA102" s="586"/>
      <c r="BB102" s="589"/>
    </row>
    <row r="103" spans="1:57" ht="15.75" customHeight="1" thickBot="1" x14ac:dyDescent="0.25">
      <c r="A103" s="564">
        <v>1</v>
      </c>
      <c r="B103" s="475"/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5"/>
      <c r="O103" s="475"/>
      <c r="P103" s="475"/>
      <c r="Q103" s="475"/>
      <c r="R103" s="475"/>
      <c r="S103" s="475"/>
      <c r="T103" s="475"/>
      <c r="U103" s="475"/>
      <c r="V103" s="475"/>
      <c r="W103" s="475"/>
      <c r="X103" s="475"/>
      <c r="Y103" s="475"/>
      <c r="Z103" s="476"/>
      <c r="AA103" s="474">
        <v>2</v>
      </c>
      <c r="AB103" s="475"/>
      <c r="AC103" s="475"/>
      <c r="AD103" s="475"/>
      <c r="AE103" s="475"/>
      <c r="AF103" s="476"/>
      <c r="AG103" s="474">
        <v>3</v>
      </c>
      <c r="AH103" s="475"/>
      <c r="AI103" s="475"/>
      <c r="AJ103" s="475"/>
      <c r="AK103" s="475"/>
      <c r="AL103" s="476"/>
      <c r="AM103" s="474">
        <v>4</v>
      </c>
      <c r="AN103" s="475"/>
      <c r="AO103" s="475"/>
      <c r="AP103" s="475"/>
      <c r="AQ103" s="475"/>
      <c r="AR103" s="475"/>
      <c r="AS103" s="475"/>
      <c r="AT103" s="476"/>
      <c r="AU103" s="474">
        <v>5</v>
      </c>
      <c r="AV103" s="475"/>
      <c r="AW103" s="475"/>
      <c r="AX103" s="475"/>
      <c r="AY103" s="475"/>
      <c r="AZ103" s="475"/>
      <c r="BA103" s="475"/>
      <c r="BB103" s="565"/>
    </row>
    <row r="104" spans="1:57" ht="1.5" hidden="1" customHeight="1" x14ac:dyDescent="0.2">
      <c r="A104" s="566" t="s">
        <v>77</v>
      </c>
      <c r="B104" s="567"/>
      <c r="C104" s="567"/>
      <c r="D104" s="567"/>
      <c r="E104" s="567"/>
      <c r="F104" s="567"/>
      <c r="G104" s="567"/>
      <c r="H104" s="567"/>
      <c r="I104" s="567"/>
      <c r="J104" s="567"/>
      <c r="K104" s="567"/>
      <c r="L104" s="567"/>
      <c r="M104" s="567"/>
      <c r="N104" s="567"/>
      <c r="O104" s="567"/>
      <c r="P104" s="567"/>
      <c r="Q104" s="567"/>
      <c r="R104" s="567"/>
      <c r="S104" s="567"/>
      <c r="T104" s="567"/>
      <c r="U104" s="567"/>
      <c r="V104" s="567"/>
      <c r="W104" s="567"/>
      <c r="X104" s="567"/>
      <c r="Y104" s="567"/>
      <c r="Z104" s="568"/>
      <c r="AA104" s="604"/>
      <c r="AB104" s="605"/>
      <c r="AC104" s="605"/>
      <c r="AD104" s="605"/>
      <c r="AE104" s="605"/>
      <c r="AF104" s="606"/>
      <c r="AG104" s="569">
        <f>U12</f>
        <v>14</v>
      </c>
      <c r="AH104" s="570"/>
      <c r="AI104" s="570"/>
      <c r="AJ104" s="570"/>
      <c r="AK104" s="570"/>
      <c r="AL104" s="571"/>
      <c r="AM104" s="569" t="s">
        <v>58</v>
      </c>
      <c r="AN104" s="570"/>
      <c r="AO104" s="570"/>
      <c r="AP104" s="570"/>
      <c r="AQ104" s="570"/>
      <c r="AR104" s="570"/>
      <c r="AS104" s="570"/>
      <c r="AT104" s="571"/>
      <c r="AU104" s="607">
        <f>AA104/AG104</f>
        <v>0</v>
      </c>
      <c r="AV104" s="608"/>
      <c r="AW104" s="608"/>
      <c r="AX104" s="608"/>
      <c r="AY104" s="608"/>
      <c r="AZ104" s="608"/>
      <c r="BA104" s="608"/>
      <c r="BB104" s="609"/>
    </row>
    <row r="105" spans="1:57" ht="20.25" customHeight="1" x14ac:dyDescent="0.2">
      <c r="A105" s="853" t="s">
        <v>90</v>
      </c>
      <c r="B105" s="854"/>
      <c r="C105" s="854"/>
      <c r="D105" s="854"/>
      <c r="E105" s="854"/>
      <c r="F105" s="854"/>
      <c r="G105" s="854"/>
      <c r="H105" s="854"/>
      <c r="I105" s="854"/>
      <c r="J105" s="854"/>
      <c r="K105" s="854"/>
      <c r="L105" s="854"/>
      <c r="M105" s="854"/>
      <c r="N105" s="854"/>
      <c r="O105" s="854"/>
      <c r="P105" s="854"/>
      <c r="Q105" s="854"/>
      <c r="R105" s="854"/>
      <c r="S105" s="854"/>
      <c r="T105" s="854"/>
      <c r="U105" s="854"/>
      <c r="V105" s="854"/>
      <c r="W105" s="854"/>
      <c r="X105" s="854"/>
      <c r="Y105" s="854"/>
      <c r="Z105" s="855"/>
      <c r="AA105" s="596">
        <v>300</v>
      </c>
      <c r="AB105" s="597"/>
      <c r="AC105" s="597"/>
      <c r="AD105" s="597"/>
      <c r="AE105" s="597"/>
      <c r="AF105" s="59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590">
        <f>AA105/AG104</f>
        <v>21.428571428571427</v>
      </c>
      <c r="AV105" s="591"/>
      <c r="AW105" s="591"/>
      <c r="AX105" s="591"/>
      <c r="AY105" s="591"/>
      <c r="AZ105" s="591"/>
      <c r="BA105" s="591"/>
      <c r="BB105" s="592"/>
    </row>
    <row r="106" spans="1:57" ht="20.25" customHeight="1" x14ac:dyDescent="0.2">
      <c r="A106" s="853" t="s">
        <v>525</v>
      </c>
      <c r="B106" s="854"/>
      <c r="C106" s="854"/>
      <c r="D106" s="854"/>
      <c r="E106" s="854"/>
      <c r="F106" s="854"/>
      <c r="G106" s="854"/>
      <c r="H106" s="854"/>
      <c r="I106" s="854"/>
      <c r="J106" s="854"/>
      <c r="K106" s="854"/>
      <c r="L106" s="854"/>
      <c r="M106" s="854"/>
      <c r="N106" s="854"/>
      <c r="O106" s="854"/>
      <c r="P106" s="854"/>
      <c r="Q106" s="854"/>
      <c r="R106" s="854"/>
      <c r="S106" s="854"/>
      <c r="T106" s="854"/>
      <c r="U106" s="854"/>
      <c r="V106" s="854"/>
      <c r="W106" s="854"/>
      <c r="X106" s="854"/>
      <c r="Y106" s="854"/>
      <c r="Z106" s="855"/>
      <c r="AA106" s="596">
        <v>1000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AA106/AG104</f>
        <v>71.428571428571431</v>
      </c>
      <c r="AV106" s="591"/>
      <c r="AW106" s="591"/>
      <c r="AX106" s="591"/>
      <c r="AY106" s="591"/>
      <c r="AZ106" s="591"/>
      <c r="BA106" s="591"/>
      <c r="BB106" s="592"/>
      <c r="BE106" s="117">
        <f>AU106*12*4</f>
        <v>3428.5714285714284</v>
      </c>
    </row>
    <row r="107" spans="1:57" ht="22.5" customHeight="1" x14ac:dyDescent="0.2">
      <c r="A107" s="853" t="s">
        <v>523</v>
      </c>
      <c r="B107" s="854"/>
      <c r="C107" s="854"/>
      <c r="D107" s="854"/>
      <c r="E107" s="854"/>
      <c r="F107" s="854"/>
      <c r="G107" s="854"/>
      <c r="H107" s="854"/>
      <c r="I107" s="854"/>
      <c r="J107" s="854"/>
      <c r="K107" s="854"/>
      <c r="L107" s="854"/>
      <c r="M107" s="854"/>
      <c r="N107" s="854"/>
      <c r="O107" s="854"/>
      <c r="P107" s="854"/>
      <c r="Q107" s="854"/>
      <c r="R107" s="854"/>
      <c r="S107" s="854"/>
      <c r="T107" s="854"/>
      <c r="U107" s="854"/>
      <c r="V107" s="854"/>
      <c r="W107" s="854"/>
      <c r="X107" s="854"/>
      <c r="Y107" s="854"/>
      <c r="Z107" s="855"/>
      <c r="AA107" s="596">
        <v>700</v>
      </c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AA107/AG104</f>
        <v>50</v>
      </c>
      <c r="AV107" s="591"/>
      <c r="AW107" s="591"/>
      <c r="AX107" s="591"/>
      <c r="AY107" s="591"/>
      <c r="AZ107" s="591"/>
      <c r="BA107" s="591"/>
      <c r="BB107" s="592"/>
    </row>
    <row r="108" spans="1:57" ht="26.25" customHeight="1" x14ac:dyDescent="0.2">
      <c r="A108" s="833" t="s">
        <v>220</v>
      </c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3"/>
      <c r="AA108" s="596">
        <v>82.3</v>
      </c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>
        <f>AA108/AG104</f>
        <v>5.8785714285714281</v>
      </c>
      <c r="AV108" s="591"/>
      <c r="AW108" s="591"/>
      <c r="AX108" s="591"/>
      <c r="AY108" s="591"/>
      <c r="AZ108" s="591"/>
      <c r="BA108" s="591"/>
      <c r="BB108" s="592"/>
    </row>
    <row r="109" spans="1:57" ht="19.5" customHeight="1" x14ac:dyDescent="0.2">
      <c r="A109" s="853" t="s">
        <v>96</v>
      </c>
      <c r="B109" s="854"/>
      <c r="C109" s="854"/>
      <c r="D109" s="854"/>
      <c r="E109" s="854"/>
      <c r="F109" s="854"/>
      <c r="G109" s="854"/>
      <c r="H109" s="854"/>
      <c r="I109" s="854"/>
      <c r="J109" s="854"/>
      <c r="K109" s="854"/>
      <c r="L109" s="854"/>
      <c r="M109" s="854"/>
      <c r="N109" s="854"/>
      <c r="O109" s="854"/>
      <c r="P109" s="854"/>
      <c r="Q109" s="854"/>
      <c r="R109" s="854"/>
      <c r="S109" s="854"/>
      <c r="T109" s="854"/>
      <c r="U109" s="854"/>
      <c r="V109" s="854"/>
      <c r="W109" s="854"/>
      <c r="X109" s="854"/>
      <c r="Y109" s="854"/>
      <c r="Z109" s="855"/>
      <c r="AA109" s="596">
        <v>30</v>
      </c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590">
        <f>AA109/AG104</f>
        <v>2.1428571428571428</v>
      </c>
      <c r="AV109" s="591"/>
      <c r="AW109" s="591"/>
      <c r="AX109" s="591"/>
      <c r="AY109" s="591"/>
      <c r="AZ109" s="591"/>
      <c r="BA109" s="591"/>
      <c r="BB109" s="592"/>
    </row>
    <row r="110" spans="1:57" ht="19.5" hidden="1" customHeight="1" x14ac:dyDescent="0.2">
      <c r="A110" s="593"/>
      <c r="B110" s="594"/>
      <c r="C110" s="594"/>
      <c r="D110" s="594"/>
      <c r="E110" s="594"/>
      <c r="F110" s="594"/>
      <c r="G110" s="594"/>
      <c r="H110" s="594"/>
      <c r="I110" s="594"/>
      <c r="J110" s="594"/>
      <c r="K110" s="594"/>
      <c r="L110" s="594"/>
      <c r="M110" s="594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4"/>
      <c r="Z110" s="595"/>
      <c r="AA110" s="596"/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590">
        <f>AA110/AG104</f>
        <v>0</v>
      </c>
      <c r="AV110" s="591"/>
      <c r="AW110" s="591"/>
      <c r="AX110" s="591"/>
      <c r="AY110" s="591"/>
      <c r="AZ110" s="591"/>
      <c r="BA110" s="591"/>
      <c r="BB110" s="592"/>
    </row>
    <row r="111" spans="1:57" ht="20.25" hidden="1" customHeight="1" x14ac:dyDescent="0.2">
      <c r="A111" s="593"/>
      <c r="B111" s="594"/>
      <c r="C111" s="594"/>
      <c r="D111" s="594"/>
      <c r="E111" s="594"/>
      <c r="F111" s="594"/>
      <c r="G111" s="594"/>
      <c r="H111" s="594"/>
      <c r="I111" s="594"/>
      <c r="J111" s="594"/>
      <c r="K111" s="594"/>
      <c r="L111" s="594"/>
      <c r="M111" s="594"/>
      <c r="N111" s="594"/>
      <c r="O111" s="594"/>
      <c r="P111" s="594"/>
      <c r="Q111" s="594"/>
      <c r="R111" s="594"/>
      <c r="S111" s="594"/>
      <c r="T111" s="594"/>
      <c r="U111" s="594"/>
      <c r="V111" s="594"/>
      <c r="W111" s="594"/>
      <c r="X111" s="594"/>
      <c r="Y111" s="594"/>
      <c r="Z111" s="595"/>
      <c r="AA111" s="596"/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AA111/AG104</f>
        <v>0</v>
      </c>
      <c r="AV111" s="591"/>
      <c r="AW111" s="591"/>
      <c r="AX111" s="591"/>
      <c r="AY111" s="591"/>
      <c r="AZ111" s="591"/>
      <c r="BA111" s="591"/>
      <c r="BB111" s="592"/>
    </row>
    <row r="112" spans="1:57" ht="16.5" hidden="1" customHeight="1" x14ac:dyDescent="0.2">
      <c r="A112" s="593"/>
      <c r="B112" s="594"/>
      <c r="C112" s="594"/>
      <c r="D112" s="594"/>
      <c r="E112" s="594"/>
      <c r="F112" s="594"/>
      <c r="G112" s="594"/>
      <c r="H112" s="594"/>
      <c r="I112" s="594"/>
      <c r="J112" s="594"/>
      <c r="K112" s="594"/>
      <c r="L112" s="594"/>
      <c r="M112" s="594"/>
      <c r="N112" s="594"/>
      <c r="O112" s="594"/>
      <c r="P112" s="594"/>
      <c r="Q112" s="594"/>
      <c r="R112" s="594"/>
      <c r="S112" s="594"/>
      <c r="T112" s="594"/>
      <c r="U112" s="594"/>
      <c r="V112" s="594"/>
      <c r="W112" s="594"/>
      <c r="X112" s="594"/>
      <c r="Y112" s="594"/>
      <c r="Z112" s="595"/>
      <c r="AA112" s="596"/>
      <c r="AB112" s="597"/>
      <c r="AC112" s="597"/>
      <c r="AD112" s="597"/>
      <c r="AE112" s="597"/>
      <c r="AF112" s="598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AA112/AG104</f>
        <v>0</v>
      </c>
      <c r="AV112" s="591"/>
      <c r="AW112" s="591"/>
      <c r="AX112" s="591"/>
      <c r="AY112" s="591"/>
      <c r="AZ112" s="591"/>
      <c r="BA112" s="591"/>
      <c r="BB112" s="592"/>
    </row>
    <row r="113" spans="1:54" s="161" customFormat="1" ht="19.5" hidden="1" customHeight="1" x14ac:dyDescent="0.2">
      <c r="A113" s="593"/>
      <c r="B113" s="594"/>
      <c r="C113" s="594"/>
      <c r="D113" s="594"/>
      <c r="E113" s="594"/>
      <c r="F113" s="594"/>
      <c r="G113" s="594"/>
      <c r="H113" s="594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4"/>
      <c r="Z113" s="595"/>
      <c r="AA113" s="596"/>
      <c r="AB113" s="597"/>
      <c r="AC113" s="597"/>
      <c r="AD113" s="597"/>
      <c r="AE113" s="597"/>
      <c r="AF113" s="598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AA113/AG104</f>
        <v>0</v>
      </c>
      <c r="AV113" s="591"/>
      <c r="AW113" s="591"/>
      <c r="AX113" s="591"/>
      <c r="AY113" s="591"/>
      <c r="AZ113" s="591"/>
      <c r="BA113" s="591"/>
      <c r="BB113" s="592"/>
    </row>
    <row r="114" spans="1:54" ht="1.5" hidden="1" customHeight="1" x14ac:dyDescent="0.2">
      <c r="A114" s="593"/>
      <c r="B114" s="594"/>
      <c r="C114" s="594"/>
      <c r="D114" s="594"/>
      <c r="E114" s="594"/>
      <c r="F114" s="594"/>
      <c r="G114" s="594"/>
      <c r="H114" s="594"/>
      <c r="I114" s="594"/>
      <c r="J114" s="594"/>
      <c r="K114" s="594"/>
      <c r="L114" s="594"/>
      <c r="M114" s="594"/>
      <c r="N114" s="594"/>
      <c r="O114" s="594"/>
      <c r="P114" s="594"/>
      <c r="Q114" s="594"/>
      <c r="R114" s="594"/>
      <c r="S114" s="594"/>
      <c r="T114" s="594"/>
      <c r="U114" s="594"/>
      <c r="V114" s="594"/>
      <c r="W114" s="594"/>
      <c r="X114" s="594"/>
      <c r="Y114" s="594"/>
      <c r="Z114" s="595"/>
      <c r="AA114" s="596"/>
      <c r="AB114" s="597"/>
      <c r="AC114" s="597"/>
      <c r="AD114" s="597"/>
      <c r="AE114" s="597"/>
      <c r="AF114" s="598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AA114/AG104</f>
        <v>0</v>
      </c>
      <c r="AV114" s="591"/>
      <c r="AW114" s="591"/>
      <c r="AX114" s="591"/>
      <c r="AY114" s="591"/>
      <c r="AZ114" s="591"/>
      <c r="BA114" s="591"/>
      <c r="BB114" s="592"/>
    </row>
    <row r="115" spans="1:54" s="159" customFormat="1" ht="17.25" hidden="1" customHeight="1" x14ac:dyDescent="0.2">
      <c r="A115" s="593"/>
      <c r="B115" s="594"/>
      <c r="C115" s="594"/>
      <c r="D115" s="594"/>
      <c r="E115" s="594"/>
      <c r="F115" s="594"/>
      <c r="G115" s="594"/>
      <c r="H115" s="594"/>
      <c r="I115" s="594"/>
      <c r="J115" s="594"/>
      <c r="K115" s="594"/>
      <c r="L115" s="594"/>
      <c r="M115" s="594"/>
      <c r="N115" s="594"/>
      <c r="O115" s="594"/>
      <c r="P115" s="594"/>
      <c r="Q115" s="594"/>
      <c r="R115" s="594"/>
      <c r="S115" s="594"/>
      <c r="T115" s="594"/>
      <c r="U115" s="594"/>
      <c r="V115" s="594"/>
      <c r="W115" s="594"/>
      <c r="X115" s="594"/>
      <c r="Y115" s="594"/>
      <c r="Z115" s="595"/>
      <c r="AA115" s="596"/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AA115/AG104</f>
        <v>0</v>
      </c>
      <c r="AV115" s="591"/>
      <c r="AW115" s="591"/>
      <c r="AX115" s="591"/>
      <c r="AY115" s="591"/>
      <c r="AZ115" s="591"/>
      <c r="BA115" s="591"/>
      <c r="BB115" s="592"/>
    </row>
    <row r="116" spans="1:54" ht="20.25" hidden="1" customHeight="1" x14ac:dyDescent="0.2">
      <c r="A116" s="593"/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5"/>
      <c r="AA116" s="596"/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AA116/AG104</f>
        <v>0</v>
      </c>
      <c r="AV116" s="591"/>
      <c r="AW116" s="591"/>
      <c r="AX116" s="591"/>
      <c r="AY116" s="591"/>
      <c r="AZ116" s="591"/>
      <c r="BA116" s="591"/>
      <c r="BB116" s="592"/>
    </row>
    <row r="117" spans="1:54" ht="18.75" hidden="1" customHeight="1" x14ac:dyDescent="0.2">
      <c r="A117" s="593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AA117/AG104</f>
        <v>0</v>
      </c>
      <c r="AV117" s="591"/>
      <c r="AW117" s="591"/>
      <c r="AX117" s="591"/>
      <c r="AY117" s="591"/>
      <c r="AZ117" s="591"/>
      <c r="BA117" s="591"/>
      <c r="BB117" s="592"/>
    </row>
    <row r="118" spans="1:54" ht="37.5" hidden="1" customHeight="1" x14ac:dyDescent="0.2">
      <c r="A118" s="593"/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596"/>
      <c r="AB118" s="597"/>
      <c r="AC118" s="597"/>
      <c r="AD118" s="597"/>
      <c r="AE118" s="597"/>
      <c r="AF118" s="59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AA118/AG104</f>
        <v>0</v>
      </c>
      <c r="AV118" s="591"/>
      <c r="AW118" s="591"/>
      <c r="AX118" s="591"/>
      <c r="AY118" s="591"/>
      <c r="AZ118" s="591"/>
      <c r="BA118" s="591"/>
      <c r="BB118" s="592"/>
    </row>
    <row r="119" spans="1:54" ht="28.5" hidden="1" customHeight="1" x14ac:dyDescent="0.2">
      <c r="A119" s="593"/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596"/>
      <c r="AB119" s="597"/>
      <c r="AC119" s="597"/>
      <c r="AD119" s="597"/>
      <c r="AE119" s="597"/>
      <c r="AF119" s="59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AA119/AG104</f>
        <v>0</v>
      </c>
      <c r="AV119" s="591"/>
      <c r="AW119" s="591"/>
      <c r="AX119" s="591"/>
      <c r="AY119" s="591"/>
      <c r="AZ119" s="591"/>
      <c r="BA119" s="591"/>
      <c r="BB119" s="592"/>
    </row>
    <row r="120" spans="1:54" ht="21" hidden="1" customHeight="1" x14ac:dyDescent="0.2">
      <c r="A120" s="593"/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5"/>
      <c r="AA120" s="596"/>
      <c r="AB120" s="597"/>
      <c r="AC120" s="597"/>
      <c r="AD120" s="597"/>
      <c r="AE120" s="597"/>
      <c r="AF120" s="598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90">
        <f>AA120/AG104</f>
        <v>0</v>
      </c>
      <c r="AV120" s="591"/>
      <c r="AW120" s="591"/>
      <c r="AX120" s="591"/>
      <c r="AY120" s="591"/>
      <c r="AZ120" s="591"/>
      <c r="BA120" s="591"/>
      <c r="BB120" s="592"/>
    </row>
    <row r="121" spans="1:54" ht="21" hidden="1" customHeight="1" x14ac:dyDescent="0.2">
      <c r="A121" s="599"/>
      <c r="B121" s="600"/>
      <c r="C121" s="600"/>
      <c r="D121" s="600"/>
      <c r="E121" s="600"/>
      <c r="F121" s="600"/>
      <c r="G121" s="600"/>
      <c r="H121" s="600"/>
      <c r="I121" s="600"/>
      <c r="J121" s="600"/>
      <c r="K121" s="600"/>
      <c r="L121" s="600"/>
      <c r="M121" s="600"/>
      <c r="N121" s="600"/>
      <c r="O121" s="600"/>
      <c r="P121" s="600"/>
      <c r="Q121" s="600"/>
      <c r="R121" s="600"/>
      <c r="S121" s="600"/>
      <c r="T121" s="600"/>
      <c r="U121" s="600"/>
      <c r="V121" s="600"/>
      <c r="W121" s="600"/>
      <c r="X121" s="600"/>
      <c r="Y121" s="600"/>
      <c r="Z121" s="600"/>
      <c r="AA121" s="601"/>
      <c r="AB121" s="601"/>
      <c r="AC121" s="601"/>
      <c r="AD121" s="601"/>
      <c r="AE121" s="601"/>
      <c r="AF121" s="601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602">
        <f>AA121/AG104</f>
        <v>0</v>
      </c>
      <c r="AV121" s="602"/>
      <c r="AW121" s="602"/>
      <c r="AX121" s="602"/>
      <c r="AY121" s="602"/>
      <c r="AZ121" s="602"/>
      <c r="BA121" s="602"/>
      <c r="BB121" s="603"/>
    </row>
    <row r="122" spans="1:54" ht="0.75" customHeight="1" thickBot="1" x14ac:dyDescent="0.25">
      <c r="A122" s="864"/>
      <c r="B122" s="865"/>
      <c r="C122" s="865"/>
      <c r="D122" s="865"/>
      <c r="E122" s="865"/>
      <c r="F122" s="865"/>
      <c r="G122" s="865"/>
      <c r="H122" s="865"/>
      <c r="I122" s="865"/>
      <c r="J122" s="865"/>
      <c r="K122" s="865"/>
      <c r="L122" s="865"/>
      <c r="M122" s="865"/>
      <c r="N122" s="865"/>
      <c r="O122" s="865"/>
      <c r="P122" s="865"/>
      <c r="Q122" s="865"/>
      <c r="R122" s="865"/>
      <c r="S122" s="865"/>
      <c r="T122" s="865"/>
      <c r="U122" s="865"/>
      <c r="V122" s="865"/>
      <c r="W122" s="865"/>
      <c r="X122" s="865"/>
      <c r="Y122" s="865"/>
      <c r="Z122" s="865"/>
      <c r="AA122" s="656"/>
      <c r="AB122" s="656"/>
      <c r="AC122" s="656"/>
      <c r="AD122" s="656"/>
      <c r="AE122" s="656"/>
      <c r="AF122" s="656"/>
      <c r="AG122" s="859"/>
      <c r="AH122" s="860"/>
      <c r="AI122" s="860"/>
      <c r="AJ122" s="860"/>
      <c r="AK122" s="860"/>
      <c r="AL122" s="861"/>
      <c r="AM122" s="859"/>
      <c r="AN122" s="860"/>
      <c r="AO122" s="860"/>
      <c r="AP122" s="860"/>
      <c r="AQ122" s="860"/>
      <c r="AR122" s="860"/>
      <c r="AS122" s="860"/>
      <c r="AT122" s="861"/>
      <c r="AU122" s="866">
        <f>AA122/AG104</f>
        <v>0</v>
      </c>
      <c r="AV122" s="866"/>
      <c r="AW122" s="866"/>
      <c r="AX122" s="866"/>
      <c r="AY122" s="866"/>
      <c r="AZ122" s="866"/>
      <c r="BA122" s="866"/>
      <c r="BB122" s="867"/>
    </row>
    <row r="123" spans="1:54" ht="16.5" customHeight="1" thickBot="1" x14ac:dyDescent="0.25">
      <c r="A123" s="545" t="s">
        <v>51</v>
      </c>
      <c r="B123" s="546"/>
      <c r="C123" s="546"/>
      <c r="D123" s="546"/>
      <c r="E123" s="546"/>
      <c r="F123" s="546"/>
      <c r="G123" s="546"/>
      <c r="H123" s="546"/>
      <c r="I123" s="546"/>
      <c r="J123" s="546"/>
      <c r="K123" s="546"/>
      <c r="L123" s="546"/>
      <c r="M123" s="546"/>
      <c r="N123" s="546"/>
      <c r="O123" s="546"/>
      <c r="P123" s="546"/>
      <c r="Q123" s="546"/>
      <c r="R123" s="546"/>
      <c r="S123" s="546"/>
      <c r="T123" s="546"/>
      <c r="U123" s="546"/>
      <c r="V123" s="546"/>
      <c r="W123" s="546"/>
      <c r="X123" s="546"/>
      <c r="Y123" s="546"/>
      <c r="Z123" s="547"/>
      <c r="AA123" s="582">
        <f>SUM(AA104:AF122)</f>
        <v>2112.3000000000002</v>
      </c>
      <c r="AB123" s="583"/>
      <c r="AC123" s="583"/>
      <c r="AD123" s="583"/>
      <c r="AE123" s="583"/>
      <c r="AF123" s="583"/>
      <c r="AG123" s="532">
        <f>AG104</f>
        <v>14</v>
      </c>
      <c r="AH123" s="533"/>
      <c r="AI123" s="533"/>
      <c r="AJ123" s="533"/>
      <c r="AK123" s="533"/>
      <c r="AL123" s="534"/>
      <c r="AM123" s="551" t="s">
        <v>17</v>
      </c>
      <c r="AN123" s="552"/>
      <c r="AO123" s="552"/>
      <c r="AP123" s="552"/>
      <c r="AQ123" s="552"/>
      <c r="AR123" s="552"/>
      <c r="AS123" s="552"/>
      <c r="AT123" s="584"/>
      <c r="AU123" s="555">
        <f>SUM(AU104:BB122)</f>
        <v>150.87857142857143</v>
      </c>
      <c r="AV123" s="555"/>
      <c r="AW123" s="555"/>
      <c r="AX123" s="555"/>
      <c r="AY123" s="555"/>
      <c r="AZ123" s="555"/>
      <c r="BA123" s="555"/>
      <c r="BB123" s="556"/>
    </row>
    <row r="124" spans="1:54" ht="102" customHeight="1" x14ac:dyDescent="0.2"/>
    <row r="125" spans="1:54" s="161" customFormat="1" ht="15" customHeight="1" x14ac:dyDescent="0.2">
      <c r="A125" s="159" t="s">
        <v>59</v>
      </c>
      <c r="B125" s="159"/>
      <c r="C125" s="159" t="s">
        <v>60</v>
      </c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  <c r="AU125" s="159"/>
      <c r="AV125" s="159"/>
      <c r="AW125" s="159"/>
      <c r="AX125" s="160"/>
      <c r="AY125" s="160"/>
      <c r="AZ125" s="160"/>
      <c r="BA125" s="160"/>
      <c r="BB125" s="160"/>
    </row>
    <row r="126" spans="1:54" ht="12" customHeight="1" thickBot="1" x14ac:dyDescent="0.25"/>
    <row r="127" spans="1:54" s="159" customFormat="1" ht="12" customHeight="1" x14ac:dyDescent="0.2">
      <c r="A127" s="585" t="s">
        <v>54</v>
      </c>
      <c r="B127" s="586"/>
      <c r="C127" s="586"/>
      <c r="D127" s="586"/>
      <c r="E127" s="586"/>
      <c r="F127" s="586"/>
      <c r="G127" s="586"/>
      <c r="H127" s="586"/>
      <c r="I127" s="586"/>
      <c r="J127" s="586"/>
      <c r="K127" s="586"/>
      <c r="L127" s="586"/>
      <c r="M127" s="586"/>
      <c r="N127" s="586"/>
      <c r="O127" s="586"/>
      <c r="P127" s="586"/>
      <c r="Q127" s="586"/>
      <c r="R127" s="586"/>
      <c r="S127" s="586"/>
      <c r="T127" s="586"/>
      <c r="U127" s="586"/>
      <c r="V127" s="586"/>
      <c r="W127" s="586"/>
      <c r="X127" s="586"/>
      <c r="Y127" s="586"/>
      <c r="Z127" s="587"/>
      <c r="AA127" s="536" t="s">
        <v>55</v>
      </c>
      <c r="AB127" s="537"/>
      <c r="AC127" s="537"/>
      <c r="AD127" s="537"/>
      <c r="AE127" s="537"/>
      <c r="AF127" s="538"/>
      <c r="AG127" s="536" t="s">
        <v>56</v>
      </c>
      <c r="AH127" s="537"/>
      <c r="AI127" s="537"/>
      <c r="AJ127" s="537"/>
      <c r="AK127" s="537"/>
      <c r="AL127" s="538"/>
      <c r="AM127" s="588" t="s">
        <v>57</v>
      </c>
      <c r="AN127" s="586"/>
      <c r="AO127" s="586"/>
      <c r="AP127" s="586"/>
      <c r="AQ127" s="586"/>
      <c r="AR127" s="586"/>
      <c r="AS127" s="586"/>
      <c r="AT127" s="587"/>
      <c r="AU127" s="588" t="s">
        <v>43</v>
      </c>
      <c r="AV127" s="586"/>
      <c r="AW127" s="586"/>
      <c r="AX127" s="586"/>
      <c r="AY127" s="586"/>
      <c r="AZ127" s="586"/>
      <c r="BA127" s="586"/>
      <c r="BB127" s="589"/>
    </row>
    <row r="128" spans="1:54" ht="11.25" customHeight="1" thickBot="1" x14ac:dyDescent="0.25">
      <c r="A128" s="564">
        <v>1</v>
      </c>
      <c r="B128" s="475"/>
      <c r="C128" s="475"/>
      <c r="D128" s="475"/>
      <c r="E128" s="475"/>
      <c r="F128" s="475"/>
      <c r="G128" s="475"/>
      <c r="H128" s="475"/>
      <c r="I128" s="475"/>
      <c r="J128" s="475"/>
      <c r="K128" s="475"/>
      <c r="L128" s="475"/>
      <c r="M128" s="475"/>
      <c r="N128" s="475"/>
      <c r="O128" s="475"/>
      <c r="P128" s="475"/>
      <c r="Q128" s="475"/>
      <c r="R128" s="475"/>
      <c r="S128" s="475"/>
      <c r="T128" s="475"/>
      <c r="U128" s="475"/>
      <c r="V128" s="475"/>
      <c r="W128" s="475"/>
      <c r="X128" s="475"/>
      <c r="Y128" s="475"/>
      <c r="Z128" s="476"/>
      <c r="AA128" s="474">
        <v>2</v>
      </c>
      <c r="AB128" s="475"/>
      <c r="AC128" s="475"/>
      <c r="AD128" s="475"/>
      <c r="AE128" s="475"/>
      <c r="AF128" s="476"/>
      <c r="AG128" s="474">
        <v>3</v>
      </c>
      <c r="AH128" s="475"/>
      <c r="AI128" s="475"/>
      <c r="AJ128" s="475"/>
      <c r="AK128" s="475"/>
      <c r="AL128" s="476"/>
      <c r="AM128" s="474">
        <v>4</v>
      </c>
      <c r="AN128" s="475"/>
      <c r="AO128" s="475"/>
      <c r="AP128" s="475"/>
      <c r="AQ128" s="475"/>
      <c r="AR128" s="475"/>
      <c r="AS128" s="475"/>
      <c r="AT128" s="476"/>
      <c r="AU128" s="474">
        <v>5</v>
      </c>
      <c r="AV128" s="475"/>
      <c r="AW128" s="475"/>
      <c r="AX128" s="475"/>
      <c r="AY128" s="475"/>
      <c r="AZ128" s="475"/>
      <c r="BA128" s="475"/>
      <c r="BB128" s="565"/>
    </row>
    <row r="129" spans="1:54" ht="31.5" hidden="1" customHeight="1" x14ac:dyDescent="0.2">
      <c r="A129" s="566"/>
      <c r="B129" s="567"/>
      <c r="C129" s="567"/>
      <c r="D129" s="567"/>
      <c r="E129" s="567"/>
      <c r="F129" s="567"/>
      <c r="G129" s="567"/>
      <c r="H129" s="567"/>
      <c r="I129" s="567"/>
      <c r="J129" s="567"/>
      <c r="K129" s="567"/>
      <c r="L129" s="567"/>
      <c r="M129" s="567"/>
      <c r="N129" s="567"/>
      <c r="O129" s="567"/>
      <c r="P129" s="567"/>
      <c r="Q129" s="567"/>
      <c r="R129" s="567"/>
      <c r="S129" s="567"/>
      <c r="T129" s="567"/>
      <c r="U129" s="567"/>
      <c r="V129" s="567"/>
      <c r="W129" s="567"/>
      <c r="X129" s="567"/>
      <c r="Y129" s="567"/>
      <c r="Z129" s="568"/>
      <c r="AA129" s="569">
        <v>0</v>
      </c>
      <c r="AB129" s="570"/>
      <c r="AC129" s="570"/>
      <c r="AD129" s="570"/>
      <c r="AE129" s="570"/>
      <c r="AF129" s="571"/>
      <c r="AG129" s="569">
        <f>U12</f>
        <v>14</v>
      </c>
      <c r="AH129" s="570"/>
      <c r="AI129" s="570"/>
      <c r="AJ129" s="570"/>
      <c r="AK129" s="570"/>
      <c r="AL129" s="571"/>
      <c r="AM129" s="569" t="s">
        <v>61</v>
      </c>
      <c r="AN129" s="570"/>
      <c r="AO129" s="570"/>
      <c r="AP129" s="570"/>
      <c r="AQ129" s="570"/>
      <c r="AR129" s="570"/>
      <c r="AS129" s="570"/>
      <c r="AT129" s="571"/>
      <c r="AU129" s="558">
        <f>AA129/AG129</f>
        <v>0</v>
      </c>
      <c r="AV129" s="559"/>
      <c r="AW129" s="559"/>
      <c r="AX129" s="559"/>
      <c r="AY129" s="559"/>
      <c r="AZ129" s="559"/>
      <c r="BA129" s="559"/>
      <c r="BB129" s="560"/>
    </row>
    <row r="130" spans="1:54" ht="4.5" hidden="1" customHeight="1" x14ac:dyDescent="0.2">
      <c r="A130" s="561"/>
      <c r="B130" s="562"/>
      <c r="C130" s="562"/>
      <c r="D130" s="562"/>
      <c r="E130" s="562"/>
      <c r="F130" s="562"/>
      <c r="G130" s="562"/>
      <c r="H130" s="562"/>
      <c r="I130" s="562"/>
      <c r="J130" s="562"/>
      <c r="K130" s="562"/>
      <c r="L130" s="562"/>
      <c r="M130" s="562"/>
      <c r="N130" s="562"/>
      <c r="O130" s="562"/>
      <c r="P130" s="562"/>
      <c r="Q130" s="562"/>
      <c r="R130" s="562"/>
      <c r="S130" s="562"/>
      <c r="T130" s="562"/>
      <c r="U130" s="562"/>
      <c r="V130" s="562"/>
      <c r="W130" s="562"/>
      <c r="X130" s="562"/>
      <c r="Y130" s="562"/>
      <c r="Z130" s="563"/>
      <c r="AA130" s="518"/>
      <c r="AB130" s="518"/>
      <c r="AC130" s="518"/>
      <c r="AD130" s="518"/>
      <c r="AE130" s="518"/>
      <c r="AF130" s="518"/>
      <c r="AG130" s="572"/>
      <c r="AH130" s="573"/>
      <c r="AI130" s="573"/>
      <c r="AJ130" s="573"/>
      <c r="AK130" s="573"/>
      <c r="AL130" s="574"/>
      <c r="AM130" s="572"/>
      <c r="AN130" s="573"/>
      <c r="AO130" s="573"/>
      <c r="AP130" s="573"/>
      <c r="AQ130" s="573"/>
      <c r="AR130" s="573"/>
      <c r="AS130" s="573"/>
      <c r="AT130" s="574"/>
      <c r="AU130" s="558">
        <f>AA130/AG129</f>
        <v>0</v>
      </c>
      <c r="AV130" s="559"/>
      <c r="AW130" s="559"/>
      <c r="AX130" s="559"/>
      <c r="AY130" s="559"/>
      <c r="AZ130" s="559"/>
      <c r="BA130" s="559"/>
      <c r="BB130" s="560"/>
    </row>
    <row r="131" spans="1:54" ht="21" customHeight="1" x14ac:dyDescent="0.2">
      <c r="A131" s="449"/>
      <c r="B131" s="450"/>
      <c r="C131" s="450"/>
      <c r="D131" s="450"/>
      <c r="E131" s="450"/>
      <c r="F131" s="450"/>
      <c r="G131" s="450"/>
      <c r="H131" s="450"/>
      <c r="I131" s="450"/>
      <c r="J131" s="450"/>
      <c r="K131" s="450"/>
      <c r="L131" s="450"/>
      <c r="M131" s="450"/>
      <c r="N131" s="450"/>
      <c r="O131" s="450"/>
      <c r="P131" s="450"/>
      <c r="Q131" s="450"/>
      <c r="R131" s="450"/>
      <c r="S131" s="450"/>
      <c r="T131" s="450"/>
      <c r="U131" s="450"/>
      <c r="V131" s="450"/>
      <c r="W131" s="450"/>
      <c r="X131" s="450"/>
      <c r="Y131" s="450"/>
      <c r="Z131" s="451"/>
      <c r="AA131" s="557"/>
      <c r="AB131" s="557"/>
      <c r="AC131" s="557"/>
      <c r="AD131" s="557"/>
      <c r="AE131" s="557"/>
      <c r="AF131" s="557"/>
      <c r="AG131" s="572"/>
      <c r="AH131" s="573"/>
      <c r="AI131" s="573"/>
      <c r="AJ131" s="573"/>
      <c r="AK131" s="573"/>
      <c r="AL131" s="574"/>
      <c r="AM131" s="572"/>
      <c r="AN131" s="573"/>
      <c r="AO131" s="573"/>
      <c r="AP131" s="573"/>
      <c r="AQ131" s="573"/>
      <c r="AR131" s="573"/>
      <c r="AS131" s="573"/>
      <c r="AT131" s="574"/>
      <c r="AU131" s="558">
        <f>AA131/AG129</f>
        <v>0</v>
      </c>
      <c r="AV131" s="559"/>
      <c r="AW131" s="559"/>
      <c r="AX131" s="559"/>
      <c r="AY131" s="559"/>
      <c r="AZ131" s="559"/>
      <c r="BA131" s="559"/>
      <c r="BB131" s="560"/>
    </row>
    <row r="132" spans="1:54" ht="21" customHeight="1" x14ac:dyDescent="0.2">
      <c r="A132" s="449"/>
      <c r="B132" s="450"/>
      <c r="C132" s="450"/>
      <c r="D132" s="450"/>
      <c r="E132" s="450"/>
      <c r="F132" s="450"/>
      <c r="G132" s="450"/>
      <c r="H132" s="450"/>
      <c r="I132" s="450"/>
      <c r="J132" s="450"/>
      <c r="K132" s="450"/>
      <c r="L132" s="450"/>
      <c r="M132" s="450"/>
      <c r="N132" s="450"/>
      <c r="O132" s="450"/>
      <c r="P132" s="450"/>
      <c r="Q132" s="450"/>
      <c r="R132" s="450"/>
      <c r="S132" s="450"/>
      <c r="T132" s="450"/>
      <c r="U132" s="450"/>
      <c r="V132" s="450"/>
      <c r="W132" s="450"/>
      <c r="X132" s="450"/>
      <c r="Y132" s="450"/>
      <c r="Z132" s="451"/>
      <c r="AA132" s="557"/>
      <c r="AB132" s="557"/>
      <c r="AC132" s="557"/>
      <c r="AD132" s="557"/>
      <c r="AE132" s="557"/>
      <c r="AF132" s="557"/>
      <c r="AG132" s="572"/>
      <c r="AH132" s="573"/>
      <c r="AI132" s="573"/>
      <c r="AJ132" s="573"/>
      <c r="AK132" s="573"/>
      <c r="AL132" s="574"/>
      <c r="AM132" s="572"/>
      <c r="AN132" s="573"/>
      <c r="AO132" s="573"/>
      <c r="AP132" s="573"/>
      <c r="AQ132" s="573"/>
      <c r="AR132" s="573"/>
      <c r="AS132" s="573"/>
      <c r="AT132" s="574"/>
      <c r="AU132" s="558">
        <f>AA132/AG129</f>
        <v>0</v>
      </c>
      <c r="AV132" s="559"/>
      <c r="AW132" s="559"/>
      <c r="AX132" s="559"/>
      <c r="AY132" s="559"/>
      <c r="AZ132" s="559"/>
      <c r="BA132" s="559"/>
      <c r="BB132" s="560"/>
    </row>
    <row r="133" spans="1:54" ht="6" hidden="1" customHeight="1" x14ac:dyDescent="0.2">
      <c r="A133" s="449"/>
      <c r="B133" s="450"/>
      <c r="C133" s="450"/>
      <c r="D133" s="450"/>
      <c r="E133" s="450"/>
      <c r="F133" s="450"/>
      <c r="G133" s="450"/>
      <c r="H133" s="450"/>
      <c r="I133" s="450"/>
      <c r="J133" s="450"/>
      <c r="K133" s="450"/>
      <c r="L133" s="450"/>
      <c r="M133" s="450"/>
      <c r="N133" s="450"/>
      <c r="O133" s="450"/>
      <c r="P133" s="450"/>
      <c r="Q133" s="450"/>
      <c r="R133" s="450"/>
      <c r="S133" s="450"/>
      <c r="T133" s="450"/>
      <c r="U133" s="450"/>
      <c r="V133" s="450"/>
      <c r="W133" s="450"/>
      <c r="X133" s="450"/>
      <c r="Y133" s="450"/>
      <c r="Z133" s="451"/>
      <c r="AA133" s="557"/>
      <c r="AB133" s="557"/>
      <c r="AC133" s="557"/>
      <c r="AD133" s="557"/>
      <c r="AE133" s="557"/>
      <c r="AF133" s="557"/>
      <c r="AG133" s="572"/>
      <c r="AH133" s="573"/>
      <c r="AI133" s="573"/>
      <c r="AJ133" s="573"/>
      <c r="AK133" s="573"/>
      <c r="AL133" s="574"/>
      <c r="AM133" s="572"/>
      <c r="AN133" s="573"/>
      <c r="AO133" s="573"/>
      <c r="AP133" s="573"/>
      <c r="AQ133" s="573"/>
      <c r="AR133" s="573"/>
      <c r="AS133" s="573"/>
      <c r="AT133" s="574"/>
      <c r="AU133" s="558">
        <f>AA133/AG129</f>
        <v>0</v>
      </c>
      <c r="AV133" s="559"/>
      <c r="AW133" s="559"/>
      <c r="AX133" s="559"/>
      <c r="AY133" s="559"/>
      <c r="AZ133" s="559"/>
      <c r="BA133" s="559"/>
      <c r="BB133" s="560"/>
    </row>
    <row r="134" spans="1:54" ht="0.75" customHeight="1" thickBot="1" x14ac:dyDescent="0.25">
      <c r="A134" s="575"/>
      <c r="B134" s="576"/>
      <c r="C134" s="576"/>
      <c r="D134" s="576"/>
      <c r="E134" s="576"/>
      <c r="F134" s="576"/>
      <c r="G134" s="576"/>
      <c r="H134" s="576"/>
      <c r="I134" s="576"/>
      <c r="J134" s="576"/>
      <c r="K134" s="576"/>
      <c r="L134" s="576"/>
      <c r="M134" s="576"/>
      <c r="N134" s="576"/>
      <c r="O134" s="576"/>
      <c r="P134" s="576"/>
      <c r="Q134" s="576"/>
      <c r="R134" s="576"/>
      <c r="S134" s="576"/>
      <c r="T134" s="576"/>
      <c r="U134" s="576"/>
      <c r="V134" s="576"/>
      <c r="W134" s="576"/>
      <c r="X134" s="576"/>
      <c r="Y134" s="576"/>
      <c r="Z134" s="577"/>
      <c r="AA134" s="578">
        <v>0</v>
      </c>
      <c r="AB134" s="578"/>
      <c r="AC134" s="578"/>
      <c r="AD134" s="578"/>
      <c r="AE134" s="578"/>
      <c r="AF134" s="578"/>
      <c r="AG134" s="572"/>
      <c r="AH134" s="573"/>
      <c r="AI134" s="573"/>
      <c r="AJ134" s="573"/>
      <c r="AK134" s="573"/>
      <c r="AL134" s="574"/>
      <c r="AM134" s="572"/>
      <c r="AN134" s="573"/>
      <c r="AO134" s="573"/>
      <c r="AP134" s="573"/>
      <c r="AQ134" s="573"/>
      <c r="AR134" s="573"/>
      <c r="AS134" s="573"/>
      <c r="AT134" s="574"/>
      <c r="AU134" s="579">
        <f>AA134/AG129</f>
        <v>0</v>
      </c>
      <c r="AV134" s="580"/>
      <c r="AW134" s="580"/>
      <c r="AX134" s="580"/>
      <c r="AY134" s="580"/>
      <c r="AZ134" s="580"/>
      <c r="BA134" s="580"/>
      <c r="BB134" s="581"/>
    </row>
    <row r="135" spans="1:54" ht="15" customHeight="1" thickBot="1" x14ac:dyDescent="0.25">
      <c r="A135" s="545" t="s">
        <v>51</v>
      </c>
      <c r="B135" s="546"/>
      <c r="C135" s="546"/>
      <c r="D135" s="546"/>
      <c r="E135" s="546"/>
      <c r="F135" s="546"/>
      <c r="G135" s="546"/>
      <c r="H135" s="546"/>
      <c r="I135" s="546"/>
      <c r="J135" s="546"/>
      <c r="K135" s="546"/>
      <c r="L135" s="546"/>
      <c r="M135" s="546"/>
      <c r="N135" s="546"/>
      <c r="O135" s="546"/>
      <c r="P135" s="546"/>
      <c r="Q135" s="546"/>
      <c r="R135" s="546"/>
      <c r="S135" s="546"/>
      <c r="T135" s="546"/>
      <c r="U135" s="546"/>
      <c r="V135" s="546"/>
      <c r="W135" s="546"/>
      <c r="X135" s="546"/>
      <c r="Y135" s="546"/>
      <c r="Z135" s="547"/>
      <c r="AA135" s="548">
        <f>SUM(AA129:AF132)</f>
        <v>0</v>
      </c>
      <c r="AB135" s="549"/>
      <c r="AC135" s="549"/>
      <c r="AD135" s="549"/>
      <c r="AE135" s="549"/>
      <c r="AF135" s="550"/>
      <c r="AG135" s="531">
        <f>AG129</f>
        <v>14</v>
      </c>
      <c r="AH135" s="533"/>
      <c r="AI135" s="533"/>
      <c r="AJ135" s="533"/>
      <c r="AK135" s="533"/>
      <c r="AL135" s="534"/>
      <c r="AM135" s="551" t="s">
        <v>17</v>
      </c>
      <c r="AN135" s="552"/>
      <c r="AO135" s="552"/>
      <c r="AP135" s="552"/>
      <c r="AQ135" s="552"/>
      <c r="AR135" s="552"/>
      <c r="AS135" s="552"/>
      <c r="AT135" s="553"/>
      <c r="AU135" s="554">
        <f>SUM(AU129:BB134)</f>
        <v>0</v>
      </c>
      <c r="AV135" s="555"/>
      <c r="AW135" s="555"/>
      <c r="AX135" s="555"/>
      <c r="AY135" s="555"/>
      <c r="AZ135" s="555"/>
      <c r="BA135" s="555"/>
      <c r="BB135" s="556"/>
    </row>
    <row r="136" spans="1:54" s="161" customFormat="1" ht="15" customHeight="1" x14ac:dyDescent="0.2">
      <c r="A136" s="117"/>
      <c r="B136" s="117"/>
      <c r="C136" s="117"/>
      <c r="D136" s="117"/>
      <c r="E136" s="117"/>
      <c r="F136" s="117"/>
      <c r="G136" s="117"/>
      <c r="H136" s="117"/>
      <c r="I136" s="117"/>
      <c r="J136" s="117"/>
      <c r="K136" s="117"/>
      <c r="L136" s="117"/>
      <c r="M136" s="117"/>
      <c r="N136" s="117"/>
      <c r="O136" s="117"/>
      <c r="P136" s="117"/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</row>
    <row r="137" spans="1:54" ht="27" customHeight="1" x14ac:dyDescent="0.2">
      <c r="A137" s="159" t="s">
        <v>62</v>
      </c>
      <c r="B137" s="159"/>
      <c r="C137" s="159" t="s">
        <v>63</v>
      </c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  <c r="AU137" s="159"/>
      <c r="AV137" s="159"/>
      <c r="AW137" s="159"/>
      <c r="AX137" s="160"/>
      <c r="AY137" s="160"/>
      <c r="AZ137" s="160"/>
      <c r="BA137" s="160"/>
      <c r="BB137" s="160"/>
    </row>
    <row r="138" spans="1:54" ht="21.75" customHeight="1" thickBot="1" x14ac:dyDescent="0.25"/>
    <row r="139" spans="1:54" ht="63" customHeight="1" x14ac:dyDescent="0.2">
      <c r="A139" s="499" t="s">
        <v>54</v>
      </c>
      <c r="B139" s="500"/>
      <c r="C139" s="500"/>
      <c r="D139" s="500"/>
      <c r="E139" s="500"/>
      <c r="F139" s="500"/>
      <c r="G139" s="500"/>
      <c r="H139" s="535" t="s">
        <v>64</v>
      </c>
      <c r="I139" s="535"/>
      <c r="J139" s="535"/>
      <c r="K139" s="535"/>
      <c r="L139" s="535"/>
      <c r="M139" s="535" t="s">
        <v>94</v>
      </c>
      <c r="N139" s="535"/>
      <c r="O139" s="535"/>
      <c r="P139" s="535"/>
      <c r="Q139" s="535"/>
      <c r="R139" s="535" t="s">
        <v>82</v>
      </c>
      <c r="S139" s="535"/>
      <c r="T139" s="535"/>
      <c r="U139" s="535"/>
      <c r="V139" s="535" t="s">
        <v>65</v>
      </c>
      <c r="W139" s="535"/>
      <c r="X139" s="535"/>
      <c r="Y139" s="535"/>
      <c r="Z139" s="535" t="s">
        <v>66</v>
      </c>
      <c r="AA139" s="535"/>
      <c r="AB139" s="535"/>
      <c r="AC139" s="535"/>
      <c r="AD139" s="535" t="s">
        <v>67</v>
      </c>
      <c r="AE139" s="535"/>
      <c r="AF139" s="535"/>
      <c r="AG139" s="535"/>
      <c r="AH139" s="535"/>
      <c r="AI139" s="535"/>
      <c r="AJ139" s="535"/>
      <c r="AK139" s="535"/>
      <c r="AL139" s="535"/>
      <c r="AM139" s="535"/>
      <c r="AN139" s="535"/>
      <c r="AO139" s="535"/>
      <c r="AP139" s="535"/>
      <c r="AQ139" s="535" t="s">
        <v>667</v>
      </c>
      <c r="AR139" s="535"/>
      <c r="AS139" s="535"/>
      <c r="AT139" s="535"/>
      <c r="AU139" s="536" t="s">
        <v>668</v>
      </c>
      <c r="AV139" s="537"/>
      <c r="AW139" s="537"/>
      <c r="AX139" s="538"/>
      <c r="AY139" s="536" t="s">
        <v>87</v>
      </c>
      <c r="AZ139" s="537"/>
      <c r="BA139" s="537"/>
      <c r="BB139" s="539"/>
    </row>
    <row r="140" spans="1:54" ht="71.25" customHeight="1" thickBot="1" x14ac:dyDescent="0.25">
      <c r="A140" s="888"/>
      <c r="B140" s="889"/>
      <c r="C140" s="889"/>
      <c r="D140" s="889"/>
      <c r="E140" s="889"/>
      <c r="F140" s="889"/>
      <c r="G140" s="889"/>
      <c r="H140" s="894" t="s">
        <v>68</v>
      </c>
      <c r="I140" s="894"/>
      <c r="J140" s="894"/>
      <c r="K140" s="894"/>
      <c r="L140" s="894"/>
      <c r="M140" s="894" t="s">
        <v>68</v>
      </c>
      <c r="N140" s="894"/>
      <c r="O140" s="894"/>
      <c r="P140" s="894"/>
      <c r="Q140" s="894"/>
      <c r="R140" s="894"/>
      <c r="S140" s="894"/>
      <c r="T140" s="894"/>
      <c r="U140" s="894"/>
      <c r="V140" s="894"/>
      <c r="W140" s="894"/>
      <c r="X140" s="894"/>
      <c r="Y140" s="894"/>
      <c r="Z140" s="894"/>
      <c r="AA140" s="894"/>
      <c r="AB140" s="894"/>
      <c r="AC140" s="894"/>
      <c r="AD140" s="894" t="s">
        <v>68</v>
      </c>
      <c r="AE140" s="894"/>
      <c r="AF140" s="894"/>
      <c r="AG140" s="894"/>
      <c r="AH140" s="894"/>
      <c r="AI140" s="894"/>
      <c r="AJ140" s="895" t="s">
        <v>69</v>
      </c>
      <c r="AK140" s="896"/>
      <c r="AL140" s="896"/>
      <c r="AM140" s="896"/>
      <c r="AN140" s="896"/>
      <c r="AO140" s="896"/>
      <c r="AP140" s="897"/>
      <c r="AQ140" s="894" t="s">
        <v>68</v>
      </c>
      <c r="AR140" s="894"/>
      <c r="AS140" s="894"/>
      <c r="AT140" s="894"/>
      <c r="AU140" s="894" t="s">
        <v>68</v>
      </c>
      <c r="AV140" s="894"/>
      <c r="AW140" s="894"/>
      <c r="AX140" s="894"/>
      <c r="AY140" s="894" t="s">
        <v>68</v>
      </c>
      <c r="AZ140" s="894"/>
      <c r="BA140" s="894"/>
      <c r="BB140" s="898"/>
    </row>
    <row r="141" spans="1:54" ht="22.5" customHeight="1" thickBot="1" x14ac:dyDescent="0.25">
      <c r="A141" s="530">
        <v>1</v>
      </c>
      <c r="B141" s="503"/>
      <c r="C141" s="503"/>
      <c r="D141" s="503"/>
      <c r="E141" s="503"/>
      <c r="F141" s="503"/>
      <c r="G141" s="503"/>
      <c r="H141" s="503">
        <v>2</v>
      </c>
      <c r="I141" s="503"/>
      <c r="J141" s="503"/>
      <c r="K141" s="503"/>
      <c r="L141" s="503"/>
      <c r="M141" s="503">
        <v>3</v>
      </c>
      <c r="N141" s="503"/>
      <c r="O141" s="503"/>
      <c r="P141" s="503"/>
      <c r="Q141" s="503"/>
      <c r="R141" s="503">
        <v>4</v>
      </c>
      <c r="S141" s="503"/>
      <c r="T141" s="503"/>
      <c r="U141" s="503"/>
      <c r="V141" s="503">
        <v>5</v>
      </c>
      <c r="W141" s="503"/>
      <c r="X141" s="503"/>
      <c r="Y141" s="503"/>
      <c r="Z141" s="503">
        <v>6</v>
      </c>
      <c r="AA141" s="503"/>
      <c r="AB141" s="503"/>
      <c r="AC141" s="531"/>
      <c r="AD141" s="503">
        <v>7</v>
      </c>
      <c r="AE141" s="503"/>
      <c r="AF141" s="503"/>
      <c r="AG141" s="503"/>
      <c r="AH141" s="503"/>
      <c r="AI141" s="503"/>
      <c r="AJ141" s="533">
        <v>8</v>
      </c>
      <c r="AK141" s="533"/>
      <c r="AL141" s="533"/>
      <c r="AM141" s="533"/>
      <c r="AN141" s="533"/>
      <c r="AO141" s="533"/>
      <c r="AP141" s="534"/>
      <c r="AQ141" s="503">
        <v>9</v>
      </c>
      <c r="AR141" s="503"/>
      <c r="AS141" s="503"/>
      <c r="AT141" s="503"/>
      <c r="AU141" s="503">
        <v>10</v>
      </c>
      <c r="AV141" s="503"/>
      <c r="AW141" s="503"/>
      <c r="AX141" s="503"/>
      <c r="AY141" s="503">
        <v>11</v>
      </c>
      <c r="AZ141" s="503"/>
      <c r="BA141" s="503"/>
      <c r="BB141" s="504"/>
    </row>
    <row r="142" spans="1:54" ht="24.75" customHeight="1" x14ac:dyDescent="0.2">
      <c r="A142" s="505" t="s">
        <v>70</v>
      </c>
      <c r="B142" s="506"/>
      <c r="C142" s="506"/>
      <c r="D142" s="506"/>
      <c r="E142" s="506"/>
      <c r="F142" s="506"/>
      <c r="G142" s="506"/>
      <c r="H142" s="507">
        <f>AO88/V142</f>
        <v>42.785166666666669</v>
      </c>
      <c r="I142" s="507"/>
      <c r="J142" s="507"/>
      <c r="K142" s="507"/>
      <c r="L142" s="507"/>
      <c r="M142" s="507">
        <f>H142</f>
        <v>42.785166666666669</v>
      </c>
      <c r="N142" s="507"/>
      <c r="O142" s="507"/>
      <c r="P142" s="507"/>
      <c r="Q142" s="507"/>
      <c r="R142" s="508">
        <f>U12</f>
        <v>14</v>
      </c>
      <c r="S142" s="509"/>
      <c r="T142" s="509"/>
      <c r="U142" s="510"/>
      <c r="V142" s="517">
        <f>Y16</f>
        <v>12</v>
      </c>
      <c r="W142" s="517"/>
      <c r="X142" s="517"/>
      <c r="Y142" s="517"/>
      <c r="Z142" s="517">
        <f>U16</f>
        <v>1</v>
      </c>
      <c r="AA142" s="517"/>
      <c r="AB142" s="517"/>
      <c r="AC142" s="517"/>
      <c r="AD142" s="520" t="s">
        <v>71</v>
      </c>
      <c r="AE142" s="521"/>
      <c r="AF142" s="521"/>
      <c r="AG142" s="521"/>
      <c r="AH142" s="521"/>
      <c r="AI142" s="522"/>
      <c r="AJ142" s="523"/>
      <c r="AK142" s="524"/>
      <c r="AL142" s="524"/>
      <c r="AM142" s="524"/>
      <c r="AN142" s="524"/>
      <c r="AO142" s="524"/>
      <c r="AP142" s="525"/>
      <c r="AQ142" s="507">
        <f>H142*4</f>
        <v>171.14066666666668</v>
      </c>
      <c r="AR142" s="507"/>
      <c r="AS142" s="507"/>
      <c r="AT142" s="507"/>
      <c r="AU142" s="507">
        <f>M142*1</f>
        <v>42.785166666666669</v>
      </c>
      <c r="AV142" s="507"/>
      <c r="AW142" s="507"/>
      <c r="AX142" s="507"/>
      <c r="AY142" s="507">
        <f>H142*R142</f>
        <v>598.99233333333336</v>
      </c>
      <c r="AZ142" s="507"/>
      <c r="BA142" s="507"/>
      <c r="BB142" s="526"/>
    </row>
    <row r="143" spans="1:54" ht="21.75" customHeight="1" x14ac:dyDescent="0.2">
      <c r="A143" s="527" t="s">
        <v>72</v>
      </c>
      <c r="B143" s="528"/>
      <c r="C143" s="528"/>
      <c r="D143" s="528"/>
      <c r="E143" s="528"/>
      <c r="F143" s="528"/>
      <c r="G143" s="528"/>
      <c r="H143" s="529">
        <f>AV98</f>
        <v>37.105237428142097</v>
      </c>
      <c r="I143" s="529"/>
      <c r="J143" s="529"/>
      <c r="K143" s="529"/>
      <c r="L143" s="529"/>
      <c r="M143" s="477">
        <f t="shared" ref="M143:M145" si="3">H143</f>
        <v>37.105237428142097</v>
      </c>
      <c r="N143" s="477"/>
      <c r="O143" s="477"/>
      <c r="P143" s="477"/>
      <c r="Q143" s="477"/>
      <c r="R143" s="511"/>
      <c r="S143" s="512"/>
      <c r="T143" s="512"/>
      <c r="U143" s="513"/>
      <c r="V143" s="518"/>
      <c r="W143" s="518"/>
      <c r="X143" s="518"/>
      <c r="Y143" s="518"/>
      <c r="Z143" s="518"/>
      <c r="AA143" s="518"/>
      <c r="AB143" s="518"/>
      <c r="AC143" s="518"/>
      <c r="AD143" s="477" t="s">
        <v>71</v>
      </c>
      <c r="AE143" s="477"/>
      <c r="AF143" s="477"/>
      <c r="AG143" s="477"/>
      <c r="AH143" s="477"/>
      <c r="AI143" s="477"/>
      <c r="AJ143" s="478"/>
      <c r="AK143" s="479"/>
      <c r="AL143" s="479"/>
      <c r="AM143" s="479"/>
      <c r="AN143" s="479"/>
      <c r="AO143" s="479"/>
      <c r="AP143" s="480"/>
      <c r="AQ143" s="477">
        <f>H143*4</f>
        <v>148.42094971256839</v>
      </c>
      <c r="AR143" s="477"/>
      <c r="AS143" s="477"/>
      <c r="AT143" s="477"/>
      <c r="AU143" s="529">
        <f>M143*1</f>
        <v>37.105237428142097</v>
      </c>
      <c r="AV143" s="529"/>
      <c r="AW143" s="529"/>
      <c r="AX143" s="529"/>
      <c r="AY143" s="477">
        <f>H143*R142</f>
        <v>519.47332399398931</v>
      </c>
      <c r="AZ143" s="477"/>
      <c r="BA143" s="477"/>
      <c r="BB143" s="481"/>
    </row>
    <row r="144" spans="1:54" ht="15" customHeight="1" x14ac:dyDescent="0.2">
      <c r="A144" s="527" t="s">
        <v>73</v>
      </c>
      <c r="B144" s="528"/>
      <c r="C144" s="528"/>
      <c r="D144" s="528"/>
      <c r="E144" s="528"/>
      <c r="F144" s="528"/>
      <c r="G144" s="528"/>
      <c r="H144" s="529">
        <f>AU123</f>
        <v>150.87857142857143</v>
      </c>
      <c r="I144" s="529"/>
      <c r="J144" s="529"/>
      <c r="K144" s="529"/>
      <c r="L144" s="529"/>
      <c r="M144" s="477">
        <f t="shared" si="3"/>
        <v>150.87857142857143</v>
      </c>
      <c r="N144" s="477"/>
      <c r="O144" s="477"/>
      <c r="P144" s="477"/>
      <c r="Q144" s="477"/>
      <c r="R144" s="511"/>
      <c r="S144" s="512"/>
      <c r="T144" s="512"/>
      <c r="U144" s="513"/>
      <c r="V144" s="518"/>
      <c r="W144" s="518"/>
      <c r="X144" s="518"/>
      <c r="Y144" s="518"/>
      <c r="Z144" s="518"/>
      <c r="AA144" s="518"/>
      <c r="AB144" s="518"/>
      <c r="AC144" s="518"/>
      <c r="AD144" s="477" t="s">
        <v>71</v>
      </c>
      <c r="AE144" s="477"/>
      <c r="AF144" s="477"/>
      <c r="AG144" s="477"/>
      <c r="AH144" s="477"/>
      <c r="AI144" s="477"/>
      <c r="AJ144" s="478"/>
      <c r="AK144" s="479"/>
      <c r="AL144" s="479"/>
      <c r="AM144" s="479"/>
      <c r="AN144" s="479"/>
      <c r="AO144" s="479"/>
      <c r="AP144" s="480"/>
      <c r="AQ144" s="477">
        <f>H144*4</f>
        <v>603.51428571428573</v>
      </c>
      <c r="AR144" s="477"/>
      <c r="AS144" s="477"/>
      <c r="AT144" s="477"/>
      <c r="AU144" s="529">
        <f>M144*1</f>
        <v>150.87857142857143</v>
      </c>
      <c r="AV144" s="529"/>
      <c r="AW144" s="529"/>
      <c r="AX144" s="529"/>
      <c r="AY144" s="477">
        <f>H144*R142</f>
        <v>2112.3000000000002</v>
      </c>
      <c r="AZ144" s="477"/>
      <c r="BA144" s="477"/>
      <c r="BB144" s="481"/>
    </row>
    <row r="145" spans="1:79" ht="18" customHeight="1" thickBot="1" x14ac:dyDescent="0.25">
      <c r="A145" s="494" t="s">
        <v>74</v>
      </c>
      <c r="B145" s="495"/>
      <c r="C145" s="495"/>
      <c r="D145" s="495"/>
      <c r="E145" s="495"/>
      <c r="F145" s="495"/>
      <c r="G145" s="495"/>
      <c r="H145" s="483">
        <f>AU135</f>
        <v>0</v>
      </c>
      <c r="I145" s="483"/>
      <c r="J145" s="483"/>
      <c r="K145" s="483"/>
      <c r="L145" s="483"/>
      <c r="M145" s="482">
        <f t="shared" si="3"/>
        <v>0</v>
      </c>
      <c r="N145" s="482"/>
      <c r="O145" s="482"/>
      <c r="P145" s="482"/>
      <c r="Q145" s="482"/>
      <c r="R145" s="514"/>
      <c r="S145" s="515"/>
      <c r="T145" s="515"/>
      <c r="U145" s="516"/>
      <c r="V145" s="519"/>
      <c r="W145" s="519"/>
      <c r="X145" s="519"/>
      <c r="Y145" s="519"/>
      <c r="Z145" s="519"/>
      <c r="AA145" s="519"/>
      <c r="AB145" s="519"/>
      <c r="AC145" s="519"/>
      <c r="AD145" s="482" t="s">
        <v>71</v>
      </c>
      <c r="AE145" s="482"/>
      <c r="AF145" s="482"/>
      <c r="AG145" s="482"/>
      <c r="AH145" s="482"/>
      <c r="AI145" s="482"/>
      <c r="AJ145" s="496" t="s">
        <v>17</v>
      </c>
      <c r="AK145" s="497"/>
      <c r="AL145" s="497"/>
      <c r="AM145" s="497"/>
      <c r="AN145" s="497"/>
      <c r="AO145" s="497"/>
      <c r="AP145" s="498"/>
      <c r="AQ145" s="477">
        <f>H145*4</f>
        <v>0</v>
      </c>
      <c r="AR145" s="477"/>
      <c r="AS145" s="477"/>
      <c r="AT145" s="477"/>
      <c r="AU145" s="483">
        <f>M145*1</f>
        <v>0</v>
      </c>
      <c r="AV145" s="483"/>
      <c r="AW145" s="483"/>
      <c r="AX145" s="483"/>
      <c r="AY145" s="483">
        <f>H145*R142</f>
        <v>0</v>
      </c>
      <c r="AZ145" s="483"/>
      <c r="BA145" s="483"/>
      <c r="BB145" s="484"/>
    </row>
    <row r="146" spans="1:79" ht="25.5" customHeight="1" x14ac:dyDescent="0.2">
      <c r="A146" s="485" t="s">
        <v>80</v>
      </c>
      <c r="B146" s="486"/>
      <c r="C146" s="486"/>
      <c r="D146" s="486"/>
      <c r="E146" s="486"/>
      <c r="F146" s="486"/>
      <c r="G146" s="487"/>
      <c r="H146" s="488">
        <f>SUM(H142:L145)</f>
        <v>230.76897552338019</v>
      </c>
      <c r="I146" s="488"/>
      <c r="J146" s="488"/>
      <c r="K146" s="488"/>
      <c r="L146" s="488"/>
      <c r="M146" s="488">
        <f>SUM(M142:Q145)</f>
        <v>230.76897552338019</v>
      </c>
      <c r="N146" s="488"/>
      <c r="O146" s="488"/>
      <c r="P146" s="488"/>
      <c r="Q146" s="488"/>
      <c r="R146" s="489">
        <f>R142</f>
        <v>14</v>
      </c>
      <c r="S146" s="489"/>
      <c r="T146" s="489"/>
      <c r="U146" s="489"/>
      <c r="V146" s="490">
        <f>V142</f>
        <v>12</v>
      </c>
      <c r="W146" s="490"/>
      <c r="X146" s="490"/>
      <c r="Y146" s="490"/>
      <c r="Z146" s="490">
        <f>Z142</f>
        <v>1</v>
      </c>
      <c r="AA146" s="490"/>
      <c r="AB146" s="490"/>
      <c r="AC146" s="490"/>
      <c r="AD146" s="488" t="s">
        <v>17</v>
      </c>
      <c r="AE146" s="488"/>
      <c r="AF146" s="488"/>
      <c r="AG146" s="488"/>
      <c r="AH146" s="488"/>
      <c r="AI146" s="488"/>
      <c r="AJ146" s="491" t="s">
        <v>17</v>
      </c>
      <c r="AK146" s="492"/>
      <c r="AL146" s="492"/>
      <c r="AM146" s="492"/>
      <c r="AN146" s="492"/>
      <c r="AO146" s="492"/>
      <c r="AP146" s="493"/>
      <c r="AQ146" s="453">
        <f>SUM(AQ142:AT145)</f>
        <v>923.07590209352077</v>
      </c>
      <c r="AR146" s="453"/>
      <c r="AS146" s="453"/>
      <c r="AT146" s="453"/>
      <c r="AU146" s="453">
        <f>SUM(AU142:AX145)</f>
        <v>230.76897552338019</v>
      </c>
      <c r="AV146" s="453"/>
      <c r="AW146" s="453"/>
      <c r="AX146" s="453"/>
      <c r="AY146" s="453">
        <f>SUM(AY142:BB145)</f>
        <v>3230.765657327323</v>
      </c>
      <c r="AZ146" s="453"/>
      <c r="BA146" s="453"/>
      <c r="BB146" s="454"/>
    </row>
    <row r="147" spans="1:79" ht="30.75" customHeight="1" x14ac:dyDescent="0.2">
      <c r="A147" s="455" t="s">
        <v>75</v>
      </c>
      <c r="B147" s="456"/>
      <c r="C147" s="456"/>
      <c r="D147" s="456"/>
      <c r="E147" s="456"/>
      <c r="F147" s="456"/>
      <c r="G147" s="215">
        <v>0.3</v>
      </c>
      <c r="H147" s="457">
        <f>H146*G147</f>
        <v>69.23069265701406</v>
      </c>
      <c r="I147" s="457"/>
      <c r="J147" s="457"/>
      <c r="K147" s="457"/>
      <c r="L147" s="457"/>
      <c r="M147" s="457">
        <f>M146*G147</f>
        <v>69.23069265701406</v>
      </c>
      <c r="N147" s="457"/>
      <c r="O147" s="457"/>
      <c r="P147" s="457"/>
      <c r="Q147" s="457"/>
      <c r="R147" s="818">
        <f>R142</f>
        <v>14</v>
      </c>
      <c r="S147" s="819"/>
      <c r="T147" s="819"/>
      <c r="U147" s="820"/>
      <c r="V147" s="821">
        <f>V142</f>
        <v>12</v>
      </c>
      <c r="W147" s="819"/>
      <c r="X147" s="819"/>
      <c r="Y147" s="820"/>
      <c r="Z147" s="821">
        <f>Z142</f>
        <v>1</v>
      </c>
      <c r="AA147" s="819"/>
      <c r="AB147" s="819"/>
      <c r="AC147" s="820"/>
      <c r="AD147" s="462" t="s">
        <v>17</v>
      </c>
      <c r="AE147" s="462"/>
      <c r="AF147" s="462"/>
      <c r="AG147" s="462"/>
      <c r="AH147" s="462"/>
      <c r="AI147" s="462"/>
      <c r="AJ147" s="462" t="s">
        <v>17</v>
      </c>
      <c r="AK147" s="462"/>
      <c r="AL147" s="462"/>
      <c r="AM147" s="462"/>
      <c r="AN147" s="462"/>
      <c r="AO147" s="462"/>
      <c r="AP147" s="462"/>
      <c r="AQ147" s="466">
        <f>AQ146*G147</f>
        <v>276.92277062805624</v>
      </c>
      <c r="AR147" s="466"/>
      <c r="AS147" s="466"/>
      <c r="AT147" s="466"/>
      <c r="AU147" s="466">
        <f>AU146*G147</f>
        <v>69.23069265701406</v>
      </c>
      <c r="AV147" s="466"/>
      <c r="AW147" s="466"/>
      <c r="AX147" s="466"/>
      <c r="AY147" s="466">
        <f>AY146*G147</f>
        <v>969.22969719819685</v>
      </c>
      <c r="AZ147" s="466"/>
      <c r="BA147" s="466"/>
      <c r="BB147" s="467"/>
    </row>
    <row r="148" spans="1:79" ht="30.75" customHeight="1" thickBot="1" x14ac:dyDescent="0.25">
      <c r="A148" s="468" t="s">
        <v>81</v>
      </c>
      <c r="B148" s="469"/>
      <c r="C148" s="469"/>
      <c r="D148" s="469"/>
      <c r="E148" s="469"/>
      <c r="F148" s="469"/>
      <c r="G148" s="470"/>
      <c r="H148" s="464">
        <f>H146+H147</f>
        <v>299.99966818039422</v>
      </c>
      <c r="I148" s="464"/>
      <c r="J148" s="464"/>
      <c r="K148" s="464"/>
      <c r="L148" s="464"/>
      <c r="M148" s="471">
        <f>M146+M147</f>
        <v>299.99966818039422</v>
      </c>
      <c r="N148" s="472"/>
      <c r="O148" s="472"/>
      <c r="P148" s="472"/>
      <c r="Q148" s="473"/>
      <c r="R148" s="825">
        <f>R142</f>
        <v>14</v>
      </c>
      <c r="S148" s="826"/>
      <c r="T148" s="826"/>
      <c r="U148" s="827"/>
      <c r="V148" s="828">
        <f>V142</f>
        <v>12</v>
      </c>
      <c r="W148" s="829"/>
      <c r="X148" s="829"/>
      <c r="Y148" s="830"/>
      <c r="Z148" s="828">
        <f>Z142</f>
        <v>1</v>
      </c>
      <c r="AA148" s="829"/>
      <c r="AB148" s="829"/>
      <c r="AC148" s="830"/>
      <c r="AD148" s="463" t="s">
        <v>17</v>
      </c>
      <c r="AE148" s="463"/>
      <c r="AF148" s="463"/>
      <c r="AG148" s="463"/>
      <c r="AH148" s="463"/>
      <c r="AI148" s="463"/>
      <c r="AJ148" s="463" t="s">
        <v>17</v>
      </c>
      <c r="AK148" s="463"/>
      <c r="AL148" s="463"/>
      <c r="AM148" s="463"/>
      <c r="AN148" s="463"/>
      <c r="AO148" s="463"/>
      <c r="AP148" s="463"/>
      <c r="AQ148" s="464">
        <f>AQ146+AQ147</f>
        <v>1199.9986727215769</v>
      </c>
      <c r="AR148" s="464"/>
      <c r="AS148" s="464"/>
      <c r="AT148" s="464"/>
      <c r="AU148" s="464">
        <f>AU146+AU147</f>
        <v>299.99966818039422</v>
      </c>
      <c r="AV148" s="464"/>
      <c r="AW148" s="464"/>
      <c r="AX148" s="464"/>
      <c r="AY148" s="464">
        <f>AY146+AY147</f>
        <v>4199.9953545255194</v>
      </c>
      <c r="AZ148" s="464"/>
      <c r="BA148" s="464"/>
      <c r="BB148" s="465"/>
      <c r="BE148" s="216"/>
      <c r="BF148" s="216"/>
    </row>
    <row r="149" spans="1:79" ht="16.5" customHeight="1" x14ac:dyDescent="0.2">
      <c r="BC149" s="432"/>
      <c r="BD149" s="432"/>
      <c r="BE149" s="216"/>
      <c r="BF149" s="216"/>
      <c r="BG149" s="216"/>
      <c r="BH149" s="216"/>
      <c r="BI149" s="216"/>
    </row>
    <row r="150" spans="1:79" ht="12" customHeight="1" x14ac:dyDescent="0.2">
      <c r="BC150" s="432"/>
      <c r="BD150" s="432"/>
      <c r="BE150" s="216"/>
      <c r="BF150" s="216"/>
    </row>
    <row r="151" spans="1:79" ht="14.25" customHeight="1" x14ac:dyDescent="0.2">
      <c r="B151" s="452" t="s">
        <v>221</v>
      </c>
      <c r="C151" s="452"/>
      <c r="D151" s="452"/>
      <c r="E151" s="452"/>
      <c r="F151" s="452"/>
      <c r="G151" s="452"/>
      <c r="H151" s="452"/>
      <c r="I151" s="452"/>
      <c r="J151" s="452"/>
      <c r="K151" s="452"/>
      <c r="L151" s="452"/>
      <c r="M151" s="452"/>
      <c r="N151" s="452"/>
      <c r="O151" s="452"/>
      <c r="P151" s="452"/>
      <c r="Q151" s="452"/>
      <c r="R151" s="452"/>
      <c r="S151" s="452"/>
      <c r="U151" s="164"/>
      <c r="V151" s="164"/>
      <c r="W151" s="164"/>
      <c r="X151" s="217"/>
      <c r="Y151" s="217"/>
      <c r="Z151" s="217"/>
      <c r="AA151" s="217"/>
      <c r="AB151" s="217"/>
      <c r="AC151" s="217"/>
      <c r="AD151" s="217"/>
      <c r="AE151" s="217"/>
      <c r="AF151" s="217"/>
      <c r="AG151" s="217"/>
      <c r="AH151" s="217"/>
      <c r="AI151" s="217"/>
      <c r="AJ151" s="217"/>
      <c r="AK151" s="217"/>
      <c r="AM151" s="442" t="s">
        <v>222</v>
      </c>
      <c r="AN151" s="763"/>
      <c r="AO151" s="763"/>
      <c r="AP151" s="763"/>
      <c r="AQ151" s="763"/>
      <c r="AR151" s="763"/>
      <c r="AS151" s="763"/>
      <c r="AT151" s="763"/>
      <c r="AU151" s="763"/>
      <c r="AV151" s="763"/>
      <c r="AW151" s="763"/>
      <c r="AX151" s="763"/>
      <c r="AY151" s="763"/>
      <c r="AZ151" s="763"/>
      <c r="BA151" s="763"/>
      <c r="BB151" s="763"/>
      <c r="BC151" s="442"/>
      <c r="BD151" s="442"/>
      <c r="BE151" s="216"/>
      <c r="BF151" s="216"/>
    </row>
    <row r="152" spans="1:79" ht="8.25" customHeight="1" x14ac:dyDescent="0.2">
      <c r="B152" s="452" t="s">
        <v>78</v>
      </c>
      <c r="C152" s="452"/>
      <c r="D152" s="452"/>
      <c r="E152" s="452"/>
      <c r="F152" s="452"/>
      <c r="G152" s="452"/>
      <c r="H152" s="452"/>
      <c r="I152" s="452"/>
      <c r="J152" s="452"/>
      <c r="K152" s="452"/>
      <c r="L152" s="452"/>
      <c r="M152" s="452"/>
      <c r="N152" s="452"/>
      <c r="O152" s="452"/>
      <c r="P152" s="452"/>
      <c r="Q152" s="452"/>
      <c r="R152" s="452"/>
      <c r="S152" s="452"/>
      <c r="AM152" s="442" t="s">
        <v>418</v>
      </c>
      <c r="AN152" s="442"/>
      <c r="AO152" s="442"/>
      <c r="AP152" s="442"/>
      <c r="AQ152" s="442"/>
      <c r="AR152" s="442"/>
      <c r="AS152" s="442"/>
      <c r="AT152" s="442"/>
      <c r="AU152" s="442"/>
      <c r="AV152" s="442"/>
      <c r="AW152" s="442"/>
      <c r="AX152" s="442"/>
      <c r="AY152" s="442"/>
      <c r="AZ152" s="442"/>
      <c r="BA152" s="442"/>
      <c r="BB152" s="442"/>
      <c r="BC152" s="442"/>
      <c r="BD152" s="219"/>
    </row>
    <row r="153" spans="1:79" ht="19.5" customHeight="1" x14ac:dyDescent="0.2">
      <c r="B153" s="452"/>
      <c r="C153" s="452"/>
      <c r="D153" s="452"/>
      <c r="E153" s="452"/>
      <c r="F153" s="452"/>
      <c r="G153" s="452"/>
      <c r="H153" s="452"/>
      <c r="I153" s="452"/>
      <c r="J153" s="452"/>
      <c r="K153" s="452"/>
      <c r="L153" s="452"/>
      <c r="M153" s="452"/>
      <c r="N153" s="452"/>
      <c r="O153" s="452"/>
      <c r="P153" s="452"/>
      <c r="Q153" s="452"/>
      <c r="R153" s="452"/>
      <c r="S153" s="452"/>
      <c r="U153" s="164"/>
      <c r="V153" s="164"/>
      <c r="W153" s="164"/>
      <c r="X153" s="217"/>
      <c r="Y153" s="217"/>
      <c r="Z153" s="217"/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M153" s="442"/>
      <c r="AN153" s="442"/>
      <c r="AO153" s="442"/>
      <c r="AP153" s="442"/>
      <c r="AQ153" s="442"/>
      <c r="AR153" s="442"/>
      <c r="AS153" s="442"/>
      <c r="AT153" s="442"/>
      <c r="AU153" s="442"/>
      <c r="AV153" s="442"/>
      <c r="AW153" s="442"/>
      <c r="AX153" s="442"/>
      <c r="AY153" s="442"/>
      <c r="AZ153" s="442"/>
      <c r="BA153" s="442"/>
      <c r="BB153" s="442"/>
      <c r="BC153" s="442"/>
      <c r="BD153" s="219"/>
      <c r="BE153" s="432"/>
      <c r="BF153" s="432"/>
      <c r="BG153" s="432"/>
      <c r="BH153" s="432"/>
      <c r="BI153" s="432"/>
      <c r="BJ153" s="432"/>
      <c r="BK153" s="432"/>
      <c r="BL153" s="432"/>
      <c r="BM153" s="432"/>
      <c r="BN153" s="432"/>
      <c r="BO153" s="432"/>
      <c r="BP153" s="432"/>
      <c r="BQ153" s="432"/>
      <c r="BR153" s="432"/>
      <c r="BS153" s="432"/>
      <c r="BT153" s="432"/>
      <c r="BU153" s="432"/>
      <c r="BV153" s="432"/>
      <c r="BW153" s="432"/>
      <c r="BX153" s="432"/>
      <c r="BY153" s="432"/>
      <c r="BZ153" s="432"/>
      <c r="CA153" s="432"/>
    </row>
    <row r="154" spans="1:79" ht="15.75" customHeight="1" x14ac:dyDescent="0.2">
      <c r="BE154" s="432"/>
      <c r="BF154" s="432"/>
      <c r="BG154" s="432"/>
      <c r="BH154" s="433"/>
      <c r="BI154" s="433"/>
      <c r="BJ154" s="433"/>
      <c r="BK154" s="433"/>
      <c r="BL154" s="433"/>
      <c r="BM154" s="311"/>
      <c r="BN154" s="311"/>
      <c r="BO154" s="311"/>
      <c r="BP154" s="311"/>
      <c r="BQ154" s="311"/>
      <c r="BR154" s="311"/>
      <c r="BS154" s="311"/>
      <c r="BT154" s="311"/>
    </row>
    <row r="155" spans="1:79" ht="13.5" customHeight="1" x14ac:dyDescent="0.2">
      <c r="A155" s="219" t="s">
        <v>125</v>
      </c>
      <c r="B155" s="219"/>
      <c r="C155" s="219"/>
      <c r="D155" s="219"/>
      <c r="BE155" s="434"/>
      <c r="BF155" s="432"/>
      <c r="BG155" s="432"/>
      <c r="BH155" s="216"/>
      <c r="BI155" s="432"/>
      <c r="BJ155" s="432"/>
      <c r="BK155" s="432"/>
      <c r="BL155" s="432"/>
      <c r="BM155" s="432"/>
      <c r="BN155" s="432"/>
      <c r="BO155" s="432"/>
      <c r="BP155" s="432"/>
      <c r="BQ155" s="432"/>
      <c r="BR155" s="432"/>
      <c r="BS155" s="432"/>
      <c r="BT155" s="432"/>
    </row>
    <row r="156" spans="1:79" ht="20.25" hidden="1" customHeight="1" x14ac:dyDescent="0.2">
      <c r="A156" s="221"/>
      <c r="B156" s="221"/>
      <c r="C156" s="221"/>
      <c r="D156" s="221"/>
      <c r="E156" s="221"/>
      <c r="F156" s="221"/>
      <c r="G156" s="221"/>
      <c r="H156" s="221"/>
      <c r="I156" s="221"/>
      <c r="J156" s="221"/>
      <c r="K156" s="221"/>
      <c r="L156" s="221"/>
      <c r="M156" s="221"/>
      <c r="N156" s="221"/>
      <c r="BE156" s="432"/>
      <c r="BF156" s="432"/>
      <c r="BG156" s="432"/>
      <c r="BH156" s="216"/>
      <c r="BI156" s="435"/>
      <c r="BJ156" s="435"/>
      <c r="BK156" s="435"/>
      <c r="BL156" s="435"/>
      <c r="BM156" s="435"/>
      <c r="BN156" s="435"/>
      <c r="BO156" s="432"/>
      <c r="BP156" s="432"/>
      <c r="BQ156" s="432"/>
      <c r="BR156" s="432"/>
      <c r="BS156" s="432"/>
      <c r="BT156" s="432"/>
    </row>
    <row r="157" spans="1:79" ht="24" hidden="1" customHeight="1" x14ac:dyDescent="0.25">
      <c r="A157" s="222"/>
      <c r="B157" s="222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22"/>
      <c r="AD157" s="222"/>
      <c r="AE157" s="222"/>
      <c r="AF157" s="222"/>
      <c r="AG157" s="222"/>
      <c r="AH157" s="222"/>
      <c r="AI157" s="222"/>
      <c r="AJ157" s="222"/>
      <c r="AK157" s="222"/>
      <c r="AL157" s="222"/>
      <c r="AM157" s="222"/>
      <c r="AN157" s="222"/>
      <c r="AO157" s="222"/>
      <c r="AP157" s="222"/>
      <c r="AQ157" s="222"/>
      <c r="AR157" s="222"/>
      <c r="AS157" s="222"/>
      <c r="BE157" s="432"/>
      <c r="BF157" s="432"/>
      <c r="BG157" s="432"/>
      <c r="BH157" s="216"/>
      <c r="BI157" s="435"/>
      <c r="BJ157" s="435"/>
      <c r="BK157" s="435"/>
      <c r="BL157" s="435"/>
      <c r="BM157" s="435"/>
      <c r="BN157" s="435"/>
      <c r="BO157" s="435"/>
      <c r="BP157" s="435"/>
      <c r="BQ157" s="435"/>
      <c r="BR157" s="435"/>
      <c r="BS157" s="435"/>
      <c r="BT157" s="435"/>
    </row>
    <row r="158" spans="1:79" ht="8.25" hidden="1" customHeight="1" x14ac:dyDescent="0.2"/>
    <row r="159" spans="1:79" ht="8.25" hidden="1" customHeight="1" x14ac:dyDescent="0.2"/>
    <row r="160" spans="1:79" ht="6.75" hidden="1" customHeight="1" x14ac:dyDescent="0.2"/>
    <row r="161" spans="26:79" ht="21" hidden="1" customHeight="1" x14ac:dyDescent="0.2">
      <c r="Z161" s="223"/>
      <c r="AA161" s="223"/>
      <c r="AB161" s="223"/>
      <c r="AC161" s="223"/>
      <c r="AD161" s="223"/>
      <c r="AE161" s="223"/>
      <c r="AF161" s="223"/>
      <c r="AG161" s="223"/>
      <c r="BE161" s="432" t="s">
        <v>233</v>
      </c>
      <c r="BF161" s="432"/>
      <c r="BG161" s="432"/>
      <c r="BH161" s="432"/>
      <c r="BI161" s="432"/>
      <c r="BJ161" s="432"/>
      <c r="BK161" s="432"/>
      <c r="BL161" s="432"/>
      <c r="BM161" s="432"/>
      <c r="BN161" s="432"/>
      <c r="BO161" s="432"/>
      <c r="BP161" s="432"/>
      <c r="BQ161" s="432"/>
      <c r="BR161" s="432"/>
      <c r="BS161" s="432"/>
      <c r="BT161" s="432"/>
      <c r="BU161" s="432"/>
      <c r="BV161" s="432"/>
      <c r="BW161" s="432"/>
      <c r="BX161" s="432"/>
      <c r="BY161" s="432"/>
      <c r="BZ161" s="432"/>
      <c r="CA161" s="432"/>
    </row>
    <row r="162" spans="26:79" ht="16.5" hidden="1" customHeight="1" x14ac:dyDescent="0.2">
      <c r="BE162" s="432" t="s">
        <v>126</v>
      </c>
      <c r="BF162" s="432"/>
      <c r="BG162" s="432"/>
      <c r="BH162" s="433">
        <f>250*53</f>
        <v>13250</v>
      </c>
      <c r="BI162" s="433"/>
      <c r="BJ162" s="433"/>
      <c r="BK162" s="433"/>
      <c r="BL162" s="433"/>
      <c r="BM162" s="311" t="s">
        <v>127</v>
      </c>
      <c r="BN162" s="311"/>
      <c r="BO162" s="311"/>
      <c r="BP162" s="311"/>
      <c r="BQ162" s="311"/>
      <c r="BR162" s="311"/>
      <c r="BS162" s="311"/>
      <c r="BT162" s="311"/>
    </row>
    <row r="163" spans="26:79" ht="18" hidden="1" customHeight="1" x14ac:dyDescent="0.2">
      <c r="BE163" s="434">
        <v>0.6</v>
      </c>
      <c r="BF163" s="432"/>
      <c r="BG163" s="432"/>
      <c r="BH163" s="216">
        <f>BH162*BE163</f>
        <v>7950</v>
      </c>
      <c r="BI163" s="432" t="s">
        <v>128</v>
      </c>
      <c r="BJ163" s="432"/>
      <c r="BK163" s="432"/>
      <c r="BL163" s="432"/>
      <c r="BM163" s="432"/>
      <c r="BN163" s="432" t="s">
        <v>129</v>
      </c>
      <c r="BO163" s="432"/>
      <c r="BP163" s="432"/>
      <c r="BQ163" s="432"/>
      <c r="BR163" s="432"/>
      <c r="BS163" s="432"/>
      <c r="BT163" s="432"/>
    </row>
    <row r="164" spans="26:79" ht="17.25" hidden="1" customHeight="1" x14ac:dyDescent="0.2">
      <c r="BE164" s="432">
        <v>211</v>
      </c>
      <c r="BF164" s="432"/>
      <c r="BG164" s="432"/>
      <c r="BH164" s="216">
        <f>BH163-BH165</f>
        <v>6105.9907834101377</v>
      </c>
      <c r="BI164" s="435">
        <f>BH164*0.1</f>
        <v>610.59907834101375</v>
      </c>
      <c r="BJ164" s="435"/>
      <c r="BK164" s="435"/>
      <c r="BL164" s="435"/>
      <c r="BM164" s="435"/>
      <c r="BN164" s="435">
        <f>BH164-BI164</f>
        <v>5495.3917050691243</v>
      </c>
      <c r="BO164" s="432"/>
      <c r="BP164" s="432"/>
      <c r="BQ164" s="432"/>
      <c r="BR164" s="432"/>
      <c r="BS164" s="432"/>
      <c r="BT164" s="432"/>
    </row>
    <row r="165" spans="26:79" ht="15.75" hidden="1" customHeight="1" x14ac:dyDescent="0.2">
      <c r="BE165" s="432">
        <v>213</v>
      </c>
      <c r="BF165" s="432"/>
      <c r="BG165" s="432"/>
      <c r="BH165" s="216">
        <f>BH163*30.2/130.2</f>
        <v>1844.0092165898618</v>
      </c>
      <c r="BI165" s="435">
        <f>BI164*30.2%</f>
        <v>184.40092165898614</v>
      </c>
      <c r="BJ165" s="435"/>
      <c r="BK165" s="435"/>
      <c r="BL165" s="435"/>
      <c r="BM165" s="435"/>
      <c r="BN165" s="435">
        <f>BN164*30.2%</f>
        <v>1659.6082949308754</v>
      </c>
      <c r="BO165" s="435"/>
      <c r="BP165" s="435"/>
      <c r="BQ165" s="435"/>
      <c r="BR165" s="435"/>
      <c r="BS165" s="435"/>
      <c r="BT165" s="435"/>
    </row>
    <row r="166" spans="26:79" ht="8.25" hidden="1" customHeight="1" x14ac:dyDescent="0.2"/>
    <row r="167" spans="26:79" ht="8.25" hidden="1" customHeight="1" x14ac:dyDescent="0.2"/>
    <row r="168" spans="26:79" ht="18" hidden="1" customHeight="1" x14ac:dyDescent="0.2">
      <c r="BE168" s="432"/>
      <c r="BF168" s="432"/>
      <c r="BG168" s="432"/>
      <c r="BH168" s="432"/>
      <c r="BI168" s="432"/>
      <c r="BJ168" s="432"/>
      <c r="BK168" s="432"/>
      <c r="BL168" s="432"/>
      <c r="BM168" s="432"/>
      <c r="BN168" s="432"/>
      <c r="BO168" s="432"/>
      <c r="BP168" s="432"/>
      <c r="BQ168" s="432"/>
      <c r="BR168" s="432"/>
      <c r="BS168" s="432"/>
      <c r="BT168" s="432"/>
      <c r="BU168" s="432"/>
      <c r="BV168" s="432"/>
      <c r="BW168" s="432"/>
      <c r="BX168" s="432"/>
      <c r="BY168" s="432"/>
      <c r="BZ168" s="432"/>
      <c r="CA168" s="432"/>
    </row>
    <row r="169" spans="26:79" ht="19.5" hidden="1" customHeight="1" x14ac:dyDescent="0.2">
      <c r="BE169" s="432" t="s">
        <v>241</v>
      </c>
      <c r="BF169" s="432"/>
      <c r="BG169" s="432"/>
      <c r="BH169" s="432"/>
      <c r="BI169" s="432"/>
      <c r="BJ169" s="432"/>
      <c r="BK169" s="432"/>
      <c r="BL169" s="432"/>
      <c r="BM169" s="432"/>
      <c r="BN169" s="432"/>
      <c r="BO169" s="432"/>
      <c r="BP169" s="432"/>
      <c r="BQ169" s="432"/>
      <c r="BR169" s="432"/>
      <c r="BS169" s="432"/>
      <c r="BT169" s="432"/>
      <c r="BU169" s="432"/>
      <c r="BV169" s="432"/>
      <c r="BW169" s="432"/>
      <c r="BX169" s="432"/>
      <c r="BY169" s="432"/>
      <c r="BZ169" s="432"/>
      <c r="CA169" s="432"/>
    </row>
    <row r="170" spans="26:79" ht="17.25" hidden="1" customHeight="1" x14ac:dyDescent="0.2">
      <c r="BE170" s="432" t="s">
        <v>126</v>
      </c>
      <c r="BF170" s="432"/>
      <c r="BG170" s="432"/>
      <c r="BH170" s="433">
        <f>250*54</f>
        <v>13500</v>
      </c>
      <c r="BI170" s="433"/>
      <c r="BJ170" s="433"/>
      <c r="BK170" s="433"/>
      <c r="BL170" s="433"/>
      <c r="BM170" s="311" t="s">
        <v>127</v>
      </c>
      <c r="BN170" s="311"/>
      <c r="BO170" s="311"/>
      <c r="BP170" s="311"/>
      <c r="BQ170" s="311"/>
      <c r="BR170" s="311"/>
      <c r="BS170" s="311"/>
      <c r="BT170" s="311"/>
    </row>
    <row r="171" spans="26:79" ht="17.25" hidden="1" customHeight="1" x14ac:dyDescent="0.2">
      <c r="BE171" s="434">
        <v>0.6</v>
      </c>
      <c r="BF171" s="432"/>
      <c r="BG171" s="432"/>
      <c r="BH171" s="216">
        <f>BH170*BE171</f>
        <v>8100</v>
      </c>
      <c r="BI171" s="432" t="s">
        <v>128</v>
      </c>
      <c r="BJ171" s="432"/>
      <c r="BK171" s="432"/>
      <c r="BL171" s="432"/>
      <c r="BM171" s="432"/>
      <c r="BN171" s="432" t="s">
        <v>129</v>
      </c>
      <c r="BO171" s="432"/>
      <c r="BP171" s="432"/>
      <c r="BQ171" s="432"/>
      <c r="BR171" s="432"/>
      <c r="BS171" s="432"/>
      <c r="BT171" s="432"/>
    </row>
    <row r="172" spans="26:79" ht="15.75" hidden="1" customHeight="1" x14ac:dyDescent="0.2">
      <c r="BE172" s="432">
        <v>211</v>
      </c>
      <c r="BF172" s="432"/>
      <c r="BG172" s="432"/>
      <c r="BH172" s="216">
        <f>BH171-BH173</f>
        <v>6221.1981566820277</v>
      </c>
      <c r="BI172" s="435">
        <f>BH172*0.1</f>
        <v>622.11981566820282</v>
      </c>
      <c r="BJ172" s="435"/>
      <c r="BK172" s="435"/>
      <c r="BL172" s="435"/>
      <c r="BM172" s="435"/>
      <c r="BN172" s="435">
        <f>BH172-BI172</f>
        <v>5599.0783410138247</v>
      </c>
      <c r="BO172" s="432"/>
      <c r="BP172" s="432"/>
      <c r="BQ172" s="432"/>
      <c r="BR172" s="432"/>
      <c r="BS172" s="432"/>
      <c r="BT172" s="432"/>
    </row>
    <row r="173" spans="26:79" ht="13.5" hidden="1" customHeight="1" x14ac:dyDescent="0.2">
      <c r="BE173" s="432">
        <v>213</v>
      </c>
      <c r="BF173" s="432"/>
      <c r="BG173" s="432"/>
      <c r="BH173" s="216">
        <f>BH171*30.2/130.2</f>
        <v>1878.8018433179725</v>
      </c>
      <c r="BI173" s="435">
        <f>BI172*30.2%</f>
        <v>187.88018433179724</v>
      </c>
      <c r="BJ173" s="435"/>
      <c r="BK173" s="435"/>
      <c r="BL173" s="435"/>
      <c r="BM173" s="435"/>
      <c r="BN173" s="435">
        <f>BN172*30.2%</f>
        <v>1690.9216589861751</v>
      </c>
      <c r="BO173" s="435"/>
      <c r="BP173" s="435"/>
      <c r="BQ173" s="435"/>
      <c r="BR173" s="435"/>
      <c r="BS173" s="435"/>
      <c r="BT173" s="435"/>
    </row>
    <row r="174" spans="26:79" ht="8.25" hidden="1" customHeight="1" x14ac:dyDescent="0.2"/>
    <row r="175" spans="26:79" ht="8.25" hidden="1" customHeight="1" x14ac:dyDescent="0.2"/>
    <row r="176" spans="26:79" ht="15.75" hidden="1" customHeight="1" x14ac:dyDescent="0.2">
      <c r="BE176" s="432"/>
      <c r="BF176" s="432"/>
      <c r="BG176" s="432"/>
      <c r="BH176" s="432"/>
      <c r="BI176" s="432"/>
      <c r="BJ176" s="432"/>
      <c r="BK176" s="432"/>
      <c r="BL176" s="432"/>
      <c r="BM176" s="432"/>
      <c r="BN176" s="432"/>
      <c r="BO176" s="432"/>
      <c r="BP176" s="432"/>
      <c r="BQ176" s="432"/>
      <c r="BR176" s="432"/>
      <c r="BS176" s="432"/>
      <c r="BT176" s="432"/>
      <c r="BU176" s="432"/>
      <c r="BV176" s="432"/>
      <c r="BW176" s="432"/>
      <c r="BX176" s="432"/>
      <c r="BY176" s="432"/>
      <c r="BZ176" s="432"/>
      <c r="CA176" s="432"/>
    </row>
    <row r="177" spans="57:79" ht="12.75" hidden="1" customHeight="1" x14ac:dyDescent="0.2">
      <c r="BE177" s="432" t="s">
        <v>164</v>
      </c>
      <c r="BF177" s="432"/>
      <c r="BG177" s="432"/>
      <c r="BH177" s="432"/>
      <c r="BI177" s="432"/>
      <c r="BJ177" s="432"/>
      <c r="BK177" s="432"/>
      <c r="BL177" s="432"/>
      <c r="BM177" s="432"/>
      <c r="BN177" s="432"/>
      <c r="BO177" s="432"/>
      <c r="BP177" s="432"/>
      <c r="BQ177" s="432"/>
      <c r="BR177" s="432"/>
      <c r="BS177" s="432"/>
      <c r="BT177" s="432"/>
      <c r="BU177" s="432"/>
      <c r="BV177" s="432"/>
      <c r="BW177" s="432"/>
      <c r="BX177" s="432"/>
      <c r="BY177" s="432"/>
      <c r="BZ177" s="432"/>
      <c r="CA177" s="432"/>
    </row>
    <row r="178" spans="57:79" ht="16.5" hidden="1" customHeight="1" x14ac:dyDescent="0.2">
      <c r="BE178" s="432" t="s">
        <v>126</v>
      </c>
      <c r="BF178" s="432"/>
      <c r="BG178" s="432"/>
      <c r="BH178" s="433">
        <f>125*7</f>
        <v>875</v>
      </c>
      <c r="BI178" s="433"/>
      <c r="BJ178" s="433"/>
      <c r="BK178" s="433"/>
      <c r="BL178" s="433"/>
      <c r="BM178" s="311" t="s">
        <v>127</v>
      </c>
      <c r="BN178" s="311"/>
      <c r="BO178" s="311"/>
      <c r="BP178" s="311"/>
      <c r="BQ178" s="311"/>
      <c r="BR178" s="311"/>
      <c r="BS178" s="311"/>
      <c r="BT178" s="311"/>
    </row>
    <row r="179" spans="57:79" ht="16.5" hidden="1" customHeight="1" x14ac:dyDescent="0.2">
      <c r="BE179" s="434">
        <v>0.6</v>
      </c>
      <c r="BF179" s="432"/>
      <c r="BG179" s="432"/>
      <c r="BH179" s="216">
        <f>BH178*BE179</f>
        <v>525</v>
      </c>
      <c r="BI179" s="432" t="s">
        <v>128</v>
      </c>
      <c r="BJ179" s="432"/>
      <c r="BK179" s="432"/>
      <c r="BL179" s="432"/>
      <c r="BM179" s="432"/>
      <c r="BN179" s="432" t="s">
        <v>129</v>
      </c>
      <c r="BO179" s="432"/>
      <c r="BP179" s="432"/>
      <c r="BQ179" s="432"/>
      <c r="BR179" s="432"/>
      <c r="BS179" s="432"/>
      <c r="BT179" s="432"/>
    </row>
    <row r="180" spans="57:79" ht="15" hidden="1" customHeight="1" x14ac:dyDescent="0.2">
      <c r="BE180" s="432">
        <v>211</v>
      </c>
      <c r="BF180" s="432"/>
      <c r="BG180" s="432"/>
      <c r="BH180" s="216">
        <f>BH179-BH181</f>
        <v>403.22580645161293</v>
      </c>
      <c r="BI180" s="435">
        <f>BH180*0.1</f>
        <v>40.322580645161295</v>
      </c>
      <c r="BJ180" s="435"/>
      <c r="BK180" s="435"/>
      <c r="BL180" s="435"/>
      <c r="BM180" s="435"/>
      <c r="BN180" s="435">
        <f>BH180-BI180</f>
        <v>362.90322580645164</v>
      </c>
      <c r="BO180" s="432"/>
      <c r="BP180" s="432"/>
      <c r="BQ180" s="432"/>
      <c r="BR180" s="432"/>
      <c r="BS180" s="432"/>
      <c r="BT180" s="432"/>
    </row>
    <row r="181" spans="57:79" ht="16.5" hidden="1" customHeight="1" x14ac:dyDescent="0.2">
      <c r="BE181" s="432">
        <v>213</v>
      </c>
      <c r="BF181" s="432"/>
      <c r="BG181" s="432"/>
      <c r="BH181" s="216">
        <f>BH179*30.2/130.2</f>
        <v>121.7741935483871</v>
      </c>
      <c r="BI181" s="435">
        <f>BI180*30.2%</f>
        <v>12.17741935483871</v>
      </c>
      <c r="BJ181" s="435"/>
      <c r="BK181" s="435"/>
      <c r="BL181" s="435"/>
      <c r="BM181" s="435"/>
      <c r="BN181" s="435">
        <f>BN180*30.2%</f>
        <v>109.5967741935484</v>
      </c>
      <c r="BO181" s="435"/>
      <c r="BP181" s="435"/>
      <c r="BQ181" s="435"/>
      <c r="BR181" s="435"/>
      <c r="BS181" s="435"/>
      <c r="BT181" s="435"/>
    </row>
    <row r="182" spans="57:79" ht="8.25" hidden="1" customHeight="1" x14ac:dyDescent="0.2"/>
    <row r="183" spans="57:79" ht="8.25" hidden="1" customHeight="1" x14ac:dyDescent="0.2"/>
    <row r="184" spans="57:79" ht="15" hidden="1" customHeight="1" x14ac:dyDescent="0.2">
      <c r="BE184" s="432"/>
      <c r="BF184" s="432"/>
      <c r="BG184" s="432"/>
      <c r="BH184" s="432"/>
      <c r="BI184" s="432"/>
      <c r="BJ184" s="432"/>
      <c r="BK184" s="432"/>
      <c r="BL184" s="432"/>
      <c r="BM184" s="432"/>
      <c r="BN184" s="432"/>
      <c r="BO184" s="432"/>
      <c r="BP184" s="432"/>
      <c r="BQ184" s="432"/>
      <c r="BR184" s="432"/>
      <c r="BS184" s="432"/>
      <c r="BT184" s="432"/>
      <c r="BU184" s="432"/>
      <c r="BV184" s="432"/>
      <c r="BW184" s="432"/>
      <c r="BX184" s="432"/>
      <c r="BY184" s="432"/>
      <c r="BZ184" s="432"/>
      <c r="CA184" s="432"/>
    </row>
    <row r="185" spans="57:79" ht="13.5" hidden="1" customHeight="1" x14ac:dyDescent="0.2">
      <c r="BE185" s="432" t="s">
        <v>174</v>
      </c>
      <c r="BF185" s="432"/>
      <c r="BG185" s="432"/>
      <c r="BH185" s="432"/>
      <c r="BI185" s="432"/>
      <c r="BJ185" s="432"/>
      <c r="BK185" s="432"/>
      <c r="BL185" s="432"/>
      <c r="BM185" s="432"/>
      <c r="BN185" s="432"/>
      <c r="BO185" s="432"/>
      <c r="BP185" s="432"/>
      <c r="BQ185" s="432"/>
      <c r="BR185" s="432"/>
      <c r="BS185" s="432"/>
      <c r="BT185" s="432"/>
      <c r="BU185" s="432"/>
      <c r="BV185" s="432"/>
      <c r="BW185" s="432"/>
      <c r="BX185" s="432"/>
      <c r="BY185" s="432"/>
      <c r="BZ185" s="432"/>
      <c r="CA185" s="432"/>
    </row>
    <row r="186" spans="57:79" ht="15" hidden="1" customHeight="1" x14ac:dyDescent="0.2">
      <c r="BE186" s="432" t="s">
        <v>126</v>
      </c>
      <c r="BF186" s="432"/>
      <c r="BG186" s="432"/>
      <c r="BH186" s="433">
        <f>125*16</f>
        <v>2000</v>
      </c>
      <c r="BI186" s="433"/>
      <c r="BJ186" s="433"/>
      <c r="BK186" s="433"/>
      <c r="BL186" s="433"/>
      <c r="BM186" s="311" t="s">
        <v>127</v>
      </c>
      <c r="BN186" s="311"/>
      <c r="BO186" s="311"/>
      <c r="BP186" s="311"/>
      <c r="BQ186" s="311"/>
      <c r="BR186" s="311"/>
      <c r="BS186" s="311"/>
      <c r="BT186" s="311"/>
    </row>
    <row r="187" spans="57:79" ht="16.5" hidden="1" customHeight="1" x14ac:dyDescent="0.2">
      <c r="BE187" s="434">
        <v>0.6</v>
      </c>
      <c r="BF187" s="432"/>
      <c r="BG187" s="432"/>
      <c r="BH187" s="216">
        <f>BH186*BE187</f>
        <v>1200</v>
      </c>
      <c r="BI187" s="432" t="s">
        <v>128</v>
      </c>
      <c r="BJ187" s="432"/>
      <c r="BK187" s="432"/>
      <c r="BL187" s="432"/>
      <c r="BM187" s="432"/>
      <c r="BN187" s="432" t="s">
        <v>129</v>
      </c>
      <c r="BO187" s="432"/>
      <c r="BP187" s="432"/>
      <c r="BQ187" s="432"/>
      <c r="BR187" s="432"/>
      <c r="BS187" s="432"/>
      <c r="BT187" s="432"/>
    </row>
    <row r="188" spans="57:79" ht="16.5" hidden="1" customHeight="1" x14ac:dyDescent="0.2">
      <c r="BE188" s="432">
        <v>211</v>
      </c>
      <c r="BF188" s="432"/>
      <c r="BG188" s="432"/>
      <c r="BH188" s="216">
        <f>BH187-BH189</f>
        <v>921.65898617511516</v>
      </c>
      <c r="BI188" s="435">
        <f>BH188*0.1</f>
        <v>92.165898617511516</v>
      </c>
      <c r="BJ188" s="435"/>
      <c r="BK188" s="435"/>
      <c r="BL188" s="435"/>
      <c r="BM188" s="435"/>
      <c r="BN188" s="435">
        <f>BH188-BI188</f>
        <v>829.49308755760364</v>
      </c>
      <c r="BO188" s="432"/>
      <c r="BP188" s="432"/>
      <c r="BQ188" s="432"/>
      <c r="BR188" s="432"/>
      <c r="BS188" s="432"/>
      <c r="BT188" s="432"/>
    </row>
    <row r="189" spans="57:79" ht="16.5" hidden="1" customHeight="1" x14ac:dyDescent="0.2">
      <c r="BE189" s="432">
        <v>213</v>
      </c>
      <c r="BF189" s="432"/>
      <c r="BG189" s="432"/>
      <c r="BH189" s="216">
        <f>BH187*30.2/130.2</f>
        <v>278.34101382488484</v>
      </c>
      <c r="BI189" s="435">
        <f>BI188*30.2%</f>
        <v>27.834101382488477</v>
      </c>
      <c r="BJ189" s="435"/>
      <c r="BK189" s="435"/>
      <c r="BL189" s="435"/>
      <c r="BM189" s="435"/>
      <c r="BN189" s="435">
        <f>BN188*30.2%</f>
        <v>250.5069124423963</v>
      </c>
      <c r="BO189" s="435"/>
      <c r="BP189" s="435"/>
      <c r="BQ189" s="435"/>
      <c r="BR189" s="435"/>
      <c r="BS189" s="435"/>
      <c r="BT189" s="435"/>
    </row>
    <row r="190" spans="57:79" ht="8.25" hidden="1" customHeight="1" x14ac:dyDescent="0.2"/>
    <row r="191" spans="57:79" ht="8.25" hidden="1" customHeight="1" x14ac:dyDescent="0.2"/>
    <row r="192" spans="57:79" ht="16.5" hidden="1" customHeight="1" x14ac:dyDescent="0.2">
      <c r="BE192" s="432" t="s">
        <v>178</v>
      </c>
      <c r="BF192" s="432"/>
      <c r="BG192" s="432"/>
      <c r="BH192" s="432"/>
      <c r="BI192" s="432"/>
      <c r="BJ192" s="432"/>
      <c r="BK192" s="432"/>
      <c r="BL192" s="432"/>
      <c r="BM192" s="432"/>
      <c r="BN192" s="432"/>
      <c r="BO192" s="432"/>
      <c r="BP192" s="432"/>
      <c r="BQ192" s="432"/>
      <c r="BR192" s="432"/>
      <c r="BS192" s="432"/>
      <c r="BT192" s="432"/>
      <c r="BU192" s="432"/>
      <c r="BV192" s="432"/>
      <c r="BW192" s="432"/>
      <c r="BX192" s="432"/>
      <c r="BY192" s="432"/>
      <c r="BZ192" s="432"/>
      <c r="CA192" s="432"/>
    </row>
    <row r="193" spans="57:79" ht="18" hidden="1" customHeight="1" x14ac:dyDescent="0.2">
      <c r="BE193" s="432" t="s">
        <v>126</v>
      </c>
      <c r="BF193" s="432"/>
      <c r="BG193" s="432"/>
      <c r="BH193" s="433">
        <f>125*9</f>
        <v>1125</v>
      </c>
      <c r="BI193" s="433"/>
      <c r="BJ193" s="433"/>
      <c r="BK193" s="433"/>
      <c r="BL193" s="433"/>
      <c r="BM193" s="311" t="s">
        <v>127</v>
      </c>
      <c r="BN193" s="311"/>
      <c r="BO193" s="311"/>
      <c r="BP193" s="311"/>
      <c r="BQ193" s="311"/>
      <c r="BR193" s="311"/>
      <c r="BS193" s="311"/>
      <c r="BT193" s="311"/>
    </row>
    <row r="194" spans="57:79" ht="16.5" hidden="1" customHeight="1" x14ac:dyDescent="0.2">
      <c r="BE194" s="434">
        <v>0.6</v>
      </c>
      <c r="BF194" s="432"/>
      <c r="BG194" s="432"/>
      <c r="BH194" s="216">
        <f>BH193*BE194</f>
        <v>675</v>
      </c>
      <c r="BI194" s="432" t="s">
        <v>128</v>
      </c>
      <c r="BJ194" s="432"/>
      <c r="BK194" s="432"/>
      <c r="BL194" s="432"/>
      <c r="BM194" s="432"/>
      <c r="BN194" s="432" t="s">
        <v>129</v>
      </c>
      <c r="BO194" s="432"/>
      <c r="BP194" s="432"/>
      <c r="BQ194" s="432"/>
      <c r="BR194" s="432"/>
      <c r="BS194" s="432"/>
      <c r="BT194" s="432"/>
    </row>
    <row r="195" spans="57:79" ht="17.25" hidden="1" customHeight="1" x14ac:dyDescent="0.2">
      <c r="BE195" s="432">
        <v>211</v>
      </c>
      <c r="BF195" s="432"/>
      <c r="BG195" s="432"/>
      <c r="BH195" s="216">
        <f>BH194-BH196</f>
        <v>518.43317972350223</v>
      </c>
      <c r="BI195" s="435">
        <f>BH195*0.1</f>
        <v>51.843317972350228</v>
      </c>
      <c r="BJ195" s="435"/>
      <c r="BK195" s="435"/>
      <c r="BL195" s="435"/>
      <c r="BM195" s="435"/>
      <c r="BN195" s="435">
        <f>BH195-BI195</f>
        <v>466.589861751152</v>
      </c>
      <c r="BO195" s="432"/>
      <c r="BP195" s="432"/>
      <c r="BQ195" s="432"/>
      <c r="BR195" s="432"/>
      <c r="BS195" s="432"/>
      <c r="BT195" s="432"/>
    </row>
    <row r="196" spans="57:79" ht="18" hidden="1" customHeight="1" x14ac:dyDescent="0.2">
      <c r="BE196" s="432">
        <v>213</v>
      </c>
      <c r="BF196" s="432"/>
      <c r="BG196" s="432"/>
      <c r="BH196" s="216">
        <f>BH194*30.2/130.2</f>
        <v>156.56682027649771</v>
      </c>
      <c r="BI196" s="435">
        <f>BI195*30.2%</f>
        <v>15.656682027649769</v>
      </c>
      <c r="BJ196" s="435"/>
      <c r="BK196" s="435"/>
      <c r="BL196" s="435"/>
      <c r="BM196" s="435"/>
      <c r="BN196" s="435">
        <f>BN195*30.2%</f>
        <v>140.91013824884789</v>
      </c>
      <c r="BO196" s="435"/>
      <c r="BP196" s="435"/>
      <c r="BQ196" s="435"/>
      <c r="BR196" s="435"/>
      <c r="BS196" s="435"/>
      <c r="BT196" s="435"/>
    </row>
    <row r="197" spans="57:79" ht="8.25" hidden="1" customHeight="1" x14ac:dyDescent="0.2"/>
    <row r="198" spans="57:79" ht="8.25" hidden="1" customHeight="1" x14ac:dyDescent="0.2"/>
    <row r="199" spans="57:79" ht="8.25" hidden="1" customHeight="1" x14ac:dyDescent="0.2"/>
    <row r="200" spans="57:79" ht="18.75" hidden="1" customHeight="1" x14ac:dyDescent="0.2">
      <c r="BE200" s="432" t="s">
        <v>188</v>
      </c>
      <c r="BF200" s="432"/>
      <c r="BG200" s="432"/>
      <c r="BH200" s="432"/>
      <c r="BI200" s="432"/>
      <c r="BJ200" s="432"/>
      <c r="BK200" s="432"/>
      <c r="BL200" s="432"/>
      <c r="BM200" s="432"/>
      <c r="BN200" s="432"/>
      <c r="BO200" s="432"/>
      <c r="BP200" s="432"/>
      <c r="BQ200" s="432"/>
      <c r="BR200" s="432"/>
      <c r="BS200" s="432"/>
      <c r="BT200" s="432"/>
      <c r="BU200" s="432"/>
      <c r="BV200" s="432"/>
      <c r="BW200" s="432"/>
      <c r="BX200" s="432"/>
      <c r="BY200" s="432"/>
      <c r="BZ200" s="432"/>
      <c r="CA200" s="432"/>
    </row>
    <row r="201" spans="57:79" ht="18.75" hidden="1" customHeight="1" x14ac:dyDescent="0.2">
      <c r="BE201" s="432" t="s">
        <v>126</v>
      </c>
      <c r="BF201" s="432"/>
      <c r="BG201" s="432"/>
      <c r="BH201" s="433">
        <f>125*4</f>
        <v>500</v>
      </c>
      <c r="BI201" s="433"/>
      <c r="BJ201" s="433"/>
      <c r="BK201" s="433"/>
      <c r="BL201" s="433"/>
      <c r="BM201" s="311" t="s">
        <v>127</v>
      </c>
      <c r="BN201" s="311"/>
      <c r="BO201" s="311"/>
      <c r="BP201" s="311"/>
      <c r="BQ201" s="311"/>
      <c r="BR201" s="311"/>
      <c r="BS201" s="311"/>
      <c r="BT201" s="311"/>
    </row>
    <row r="202" spans="57:79" ht="20.25" hidden="1" customHeight="1" x14ac:dyDescent="0.2">
      <c r="BE202" s="434">
        <v>0.6</v>
      </c>
      <c r="BF202" s="432"/>
      <c r="BG202" s="432"/>
      <c r="BH202" s="216">
        <f>BH201*BE202</f>
        <v>300</v>
      </c>
      <c r="BI202" s="432" t="s">
        <v>128</v>
      </c>
      <c r="BJ202" s="432"/>
      <c r="BK202" s="432"/>
      <c r="BL202" s="432"/>
      <c r="BM202" s="432"/>
      <c r="BN202" s="432" t="s">
        <v>129</v>
      </c>
      <c r="BO202" s="432"/>
      <c r="BP202" s="432"/>
      <c r="BQ202" s="432"/>
      <c r="BR202" s="432"/>
      <c r="BS202" s="432"/>
      <c r="BT202" s="432"/>
    </row>
    <row r="203" spans="57:79" ht="22.5" hidden="1" customHeight="1" x14ac:dyDescent="0.2">
      <c r="BE203" s="432">
        <v>211</v>
      </c>
      <c r="BF203" s="432"/>
      <c r="BG203" s="432"/>
      <c r="BH203" s="216">
        <f>BH202-BH204</f>
        <v>230.41474654377879</v>
      </c>
      <c r="BI203" s="435">
        <f>BH203*0.1</f>
        <v>23.041474654377879</v>
      </c>
      <c r="BJ203" s="435"/>
      <c r="BK203" s="435"/>
      <c r="BL203" s="435"/>
      <c r="BM203" s="435"/>
      <c r="BN203" s="435">
        <f>BH203-BI203</f>
        <v>207.37327188940091</v>
      </c>
      <c r="BO203" s="432"/>
      <c r="BP203" s="432"/>
      <c r="BQ203" s="432"/>
      <c r="BR203" s="432"/>
      <c r="BS203" s="432"/>
      <c r="BT203" s="432"/>
    </row>
    <row r="204" spans="57:79" ht="21" hidden="1" customHeight="1" x14ac:dyDescent="0.2">
      <c r="BE204" s="432">
        <v>213</v>
      </c>
      <c r="BF204" s="432"/>
      <c r="BG204" s="432"/>
      <c r="BH204" s="216">
        <f>BH202*30.2/130.2</f>
        <v>69.58525345622121</v>
      </c>
      <c r="BI204" s="435">
        <f>BI203*30.2%</f>
        <v>6.9585253456221192</v>
      </c>
      <c r="BJ204" s="435"/>
      <c r="BK204" s="435"/>
      <c r="BL204" s="435"/>
      <c r="BM204" s="435"/>
      <c r="BN204" s="435">
        <f>BN203*30.2%</f>
        <v>62.626728110599075</v>
      </c>
      <c r="BO204" s="435"/>
      <c r="BP204" s="435"/>
      <c r="BQ204" s="435"/>
      <c r="BR204" s="435"/>
      <c r="BS204" s="435"/>
      <c r="BT204" s="435"/>
    </row>
    <row r="205" spans="57:79" ht="8.25" hidden="1" customHeight="1" x14ac:dyDescent="0.2"/>
    <row r="206" spans="57:79" ht="8.25" hidden="1" customHeight="1" x14ac:dyDescent="0.2"/>
    <row r="207" spans="57:79" ht="8.25" hidden="1" customHeight="1" x14ac:dyDescent="0.2"/>
    <row r="208" spans="57:79" ht="13.5" hidden="1" customHeight="1" x14ac:dyDescent="0.2">
      <c r="BE208" s="432" t="s">
        <v>268</v>
      </c>
      <c r="BF208" s="432"/>
      <c r="BG208" s="432"/>
      <c r="BH208" s="432"/>
      <c r="BI208" s="432"/>
      <c r="BJ208" s="432"/>
      <c r="BK208" s="432"/>
      <c r="BL208" s="432"/>
      <c r="BM208" s="432"/>
      <c r="BN208" s="432"/>
      <c r="BO208" s="432"/>
      <c r="BP208" s="432"/>
      <c r="BQ208" s="432"/>
      <c r="BR208" s="432"/>
      <c r="BS208" s="432"/>
      <c r="BT208" s="432"/>
      <c r="BU208" s="432"/>
      <c r="BV208" s="432"/>
      <c r="BW208" s="432"/>
      <c r="BX208" s="432"/>
      <c r="BY208" s="432"/>
      <c r="BZ208" s="432"/>
      <c r="CA208" s="432"/>
    </row>
    <row r="209" spans="57:79" ht="12.75" hidden="1" customHeight="1" x14ac:dyDescent="0.2">
      <c r="BE209" s="432" t="s">
        <v>126</v>
      </c>
      <c r="BF209" s="432"/>
      <c r="BG209" s="432"/>
      <c r="BH209" s="433">
        <f>250*0</f>
        <v>0</v>
      </c>
      <c r="BI209" s="433"/>
      <c r="BJ209" s="433"/>
      <c r="BK209" s="433"/>
      <c r="BL209" s="433"/>
      <c r="BM209" s="311" t="s">
        <v>127</v>
      </c>
      <c r="BN209" s="311"/>
      <c r="BO209" s="311"/>
      <c r="BP209" s="311"/>
      <c r="BQ209" s="311"/>
      <c r="BR209" s="311"/>
      <c r="BS209" s="311"/>
      <c r="BT209" s="311"/>
    </row>
    <row r="210" spans="57:79" ht="17.25" hidden="1" customHeight="1" x14ac:dyDescent="0.2">
      <c r="BE210" s="434">
        <v>0.6</v>
      </c>
      <c r="BF210" s="432"/>
      <c r="BG210" s="432"/>
      <c r="BH210" s="216">
        <f>BH209*BE210</f>
        <v>0</v>
      </c>
      <c r="BI210" s="432" t="s">
        <v>128</v>
      </c>
      <c r="BJ210" s="432"/>
      <c r="BK210" s="432"/>
      <c r="BL210" s="432"/>
      <c r="BM210" s="432"/>
      <c r="BN210" s="432" t="s">
        <v>129</v>
      </c>
      <c r="BO210" s="432"/>
      <c r="BP210" s="432"/>
      <c r="BQ210" s="432"/>
      <c r="BR210" s="432"/>
      <c r="BS210" s="432"/>
      <c r="BT210" s="432"/>
    </row>
    <row r="211" spans="57:79" ht="16.5" hidden="1" customHeight="1" x14ac:dyDescent="0.2">
      <c r="BE211" s="432">
        <v>211</v>
      </c>
      <c r="BF211" s="432"/>
      <c r="BG211" s="432"/>
      <c r="BH211" s="216">
        <f>BH210-BH212</f>
        <v>0</v>
      </c>
      <c r="BI211" s="435">
        <f>BH211*0.1</f>
        <v>0</v>
      </c>
      <c r="BJ211" s="435"/>
      <c r="BK211" s="435"/>
      <c r="BL211" s="435"/>
      <c r="BM211" s="435"/>
      <c r="BN211" s="435">
        <f>BH211-BI211</f>
        <v>0</v>
      </c>
      <c r="BO211" s="432"/>
      <c r="BP211" s="432"/>
      <c r="BQ211" s="432"/>
      <c r="BR211" s="432"/>
      <c r="BS211" s="432"/>
      <c r="BT211" s="432"/>
    </row>
    <row r="212" spans="57:79" ht="13.5" hidden="1" customHeight="1" x14ac:dyDescent="0.2">
      <c r="BE212" s="432">
        <v>213</v>
      </c>
      <c r="BF212" s="432"/>
      <c r="BG212" s="432"/>
      <c r="BH212" s="216">
        <f>BH210*30.2/130.2</f>
        <v>0</v>
      </c>
      <c r="BI212" s="435">
        <f>BI211*30.2%</f>
        <v>0</v>
      </c>
      <c r="BJ212" s="435"/>
      <c r="BK212" s="435"/>
      <c r="BL212" s="435"/>
      <c r="BM212" s="435"/>
      <c r="BN212" s="435">
        <f>BN211*30.2%</f>
        <v>0</v>
      </c>
      <c r="BO212" s="435"/>
      <c r="BP212" s="435"/>
      <c r="BQ212" s="435"/>
      <c r="BR212" s="435"/>
      <c r="BS212" s="435"/>
      <c r="BT212" s="435"/>
    </row>
    <row r="213" spans="57:79" ht="15" hidden="1" customHeight="1" x14ac:dyDescent="0.2"/>
    <row r="214" spans="57:79" ht="8.25" hidden="1" customHeight="1" x14ac:dyDescent="0.2"/>
    <row r="215" spans="57:79" ht="12.75" hidden="1" customHeight="1" x14ac:dyDescent="0.2">
      <c r="BE215" s="432" t="s">
        <v>283</v>
      </c>
      <c r="BF215" s="432"/>
      <c r="BG215" s="432"/>
      <c r="BH215" s="432"/>
      <c r="BI215" s="432"/>
      <c r="BJ215" s="432"/>
      <c r="BK215" s="432"/>
      <c r="BL215" s="432"/>
      <c r="BM215" s="432"/>
      <c r="BN215" s="432"/>
      <c r="BO215" s="432"/>
      <c r="BP215" s="432"/>
      <c r="BQ215" s="432"/>
      <c r="BR215" s="432"/>
      <c r="BS215" s="432"/>
      <c r="BT215" s="432"/>
      <c r="BU215" s="432"/>
      <c r="BV215" s="432"/>
      <c r="BW215" s="432"/>
      <c r="BX215" s="432"/>
      <c r="BY215" s="432"/>
      <c r="BZ215" s="432"/>
      <c r="CA215" s="432"/>
    </row>
    <row r="216" spans="57:79" ht="12.75" hidden="1" customHeight="1" x14ac:dyDescent="0.2">
      <c r="BE216" s="432" t="s">
        <v>126</v>
      </c>
      <c r="BF216" s="432"/>
      <c r="BG216" s="432"/>
      <c r="BH216" s="433">
        <f>250*47</f>
        <v>11750</v>
      </c>
      <c r="BI216" s="433"/>
      <c r="BJ216" s="433"/>
      <c r="BK216" s="433"/>
      <c r="BL216" s="433"/>
      <c r="BM216" s="311" t="s">
        <v>127</v>
      </c>
      <c r="BN216" s="311"/>
      <c r="BO216" s="311"/>
      <c r="BP216" s="311"/>
      <c r="BQ216" s="311"/>
      <c r="BR216" s="311"/>
      <c r="BS216" s="311"/>
      <c r="BT216" s="311"/>
    </row>
    <row r="217" spans="57:79" ht="12.75" hidden="1" customHeight="1" x14ac:dyDescent="0.2">
      <c r="BE217" s="434">
        <v>0.6</v>
      </c>
      <c r="BF217" s="432"/>
      <c r="BG217" s="432"/>
      <c r="BH217" s="216">
        <f>BH216*BE217</f>
        <v>7050</v>
      </c>
      <c r="BI217" s="432" t="s">
        <v>128</v>
      </c>
      <c r="BJ217" s="432"/>
      <c r="BK217" s="432"/>
      <c r="BL217" s="432"/>
      <c r="BM217" s="432"/>
      <c r="BN217" s="432" t="s">
        <v>129</v>
      </c>
      <c r="BO217" s="432"/>
      <c r="BP217" s="432"/>
      <c r="BQ217" s="432"/>
      <c r="BR217" s="432"/>
      <c r="BS217" s="432"/>
      <c r="BT217" s="432"/>
    </row>
    <row r="218" spans="57:79" ht="12.75" hidden="1" customHeight="1" x14ac:dyDescent="0.2">
      <c r="BE218" s="432">
        <v>211</v>
      </c>
      <c r="BF218" s="432"/>
      <c r="BG218" s="432"/>
      <c r="BH218" s="216">
        <f>BH217-BH219</f>
        <v>5414.7465437788014</v>
      </c>
      <c r="BI218" s="435">
        <f>BH218*0.1</f>
        <v>541.47465437788014</v>
      </c>
      <c r="BJ218" s="435"/>
      <c r="BK218" s="435"/>
      <c r="BL218" s="435"/>
      <c r="BM218" s="435"/>
      <c r="BN218" s="435">
        <f>BH218-BI218</f>
        <v>4873.2718894009213</v>
      </c>
      <c r="BO218" s="432"/>
      <c r="BP218" s="432"/>
      <c r="BQ218" s="432"/>
      <c r="BR218" s="432"/>
      <c r="BS218" s="432"/>
      <c r="BT218" s="432"/>
    </row>
    <row r="219" spans="57:79" ht="12.75" hidden="1" customHeight="1" x14ac:dyDescent="0.2">
      <c r="BE219" s="432">
        <v>213</v>
      </c>
      <c r="BF219" s="432"/>
      <c r="BG219" s="432"/>
      <c r="BH219" s="216">
        <f>BH217*30.2/130.2</f>
        <v>1635.2534562211983</v>
      </c>
      <c r="BI219" s="435">
        <f>BI218*30.2%</f>
        <v>163.5253456221198</v>
      </c>
      <c r="BJ219" s="435"/>
      <c r="BK219" s="435"/>
      <c r="BL219" s="435"/>
      <c r="BM219" s="435"/>
      <c r="BN219" s="435">
        <f>BN218*30.2%</f>
        <v>1471.7281105990783</v>
      </c>
      <c r="BO219" s="435"/>
      <c r="BP219" s="435"/>
      <c r="BQ219" s="435"/>
      <c r="BR219" s="435"/>
      <c r="BS219" s="435"/>
      <c r="BT219" s="435"/>
    </row>
    <row r="220" spans="57:79" ht="12.75" hidden="1" customHeight="1" x14ac:dyDescent="0.2"/>
    <row r="221" spans="57:79" ht="6" hidden="1" customHeight="1" x14ac:dyDescent="0.2"/>
    <row r="222" spans="57:79" ht="15" hidden="1" customHeight="1" x14ac:dyDescent="0.2">
      <c r="BE222" s="432" t="s">
        <v>287</v>
      </c>
      <c r="BF222" s="432"/>
      <c r="BG222" s="432"/>
      <c r="BH222" s="432"/>
      <c r="BI222" s="432"/>
      <c r="BJ222" s="432"/>
      <c r="BK222" s="432"/>
      <c r="BL222" s="432"/>
      <c r="BM222" s="432"/>
      <c r="BN222" s="432"/>
      <c r="BO222" s="432"/>
      <c r="BP222" s="432"/>
      <c r="BQ222" s="432"/>
      <c r="BR222" s="432"/>
      <c r="BS222" s="432"/>
      <c r="BT222" s="432"/>
      <c r="BU222" s="432"/>
      <c r="BV222" s="432"/>
      <c r="BW222" s="432"/>
      <c r="BX222" s="432"/>
      <c r="BY222" s="432"/>
      <c r="BZ222" s="432"/>
      <c r="CA222" s="432"/>
    </row>
    <row r="223" spans="57:79" ht="15" hidden="1" customHeight="1" x14ac:dyDescent="0.2">
      <c r="BE223" s="432" t="s">
        <v>126</v>
      </c>
      <c r="BF223" s="432"/>
      <c r="BG223" s="432"/>
      <c r="BH223" s="433">
        <f>250*38</f>
        <v>9500</v>
      </c>
      <c r="BI223" s="433"/>
      <c r="BJ223" s="433"/>
      <c r="BK223" s="433"/>
      <c r="BL223" s="433"/>
      <c r="BM223" s="311" t="s">
        <v>127</v>
      </c>
      <c r="BN223" s="311"/>
      <c r="BO223" s="311"/>
      <c r="BP223" s="311"/>
      <c r="BQ223" s="311"/>
      <c r="BR223" s="311"/>
      <c r="BS223" s="311"/>
      <c r="BT223" s="311"/>
    </row>
    <row r="224" spans="57:79" ht="15" hidden="1" customHeight="1" x14ac:dyDescent="0.2">
      <c r="BE224" s="434">
        <v>0.6</v>
      </c>
      <c r="BF224" s="432"/>
      <c r="BG224" s="432"/>
      <c r="BH224" s="216">
        <f>BH223*BE224</f>
        <v>5700</v>
      </c>
      <c r="BI224" s="432" t="s">
        <v>128</v>
      </c>
      <c r="BJ224" s="432"/>
      <c r="BK224" s="432"/>
      <c r="BL224" s="432"/>
      <c r="BM224" s="432"/>
      <c r="BN224" s="432" t="s">
        <v>129</v>
      </c>
      <c r="BO224" s="432"/>
      <c r="BP224" s="432"/>
      <c r="BQ224" s="432"/>
      <c r="BR224" s="432"/>
      <c r="BS224" s="432"/>
      <c r="BT224" s="432"/>
    </row>
    <row r="225" spans="57:79" ht="15" hidden="1" customHeight="1" x14ac:dyDescent="0.2">
      <c r="BE225" s="432">
        <v>211</v>
      </c>
      <c r="BF225" s="432"/>
      <c r="BG225" s="432"/>
      <c r="BH225" s="216">
        <f>BH224-BH226</f>
        <v>4377.880184331797</v>
      </c>
      <c r="BI225" s="435">
        <f>BH225*0.1</f>
        <v>437.78801843317973</v>
      </c>
      <c r="BJ225" s="435"/>
      <c r="BK225" s="435"/>
      <c r="BL225" s="435"/>
      <c r="BM225" s="435"/>
      <c r="BN225" s="435">
        <f>BH225-BI225</f>
        <v>3940.0921658986172</v>
      </c>
      <c r="BO225" s="432"/>
      <c r="BP225" s="432"/>
      <c r="BQ225" s="432"/>
      <c r="BR225" s="432"/>
      <c r="BS225" s="432"/>
      <c r="BT225" s="432"/>
    </row>
    <row r="226" spans="57:79" ht="15" hidden="1" customHeight="1" x14ac:dyDescent="0.2">
      <c r="BE226" s="432">
        <v>213</v>
      </c>
      <c r="BF226" s="432"/>
      <c r="BG226" s="432"/>
      <c r="BH226" s="216">
        <f>BH224*30.2/130.2</f>
        <v>1322.1198156682028</v>
      </c>
      <c r="BI226" s="435">
        <f>BI225*30.2%</f>
        <v>132.21198156682027</v>
      </c>
      <c r="BJ226" s="435"/>
      <c r="BK226" s="435"/>
      <c r="BL226" s="435"/>
      <c r="BM226" s="435"/>
      <c r="BN226" s="435">
        <f>BN225*30.2%</f>
        <v>1189.9078341013824</v>
      </c>
      <c r="BO226" s="435"/>
      <c r="BP226" s="435"/>
      <c r="BQ226" s="435"/>
      <c r="BR226" s="435"/>
      <c r="BS226" s="435"/>
      <c r="BT226" s="435"/>
    </row>
    <row r="227" spans="57:79" ht="15" hidden="1" customHeight="1" x14ac:dyDescent="0.2"/>
    <row r="228" spans="57:79" ht="8.25" hidden="1" customHeight="1" x14ac:dyDescent="0.2"/>
    <row r="229" spans="57:79" ht="15" hidden="1" customHeight="1" x14ac:dyDescent="0.2">
      <c r="BE229" s="432" t="s">
        <v>294</v>
      </c>
      <c r="BF229" s="432"/>
      <c r="BG229" s="432"/>
      <c r="BH229" s="432"/>
      <c r="BI229" s="432"/>
      <c r="BJ229" s="432"/>
      <c r="BK229" s="432"/>
      <c r="BL229" s="432"/>
      <c r="BM229" s="432"/>
      <c r="BN229" s="432"/>
      <c r="BO229" s="432"/>
      <c r="BP229" s="432"/>
      <c r="BQ229" s="432"/>
      <c r="BR229" s="432"/>
      <c r="BS229" s="432"/>
      <c r="BT229" s="432"/>
      <c r="BU229" s="432"/>
      <c r="BV229" s="432"/>
      <c r="BW229" s="432"/>
      <c r="BX229" s="432"/>
      <c r="BY229" s="432"/>
      <c r="BZ229" s="432"/>
      <c r="CA229" s="432"/>
    </row>
    <row r="230" spans="57:79" ht="15" hidden="1" customHeight="1" x14ac:dyDescent="0.2">
      <c r="BE230" s="432" t="s">
        <v>126</v>
      </c>
      <c r="BF230" s="432"/>
      <c r="BG230" s="432"/>
      <c r="BH230" s="433">
        <f>250*35</f>
        <v>8750</v>
      </c>
      <c r="BI230" s="433"/>
      <c r="BJ230" s="433"/>
      <c r="BK230" s="433"/>
      <c r="BL230" s="433"/>
      <c r="BM230" s="311" t="s">
        <v>127</v>
      </c>
      <c r="BN230" s="311"/>
      <c r="BO230" s="311"/>
      <c r="BP230" s="311"/>
      <c r="BQ230" s="311"/>
      <c r="BR230" s="311"/>
      <c r="BS230" s="311"/>
      <c r="BT230" s="311"/>
    </row>
    <row r="231" spans="57:79" ht="15" hidden="1" customHeight="1" x14ac:dyDescent="0.2">
      <c r="BE231" s="434">
        <v>0.6</v>
      </c>
      <c r="BF231" s="432"/>
      <c r="BG231" s="432"/>
      <c r="BH231" s="216">
        <f>BH230*BE231</f>
        <v>5250</v>
      </c>
      <c r="BI231" s="432" t="s">
        <v>128</v>
      </c>
      <c r="BJ231" s="432"/>
      <c r="BK231" s="432"/>
      <c r="BL231" s="432"/>
      <c r="BM231" s="432"/>
      <c r="BN231" s="432" t="s">
        <v>129</v>
      </c>
      <c r="BO231" s="432"/>
      <c r="BP231" s="432"/>
      <c r="BQ231" s="432"/>
      <c r="BR231" s="432"/>
      <c r="BS231" s="432"/>
      <c r="BT231" s="432"/>
    </row>
    <row r="232" spans="57:79" ht="15" hidden="1" customHeight="1" x14ac:dyDescent="0.2">
      <c r="BE232" s="432">
        <v>211</v>
      </c>
      <c r="BF232" s="432"/>
      <c r="BG232" s="432"/>
      <c r="BH232" s="216">
        <f>BH231-BH233</f>
        <v>4032.2580645161288</v>
      </c>
      <c r="BI232" s="435">
        <f>BH232*0.1</f>
        <v>403.22580645161293</v>
      </c>
      <c r="BJ232" s="435"/>
      <c r="BK232" s="435"/>
      <c r="BL232" s="435"/>
      <c r="BM232" s="435"/>
      <c r="BN232" s="435">
        <f>BH232-BI232</f>
        <v>3629.0322580645161</v>
      </c>
      <c r="BO232" s="432"/>
      <c r="BP232" s="432"/>
      <c r="BQ232" s="432"/>
      <c r="BR232" s="432"/>
      <c r="BS232" s="432"/>
      <c r="BT232" s="432"/>
    </row>
    <row r="233" spans="57:79" ht="15" hidden="1" customHeight="1" x14ac:dyDescent="0.2">
      <c r="BE233" s="432">
        <v>213</v>
      </c>
      <c r="BF233" s="432"/>
      <c r="BG233" s="432"/>
      <c r="BH233" s="216">
        <f>BH231*30.2/130.2</f>
        <v>1217.741935483871</v>
      </c>
      <c r="BI233" s="435">
        <f>BI232*30.2%</f>
        <v>121.7741935483871</v>
      </c>
      <c r="BJ233" s="435"/>
      <c r="BK233" s="435"/>
      <c r="BL233" s="435"/>
      <c r="BM233" s="435"/>
      <c r="BN233" s="435">
        <f>BN232*30.2%</f>
        <v>1095.9677419354839</v>
      </c>
      <c r="BO233" s="435"/>
      <c r="BP233" s="435"/>
      <c r="BQ233" s="435"/>
      <c r="BR233" s="435"/>
      <c r="BS233" s="435"/>
      <c r="BT233" s="435"/>
    </row>
    <row r="234" spans="57:79" ht="15" hidden="1" customHeight="1" x14ac:dyDescent="0.2"/>
    <row r="235" spans="57:79" ht="9" hidden="1" customHeight="1" x14ac:dyDescent="0.2"/>
    <row r="236" spans="57:79" ht="15" hidden="1" customHeight="1" x14ac:dyDescent="0.2">
      <c r="BE236" s="432" t="s">
        <v>304</v>
      </c>
      <c r="BF236" s="432"/>
      <c r="BG236" s="432"/>
      <c r="BH236" s="432"/>
      <c r="BI236" s="432"/>
      <c r="BJ236" s="432"/>
      <c r="BK236" s="432"/>
      <c r="BL236" s="432"/>
      <c r="BM236" s="432"/>
      <c r="BN236" s="432"/>
      <c r="BO236" s="432"/>
      <c r="BP236" s="432"/>
      <c r="BQ236" s="432"/>
      <c r="BR236" s="432"/>
      <c r="BS236" s="432"/>
      <c r="BT236" s="432"/>
      <c r="BU236" s="432"/>
      <c r="BV236" s="432"/>
      <c r="BW236" s="432"/>
      <c r="BX236" s="432"/>
      <c r="BY236" s="432"/>
      <c r="BZ236" s="432"/>
      <c r="CA236" s="432"/>
    </row>
    <row r="237" spans="57:79" ht="15" hidden="1" customHeight="1" x14ac:dyDescent="0.2">
      <c r="BE237" s="432" t="s">
        <v>126</v>
      </c>
      <c r="BF237" s="432"/>
      <c r="BG237" s="432"/>
      <c r="BH237" s="433">
        <f>250*32</f>
        <v>8000</v>
      </c>
      <c r="BI237" s="433"/>
      <c r="BJ237" s="433"/>
      <c r="BK237" s="433"/>
      <c r="BL237" s="433"/>
      <c r="BM237" s="311" t="s">
        <v>127</v>
      </c>
      <c r="BN237" s="311"/>
      <c r="BO237" s="311"/>
      <c r="BP237" s="311"/>
      <c r="BQ237" s="311"/>
      <c r="BR237" s="311"/>
      <c r="BS237" s="311"/>
      <c r="BT237" s="311"/>
    </row>
    <row r="238" spans="57:79" ht="15" hidden="1" customHeight="1" x14ac:dyDescent="0.2">
      <c r="BE238" s="434">
        <v>0.6</v>
      </c>
      <c r="BF238" s="432"/>
      <c r="BG238" s="432"/>
      <c r="BH238" s="216">
        <f>BH237*BE238</f>
        <v>4800</v>
      </c>
      <c r="BI238" s="432" t="s">
        <v>128</v>
      </c>
      <c r="BJ238" s="432"/>
      <c r="BK238" s="432"/>
      <c r="BL238" s="432"/>
      <c r="BM238" s="432"/>
      <c r="BN238" s="432" t="s">
        <v>129</v>
      </c>
      <c r="BO238" s="432"/>
      <c r="BP238" s="432"/>
      <c r="BQ238" s="432"/>
      <c r="BR238" s="432"/>
      <c r="BS238" s="432"/>
      <c r="BT238" s="432"/>
    </row>
    <row r="239" spans="57:79" ht="15" hidden="1" customHeight="1" x14ac:dyDescent="0.2">
      <c r="BE239" s="432">
        <v>211</v>
      </c>
      <c r="BF239" s="432"/>
      <c r="BG239" s="432"/>
      <c r="BH239" s="216">
        <f>BH238-BH240</f>
        <v>3686.6359447004606</v>
      </c>
      <c r="BI239" s="435">
        <f>BH239*0.1</f>
        <v>368.66359447004606</v>
      </c>
      <c r="BJ239" s="435"/>
      <c r="BK239" s="435"/>
      <c r="BL239" s="435"/>
      <c r="BM239" s="435"/>
      <c r="BN239" s="435">
        <f>BH239-BI239</f>
        <v>3317.9723502304146</v>
      </c>
      <c r="BO239" s="432"/>
      <c r="BP239" s="432"/>
      <c r="BQ239" s="432"/>
      <c r="BR239" s="432"/>
      <c r="BS239" s="432"/>
      <c r="BT239" s="432"/>
    </row>
    <row r="240" spans="57:79" ht="15" hidden="1" customHeight="1" x14ac:dyDescent="0.2">
      <c r="BE240" s="432">
        <v>213</v>
      </c>
      <c r="BF240" s="432"/>
      <c r="BG240" s="432"/>
      <c r="BH240" s="216">
        <f>BH238*30.2/130.2</f>
        <v>1113.3640552995394</v>
      </c>
      <c r="BI240" s="435">
        <f>BI239*30.2%</f>
        <v>111.33640552995391</v>
      </c>
      <c r="BJ240" s="435"/>
      <c r="BK240" s="435"/>
      <c r="BL240" s="435"/>
      <c r="BM240" s="435"/>
      <c r="BN240" s="435">
        <f>BN239*30.2%</f>
        <v>1002.0276497695852</v>
      </c>
      <c r="BO240" s="435"/>
      <c r="BP240" s="435"/>
      <c r="BQ240" s="435"/>
      <c r="BR240" s="435"/>
      <c r="BS240" s="435"/>
      <c r="BT240" s="435"/>
    </row>
    <row r="241" spans="2:79" ht="15" hidden="1" customHeight="1" x14ac:dyDescent="0.25">
      <c r="B241" s="444" t="s">
        <v>434</v>
      </c>
      <c r="C241" s="441"/>
      <c r="D241" s="441"/>
      <c r="E241" s="441"/>
      <c r="F241" s="441"/>
      <c r="G241" s="441"/>
    </row>
    <row r="242" spans="2:79" ht="12" hidden="1" x14ac:dyDescent="0.2">
      <c r="BE242" s="432" t="s">
        <v>335</v>
      </c>
      <c r="BF242" s="432"/>
      <c r="BG242" s="432"/>
      <c r="BH242" s="432"/>
      <c r="BI242" s="432"/>
      <c r="BJ242" s="432"/>
      <c r="BK242" s="432"/>
      <c r="BL242" s="432"/>
      <c r="BM242" s="432"/>
      <c r="BN242" s="432"/>
      <c r="BO242" s="432"/>
      <c r="BP242" s="432"/>
      <c r="BQ242" s="432"/>
      <c r="BR242" s="432"/>
      <c r="BS242" s="432"/>
      <c r="BT242" s="432"/>
      <c r="BU242" s="432"/>
      <c r="BV242" s="432"/>
      <c r="BW242" s="432"/>
      <c r="BX242" s="432"/>
      <c r="BY242" s="432"/>
      <c r="BZ242" s="432"/>
      <c r="CA242" s="432"/>
    </row>
    <row r="243" spans="2:79" ht="12" hidden="1" x14ac:dyDescent="0.2">
      <c r="BE243" s="432" t="s">
        <v>126</v>
      </c>
      <c r="BF243" s="432"/>
      <c r="BG243" s="432"/>
      <c r="BH243" s="433">
        <f>250*8</f>
        <v>2000</v>
      </c>
      <c r="BI243" s="433"/>
      <c r="BJ243" s="433"/>
      <c r="BK243" s="433"/>
      <c r="BL243" s="433"/>
      <c r="BM243" s="311" t="s">
        <v>127</v>
      </c>
      <c r="BN243" s="311"/>
      <c r="BO243" s="311"/>
      <c r="BP243" s="311"/>
      <c r="BQ243" s="311"/>
      <c r="BR243" s="311"/>
      <c r="BS243" s="311"/>
      <c r="BT243" s="311"/>
    </row>
    <row r="244" spans="2:79" ht="12" hidden="1" x14ac:dyDescent="0.2">
      <c r="BE244" s="434">
        <v>0.6</v>
      </c>
      <c r="BF244" s="432"/>
      <c r="BG244" s="432"/>
      <c r="BH244" s="216">
        <f>BH243*BE244</f>
        <v>1200</v>
      </c>
      <c r="BI244" s="432" t="s">
        <v>128</v>
      </c>
      <c r="BJ244" s="432"/>
      <c r="BK244" s="432"/>
      <c r="BL244" s="432"/>
      <c r="BM244" s="432"/>
      <c r="BN244" s="432" t="s">
        <v>129</v>
      </c>
      <c r="BO244" s="432"/>
      <c r="BP244" s="432"/>
      <c r="BQ244" s="432"/>
      <c r="BR244" s="432"/>
      <c r="BS244" s="432"/>
      <c r="BT244" s="432"/>
    </row>
    <row r="245" spans="2:79" ht="12" hidden="1" x14ac:dyDescent="0.2">
      <c r="BE245" s="432">
        <v>211</v>
      </c>
      <c r="BF245" s="432"/>
      <c r="BG245" s="432"/>
      <c r="BH245" s="216">
        <f>BH244-BH246</f>
        <v>921.65898617511516</v>
      </c>
      <c r="BI245" s="435">
        <f>BH245*0.1</f>
        <v>92.165898617511516</v>
      </c>
      <c r="BJ245" s="435"/>
      <c r="BK245" s="435"/>
      <c r="BL245" s="435"/>
      <c r="BM245" s="435"/>
      <c r="BN245" s="436">
        <f>BH245-BI245</f>
        <v>829.49308755760364</v>
      </c>
      <c r="BO245" s="445"/>
      <c r="BP245" s="445"/>
      <c r="BQ245" s="445"/>
      <c r="BR245" s="445"/>
      <c r="BS245" s="445"/>
      <c r="BT245" s="445"/>
    </row>
    <row r="246" spans="2:79" ht="12" hidden="1" x14ac:dyDescent="0.2">
      <c r="BE246" s="432">
        <v>213</v>
      </c>
      <c r="BF246" s="432"/>
      <c r="BG246" s="432"/>
      <c r="BH246" s="216">
        <f>BH244*30.2/130.2</f>
        <v>278.34101382488484</v>
      </c>
      <c r="BI246" s="435">
        <f>BI245*30.2%</f>
        <v>27.834101382488477</v>
      </c>
      <c r="BJ246" s="435"/>
      <c r="BK246" s="435"/>
      <c r="BL246" s="435"/>
      <c r="BM246" s="435"/>
      <c r="BN246" s="435">
        <f>BN245*30.2%</f>
        <v>250.5069124423963</v>
      </c>
      <c r="BO246" s="435"/>
      <c r="BP246" s="435"/>
      <c r="BQ246" s="435"/>
      <c r="BR246" s="435"/>
      <c r="BS246" s="435"/>
      <c r="BT246" s="435"/>
    </row>
    <row r="247" spans="2:79" ht="8.25" hidden="1" customHeight="1" x14ac:dyDescent="0.2"/>
    <row r="248" spans="2:79" ht="8.25" hidden="1" customHeight="1" x14ac:dyDescent="0.2"/>
    <row r="249" spans="2:79" ht="8.25" hidden="1" customHeight="1" x14ac:dyDescent="0.2"/>
    <row r="250" spans="2:79" ht="8.25" hidden="1" customHeight="1" x14ac:dyDescent="0.2"/>
    <row r="251" spans="2:79" ht="12" hidden="1" x14ac:dyDescent="0.2">
      <c r="BE251" s="432" t="s">
        <v>344</v>
      </c>
      <c r="BF251" s="432"/>
      <c r="BG251" s="432"/>
      <c r="BH251" s="432"/>
      <c r="BI251" s="432"/>
      <c r="BJ251" s="432"/>
      <c r="BK251" s="432"/>
      <c r="BL251" s="432"/>
      <c r="BM251" s="432"/>
      <c r="BN251" s="432"/>
      <c r="BO251" s="432"/>
      <c r="BP251" s="432"/>
      <c r="BQ251" s="432"/>
      <c r="BR251" s="432"/>
      <c r="BS251" s="432"/>
      <c r="BT251" s="432"/>
      <c r="BU251" s="432"/>
      <c r="BV251" s="432"/>
      <c r="BW251" s="432"/>
      <c r="BX251" s="432"/>
      <c r="BY251" s="432"/>
      <c r="BZ251" s="432"/>
      <c r="CA251" s="432"/>
    </row>
    <row r="252" spans="2:79" ht="12" hidden="1" x14ac:dyDescent="0.2">
      <c r="BE252" s="432" t="s">
        <v>126</v>
      </c>
      <c r="BF252" s="432"/>
      <c r="BG252" s="432"/>
      <c r="BH252" s="433">
        <f>250*29</f>
        <v>7250</v>
      </c>
      <c r="BI252" s="433"/>
      <c r="BJ252" s="433"/>
      <c r="BK252" s="433"/>
      <c r="BL252" s="433"/>
      <c r="BM252" s="311" t="s">
        <v>127</v>
      </c>
      <c r="BN252" s="311"/>
      <c r="BO252" s="311"/>
      <c r="BP252" s="311"/>
      <c r="BQ252" s="311"/>
      <c r="BR252" s="311"/>
      <c r="BS252" s="311"/>
      <c r="BT252" s="311"/>
    </row>
    <row r="253" spans="2:79" ht="12" hidden="1" x14ac:dyDescent="0.2">
      <c r="BE253" s="434">
        <v>0.6</v>
      </c>
      <c r="BF253" s="432"/>
      <c r="BG253" s="432"/>
      <c r="BH253" s="216">
        <f>BH252*BE253</f>
        <v>4350</v>
      </c>
      <c r="BI253" s="432" t="s">
        <v>128</v>
      </c>
      <c r="BJ253" s="432"/>
      <c r="BK253" s="432"/>
      <c r="BL253" s="432"/>
      <c r="BM253" s="432"/>
      <c r="BN253" s="432" t="s">
        <v>129</v>
      </c>
      <c r="BO253" s="432"/>
      <c r="BP253" s="432"/>
      <c r="BQ253" s="432"/>
      <c r="BR253" s="432"/>
      <c r="BS253" s="432"/>
      <c r="BT253" s="432"/>
    </row>
    <row r="254" spans="2:79" ht="12" hidden="1" x14ac:dyDescent="0.2">
      <c r="BE254" s="432">
        <v>211</v>
      </c>
      <c r="BF254" s="432"/>
      <c r="BG254" s="432"/>
      <c r="BH254" s="216">
        <f>BH253-BH255</f>
        <v>3341.0138248847925</v>
      </c>
      <c r="BI254" s="435">
        <f>BH254*0.1</f>
        <v>334.10138248847926</v>
      </c>
      <c r="BJ254" s="435"/>
      <c r="BK254" s="435"/>
      <c r="BL254" s="435"/>
      <c r="BM254" s="435"/>
      <c r="BN254" s="436">
        <f>BH254-BI254</f>
        <v>3006.9124423963131</v>
      </c>
      <c r="BO254" s="445"/>
      <c r="BP254" s="445"/>
      <c r="BQ254" s="445"/>
      <c r="BR254" s="445"/>
      <c r="BS254" s="445"/>
      <c r="BT254" s="445"/>
    </row>
    <row r="255" spans="2:79" ht="12" hidden="1" x14ac:dyDescent="0.2">
      <c r="BE255" s="432">
        <v>213</v>
      </c>
      <c r="BF255" s="432"/>
      <c r="BG255" s="432"/>
      <c r="BH255" s="216">
        <f>BH253*30.2/130.2</f>
        <v>1008.9861751152075</v>
      </c>
      <c r="BI255" s="435">
        <f>BI254*30.2%</f>
        <v>100.89861751152074</v>
      </c>
      <c r="BJ255" s="435"/>
      <c r="BK255" s="435"/>
      <c r="BL255" s="435"/>
      <c r="BM255" s="435"/>
      <c r="BN255" s="435">
        <f>BN254*30.2%</f>
        <v>908.08755760368649</v>
      </c>
      <c r="BO255" s="435"/>
      <c r="BP255" s="435"/>
      <c r="BQ255" s="435"/>
      <c r="BR255" s="435"/>
      <c r="BS255" s="435"/>
      <c r="BT255" s="435"/>
    </row>
    <row r="256" spans="2:79" ht="8.25" hidden="1" customHeight="1" x14ac:dyDescent="0.2"/>
    <row r="257" spans="57:98" ht="8.25" hidden="1" customHeight="1" x14ac:dyDescent="0.2"/>
    <row r="258" spans="57:98" ht="12" hidden="1" x14ac:dyDescent="0.2">
      <c r="BE258" s="432" t="s">
        <v>357</v>
      </c>
      <c r="BF258" s="432"/>
      <c r="BG258" s="432"/>
      <c r="BH258" s="432"/>
      <c r="BI258" s="432"/>
      <c r="BJ258" s="432"/>
      <c r="BK258" s="432"/>
      <c r="BL258" s="432"/>
      <c r="BM258" s="432"/>
      <c r="BN258" s="432"/>
      <c r="BO258" s="432"/>
      <c r="BP258" s="432"/>
      <c r="BQ258" s="432"/>
      <c r="BR258" s="432"/>
      <c r="BS258" s="432"/>
      <c r="BT258" s="432"/>
      <c r="BU258" s="432"/>
      <c r="BV258" s="432"/>
      <c r="BW258" s="432"/>
      <c r="BX258" s="432"/>
      <c r="BY258" s="432"/>
      <c r="BZ258" s="432"/>
      <c r="CA258" s="432"/>
    </row>
    <row r="259" spans="57:98" ht="12" hidden="1" x14ac:dyDescent="0.2">
      <c r="BE259" s="432" t="s">
        <v>126</v>
      </c>
      <c r="BF259" s="432"/>
      <c r="BG259" s="432"/>
      <c r="BH259" s="433">
        <f>250*0</f>
        <v>0</v>
      </c>
      <c r="BI259" s="433"/>
      <c r="BJ259" s="433"/>
      <c r="BK259" s="433"/>
      <c r="BL259" s="433"/>
      <c r="BM259" s="311" t="s">
        <v>127</v>
      </c>
      <c r="BN259" s="311"/>
      <c r="BO259" s="311"/>
      <c r="BP259" s="311"/>
      <c r="BQ259" s="311"/>
      <c r="BR259" s="311"/>
      <c r="BS259" s="311"/>
      <c r="BT259" s="311"/>
    </row>
    <row r="260" spans="57:98" ht="12" hidden="1" x14ac:dyDescent="0.2">
      <c r="BE260" s="434">
        <v>0.6</v>
      </c>
      <c r="BF260" s="432"/>
      <c r="BG260" s="432"/>
      <c r="BH260" s="216">
        <f>BH259*BE260</f>
        <v>0</v>
      </c>
      <c r="BI260" s="432" t="s">
        <v>128</v>
      </c>
      <c r="BJ260" s="432"/>
      <c r="BK260" s="432"/>
      <c r="BL260" s="432"/>
      <c r="BM260" s="432"/>
      <c r="BN260" s="432" t="s">
        <v>129</v>
      </c>
      <c r="BO260" s="432"/>
      <c r="BP260" s="432"/>
      <c r="BQ260" s="432"/>
      <c r="BR260" s="432"/>
      <c r="BS260" s="432"/>
      <c r="BT260" s="432"/>
    </row>
    <row r="261" spans="57:98" ht="12" hidden="1" x14ac:dyDescent="0.2">
      <c r="BE261" s="432">
        <v>211</v>
      </c>
      <c r="BF261" s="432"/>
      <c r="BG261" s="432"/>
      <c r="BH261" s="216">
        <f>BH260-BH262</f>
        <v>0</v>
      </c>
      <c r="BI261" s="435">
        <f>BH261*0.1</f>
        <v>0</v>
      </c>
      <c r="BJ261" s="435"/>
      <c r="BK261" s="435"/>
      <c r="BL261" s="435"/>
      <c r="BM261" s="435"/>
      <c r="BN261" s="436">
        <f>BH261-BI261</f>
        <v>0</v>
      </c>
      <c r="BO261" s="445"/>
      <c r="BP261" s="445"/>
      <c r="BQ261" s="445"/>
      <c r="BR261" s="445"/>
      <c r="BS261" s="445"/>
      <c r="BT261" s="445"/>
    </row>
    <row r="262" spans="57:98" ht="12" hidden="1" x14ac:dyDescent="0.2">
      <c r="BE262" s="432">
        <v>213</v>
      </c>
      <c r="BF262" s="432"/>
      <c r="BG262" s="432"/>
      <c r="BH262" s="216">
        <f>BH260*30.2/130.2</f>
        <v>0</v>
      </c>
      <c r="BI262" s="435">
        <f>BI261*30.2%</f>
        <v>0</v>
      </c>
      <c r="BJ262" s="435"/>
      <c r="BK262" s="435"/>
      <c r="BL262" s="435"/>
      <c r="BM262" s="435"/>
      <c r="BN262" s="435">
        <f>BN261*30.2%</f>
        <v>0</v>
      </c>
      <c r="BO262" s="435"/>
      <c r="BP262" s="435"/>
      <c r="BQ262" s="435"/>
      <c r="BR262" s="435"/>
      <c r="BS262" s="435"/>
      <c r="BT262" s="435"/>
    </row>
    <row r="263" spans="57:98" ht="8.25" hidden="1" customHeight="1" x14ac:dyDescent="0.2"/>
    <row r="264" spans="57:98" ht="8.25" hidden="1" customHeight="1" x14ac:dyDescent="0.2"/>
    <row r="265" spans="57:98" ht="12" hidden="1" x14ac:dyDescent="0.2">
      <c r="BE265" s="432" t="s">
        <v>387</v>
      </c>
      <c r="BF265" s="432"/>
      <c r="BG265" s="432"/>
      <c r="BH265" s="432"/>
      <c r="BI265" s="432"/>
      <c r="BJ265" s="432"/>
      <c r="BK265" s="432"/>
      <c r="BL265" s="432"/>
      <c r="BM265" s="432"/>
      <c r="BN265" s="432"/>
      <c r="BO265" s="432"/>
      <c r="BP265" s="432"/>
      <c r="BQ265" s="432"/>
      <c r="BR265" s="432"/>
      <c r="BS265" s="432"/>
      <c r="BT265" s="432"/>
      <c r="BU265" s="432"/>
      <c r="BV265" s="432"/>
      <c r="BW265" s="432"/>
      <c r="BX265" s="432"/>
      <c r="BY265" s="432"/>
      <c r="BZ265" s="432"/>
      <c r="CA265" s="432"/>
    </row>
    <row r="266" spans="57:98" ht="12" hidden="1" x14ac:dyDescent="0.2">
      <c r="BE266" s="432" t="s">
        <v>126</v>
      </c>
      <c r="BF266" s="432"/>
      <c r="BG266" s="432"/>
      <c r="BH266" s="433">
        <f>250*13</f>
        <v>3250</v>
      </c>
      <c r="BI266" s="433"/>
      <c r="BJ266" s="433"/>
      <c r="BK266" s="433"/>
      <c r="BL266" s="433"/>
      <c r="BM266" s="311" t="s">
        <v>127</v>
      </c>
      <c r="BN266" s="311"/>
      <c r="BO266" s="311"/>
      <c r="BP266" s="311"/>
      <c r="BQ266" s="311"/>
      <c r="BR266" s="311"/>
      <c r="BS266" s="311"/>
      <c r="BT266" s="311"/>
    </row>
    <row r="267" spans="57:98" ht="15" hidden="1" x14ac:dyDescent="0.25">
      <c r="BE267" s="434">
        <v>0.6</v>
      </c>
      <c r="BF267" s="432"/>
      <c r="BG267" s="432"/>
      <c r="BH267" s="216">
        <f>BH266*BE267</f>
        <v>1950</v>
      </c>
      <c r="BI267" s="432" t="s">
        <v>128</v>
      </c>
      <c r="BJ267" s="432"/>
      <c r="BK267" s="432"/>
      <c r="BL267" s="432"/>
      <c r="BM267" s="432"/>
      <c r="BN267" s="432" t="s">
        <v>129</v>
      </c>
      <c r="BO267" s="432"/>
      <c r="BP267" s="432"/>
      <c r="BQ267" s="432"/>
      <c r="BR267" s="432"/>
      <c r="BS267" s="432"/>
      <c r="BT267" s="432"/>
      <c r="CE267" s="432" t="s">
        <v>368</v>
      </c>
      <c r="CF267" s="443"/>
      <c r="CG267" s="443"/>
      <c r="CH267" s="443"/>
      <c r="CI267" s="443"/>
      <c r="CJ267" s="443"/>
      <c r="CM267" s="432" t="s">
        <v>366</v>
      </c>
      <c r="CN267" s="443"/>
      <c r="CO267" s="443"/>
      <c r="CP267" s="443"/>
      <c r="CQ267" s="443"/>
      <c r="CR267" s="443"/>
      <c r="CS267" s="443"/>
      <c r="CT267" s="443"/>
    </row>
    <row r="268" spans="57:98" ht="15" hidden="1" x14ac:dyDescent="0.25">
      <c r="BE268" s="432">
        <v>211</v>
      </c>
      <c r="BF268" s="432"/>
      <c r="BG268" s="432"/>
      <c r="BH268" s="216">
        <f>BH267-BH269</f>
        <v>1497.6958525345622</v>
      </c>
      <c r="BI268" s="435">
        <f>BH268*0.1</f>
        <v>149.76958525345623</v>
      </c>
      <c r="BJ268" s="435"/>
      <c r="BK268" s="435"/>
      <c r="BL268" s="435"/>
      <c r="BM268" s="435"/>
      <c r="BN268" s="436">
        <f>BH268-BI268</f>
        <v>1347.926267281106</v>
      </c>
      <c r="BO268" s="445"/>
      <c r="BP268" s="445"/>
      <c r="BQ268" s="445"/>
      <c r="BR268" s="445"/>
      <c r="BS268" s="445"/>
      <c r="BT268" s="445"/>
      <c r="CE268" s="437">
        <f>BI268*15/20</f>
        <v>112.32718894009217</v>
      </c>
      <c r="CF268" s="446"/>
      <c r="CG268" s="446"/>
      <c r="CH268" s="446"/>
      <c r="CI268" s="446"/>
      <c r="CJ268" s="446"/>
      <c r="CM268" s="437">
        <f>BI268*5/20</f>
        <v>37.442396313364057</v>
      </c>
      <c r="CN268" s="446"/>
      <c r="CO268" s="446"/>
      <c r="CP268" s="446"/>
      <c r="CQ268" s="446"/>
      <c r="CR268" s="446"/>
      <c r="CS268" s="446"/>
      <c r="CT268" s="446"/>
    </row>
    <row r="269" spans="57:98" ht="12" hidden="1" x14ac:dyDescent="0.2">
      <c r="BE269" s="432">
        <v>213</v>
      </c>
      <c r="BF269" s="432"/>
      <c r="BG269" s="432"/>
      <c r="BH269" s="216">
        <f>BH267*30.2/130.2</f>
        <v>452.30414746543784</v>
      </c>
      <c r="BI269" s="435">
        <f>BI268*30.2%</f>
        <v>45.230414746543779</v>
      </c>
      <c r="BJ269" s="435"/>
      <c r="BK269" s="435"/>
      <c r="BL269" s="435"/>
      <c r="BM269" s="435"/>
      <c r="BN269" s="435">
        <f>BN268*30.2%</f>
        <v>407.07373271889401</v>
      </c>
      <c r="BO269" s="435"/>
      <c r="BP269" s="435"/>
      <c r="BQ269" s="435"/>
      <c r="BR269" s="435"/>
      <c r="BS269" s="435"/>
      <c r="BT269" s="435"/>
    </row>
    <row r="270" spans="57:98" ht="8.25" hidden="1" customHeight="1" x14ac:dyDescent="0.2"/>
    <row r="271" spans="57:98" ht="8.25" hidden="1" customHeight="1" x14ac:dyDescent="0.2"/>
    <row r="272" spans="57:98" ht="8.25" hidden="1" customHeight="1" x14ac:dyDescent="0.2"/>
    <row r="273" spans="57:98" ht="12" hidden="1" x14ac:dyDescent="0.2">
      <c r="BE273" s="432" t="s">
        <v>391</v>
      </c>
      <c r="BF273" s="432"/>
      <c r="BG273" s="432"/>
      <c r="BH273" s="432"/>
      <c r="BI273" s="432"/>
      <c r="BJ273" s="432"/>
      <c r="BK273" s="432"/>
      <c r="BL273" s="432"/>
      <c r="BM273" s="432"/>
      <c r="BN273" s="432"/>
      <c r="BO273" s="432"/>
      <c r="BP273" s="432"/>
      <c r="BQ273" s="432"/>
      <c r="BR273" s="432"/>
      <c r="BS273" s="432"/>
      <c r="BT273" s="432"/>
      <c r="BU273" s="432"/>
      <c r="BV273" s="432"/>
      <c r="BW273" s="432"/>
      <c r="BX273" s="432"/>
      <c r="BY273" s="432"/>
      <c r="BZ273" s="432"/>
      <c r="CA273" s="432"/>
    </row>
    <row r="274" spans="57:98" ht="12" hidden="1" x14ac:dyDescent="0.2">
      <c r="BE274" s="432" t="s">
        <v>126</v>
      </c>
      <c r="BF274" s="432"/>
      <c r="BG274" s="432"/>
      <c r="BH274" s="433">
        <f>250*19</f>
        <v>4750</v>
      </c>
      <c r="BI274" s="433"/>
      <c r="BJ274" s="433"/>
      <c r="BK274" s="433"/>
      <c r="BL274" s="433"/>
      <c r="BM274" s="311" t="s">
        <v>127</v>
      </c>
      <c r="BN274" s="311"/>
      <c r="BO274" s="311"/>
      <c r="BP274" s="311"/>
      <c r="BQ274" s="311"/>
      <c r="BR274" s="311"/>
      <c r="BS274" s="311"/>
      <c r="BT274" s="311"/>
    </row>
    <row r="275" spans="57:98" ht="15" hidden="1" x14ac:dyDescent="0.25">
      <c r="BE275" s="434">
        <v>0.6</v>
      </c>
      <c r="BF275" s="432"/>
      <c r="BG275" s="432"/>
      <c r="BH275" s="216">
        <f>BH274*BE275</f>
        <v>2850</v>
      </c>
      <c r="BI275" s="432" t="s">
        <v>128</v>
      </c>
      <c r="BJ275" s="432"/>
      <c r="BK275" s="432"/>
      <c r="BL275" s="432"/>
      <c r="BM275" s="432"/>
      <c r="BN275" s="432" t="s">
        <v>129</v>
      </c>
      <c r="BO275" s="432"/>
      <c r="BP275" s="432"/>
      <c r="BQ275" s="432"/>
      <c r="BR275" s="432"/>
      <c r="BS275" s="432"/>
      <c r="BT275" s="432"/>
      <c r="CE275" s="432" t="s">
        <v>368</v>
      </c>
      <c r="CF275" s="443"/>
      <c r="CG275" s="443"/>
      <c r="CH275" s="443"/>
      <c r="CI275" s="443"/>
      <c r="CJ275" s="443"/>
      <c r="CM275" s="432" t="s">
        <v>366</v>
      </c>
      <c r="CN275" s="443"/>
      <c r="CO275" s="443"/>
      <c r="CP275" s="443"/>
      <c r="CQ275" s="443"/>
      <c r="CR275" s="443"/>
      <c r="CS275" s="443"/>
      <c r="CT275" s="443"/>
    </row>
    <row r="276" spans="57:98" ht="15" hidden="1" x14ac:dyDescent="0.25">
      <c r="BE276" s="432">
        <v>211</v>
      </c>
      <c r="BF276" s="432"/>
      <c r="BG276" s="432"/>
      <c r="BH276" s="216">
        <f>BH275-BH277</f>
        <v>2188.9400921658985</v>
      </c>
      <c r="BI276" s="435">
        <f>BH276*0.1</f>
        <v>218.89400921658986</v>
      </c>
      <c r="BJ276" s="435"/>
      <c r="BK276" s="435"/>
      <c r="BL276" s="435"/>
      <c r="BM276" s="435"/>
      <c r="BN276" s="436">
        <f>BH276-BI276</f>
        <v>1970.0460829493086</v>
      </c>
      <c r="BO276" s="445"/>
      <c r="BP276" s="445"/>
      <c r="BQ276" s="445"/>
      <c r="BR276" s="445"/>
      <c r="BS276" s="445"/>
      <c r="BT276" s="445"/>
      <c r="CE276" s="437">
        <f>BI276*15/20</f>
        <v>164.17050691244239</v>
      </c>
      <c r="CF276" s="446"/>
      <c r="CG276" s="446"/>
      <c r="CH276" s="446"/>
      <c r="CI276" s="446"/>
      <c r="CJ276" s="446"/>
      <c r="CM276" s="437">
        <f>BI276*5/20</f>
        <v>54.723502304147459</v>
      </c>
      <c r="CN276" s="446"/>
      <c r="CO276" s="446"/>
      <c r="CP276" s="446"/>
      <c r="CQ276" s="446"/>
      <c r="CR276" s="446"/>
      <c r="CS276" s="446"/>
      <c r="CT276" s="446"/>
    </row>
    <row r="277" spans="57:98" ht="12" hidden="1" x14ac:dyDescent="0.2">
      <c r="BE277" s="432">
        <v>213</v>
      </c>
      <c r="BF277" s="432"/>
      <c r="BG277" s="432"/>
      <c r="BH277" s="216">
        <f>BH275*30.2/130.2</f>
        <v>661.05990783410141</v>
      </c>
      <c r="BI277" s="435">
        <f>BI276*30.2%</f>
        <v>66.105990783410135</v>
      </c>
      <c r="BJ277" s="435"/>
      <c r="BK277" s="435"/>
      <c r="BL277" s="435"/>
      <c r="BM277" s="435"/>
      <c r="BN277" s="435">
        <f>BN276*30.2%</f>
        <v>594.95391705069119</v>
      </c>
      <c r="BO277" s="435"/>
      <c r="BP277" s="435"/>
      <c r="BQ277" s="435"/>
      <c r="BR277" s="435"/>
      <c r="BS277" s="435"/>
      <c r="BT277" s="435"/>
    </row>
    <row r="278" spans="57:98" ht="8.25" hidden="1" customHeight="1" x14ac:dyDescent="0.2"/>
    <row r="279" spans="57:98" ht="8.25" hidden="1" customHeight="1" x14ac:dyDescent="0.2"/>
    <row r="280" spans="57:98" ht="8.25" hidden="1" customHeight="1" x14ac:dyDescent="0.2"/>
    <row r="281" spans="57:98" ht="8.25" hidden="1" customHeight="1" x14ac:dyDescent="0.2"/>
    <row r="282" spans="57:98" ht="12" hidden="1" x14ac:dyDescent="0.2">
      <c r="BE282" s="432" t="s">
        <v>402</v>
      </c>
      <c r="BF282" s="432"/>
      <c r="BG282" s="432"/>
      <c r="BH282" s="432"/>
      <c r="BI282" s="432"/>
      <c r="BJ282" s="432"/>
      <c r="BK282" s="432"/>
      <c r="BL282" s="432"/>
      <c r="BM282" s="432"/>
      <c r="BN282" s="432"/>
      <c r="BO282" s="432"/>
      <c r="BP282" s="432"/>
      <c r="BQ282" s="432"/>
      <c r="BR282" s="432"/>
      <c r="BS282" s="432"/>
      <c r="BT282" s="432"/>
      <c r="BU282" s="432"/>
      <c r="BV282" s="432"/>
      <c r="BW282" s="432"/>
      <c r="BX282" s="432"/>
      <c r="BY282" s="432"/>
      <c r="BZ282" s="432"/>
      <c r="CA282" s="432"/>
    </row>
    <row r="283" spans="57:98" ht="12" hidden="1" x14ac:dyDescent="0.2">
      <c r="BE283" s="432" t="s">
        <v>126</v>
      </c>
      <c r="BF283" s="432"/>
      <c r="BG283" s="432"/>
      <c r="BH283" s="433">
        <f>250*6</f>
        <v>1500</v>
      </c>
      <c r="BI283" s="433"/>
      <c r="BJ283" s="433"/>
      <c r="BK283" s="433"/>
      <c r="BL283" s="433"/>
      <c r="BM283" s="311" t="s">
        <v>127</v>
      </c>
      <c r="BN283" s="311"/>
      <c r="BO283" s="311"/>
      <c r="BP283" s="311"/>
      <c r="BQ283" s="311"/>
      <c r="BR283" s="311"/>
      <c r="BS283" s="311"/>
      <c r="BT283" s="311"/>
    </row>
    <row r="284" spans="57:98" ht="15" hidden="1" x14ac:dyDescent="0.25">
      <c r="BE284" s="434">
        <v>0.6</v>
      </c>
      <c r="BF284" s="432"/>
      <c r="BG284" s="432"/>
      <c r="BH284" s="216">
        <f>BH283*BE284</f>
        <v>900</v>
      </c>
      <c r="BI284" s="432" t="s">
        <v>128</v>
      </c>
      <c r="BJ284" s="432"/>
      <c r="BK284" s="432"/>
      <c r="BL284" s="432"/>
      <c r="BM284" s="432"/>
      <c r="BN284" s="432" t="s">
        <v>129</v>
      </c>
      <c r="BO284" s="432"/>
      <c r="BP284" s="432"/>
      <c r="BQ284" s="432"/>
      <c r="BR284" s="432"/>
      <c r="BS284" s="432"/>
      <c r="BT284" s="432"/>
      <c r="CE284" s="432" t="s">
        <v>368</v>
      </c>
      <c r="CF284" s="443"/>
      <c r="CG284" s="443"/>
      <c r="CH284" s="443"/>
      <c r="CI284" s="443"/>
      <c r="CJ284" s="443"/>
      <c r="CM284" s="432" t="s">
        <v>366</v>
      </c>
      <c r="CN284" s="443"/>
      <c r="CO284" s="443"/>
      <c r="CP284" s="443"/>
      <c r="CQ284" s="443"/>
      <c r="CR284" s="443"/>
      <c r="CS284" s="443"/>
      <c r="CT284" s="443"/>
    </row>
    <row r="285" spans="57:98" ht="15" hidden="1" x14ac:dyDescent="0.25">
      <c r="BE285" s="432">
        <v>211</v>
      </c>
      <c r="BF285" s="432"/>
      <c r="BG285" s="432"/>
      <c r="BH285" s="216">
        <f>BH284-BH286</f>
        <v>691.24423963133643</v>
      </c>
      <c r="BI285" s="435">
        <f>BH285*0.1</f>
        <v>69.124423963133651</v>
      </c>
      <c r="BJ285" s="435"/>
      <c r="BK285" s="435"/>
      <c r="BL285" s="435"/>
      <c r="BM285" s="435"/>
      <c r="BN285" s="436">
        <f>BH285-BI285</f>
        <v>622.11981566820282</v>
      </c>
      <c r="BO285" s="445"/>
      <c r="BP285" s="445"/>
      <c r="BQ285" s="445"/>
      <c r="BR285" s="445"/>
      <c r="BS285" s="445"/>
      <c r="BT285" s="445"/>
      <c r="CE285" s="437">
        <f>BI285*15/20</f>
        <v>51.843317972350235</v>
      </c>
      <c r="CF285" s="446"/>
      <c r="CG285" s="446"/>
      <c r="CH285" s="446"/>
      <c r="CI285" s="446"/>
      <c r="CJ285" s="446"/>
      <c r="CM285" s="437">
        <f>BI285*5/20</f>
        <v>17.281105990783413</v>
      </c>
      <c r="CN285" s="446"/>
      <c r="CO285" s="446"/>
      <c r="CP285" s="446"/>
      <c r="CQ285" s="446"/>
      <c r="CR285" s="446"/>
      <c r="CS285" s="446"/>
      <c r="CT285" s="446"/>
    </row>
    <row r="286" spans="57:98" ht="12" hidden="1" x14ac:dyDescent="0.2">
      <c r="BE286" s="432">
        <v>213</v>
      </c>
      <c r="BF286" s="432"/>
      <c r="BG286" s="432"/>
      <c r="BH286" s="216">
        <f>BH284*30.2/130.2</f>
        <v>208.7557603686636</v>
      </c>
      <c r="BI286" s="435">
        <f>BI285*30.2%</f>
        <v>20.875576036866363</v>
      </c>
      <c r="BJ286" s="435"/>
      <c r="BK286" s="435"/>
      <c r="BL286" s="435"/>
      <c r="BM286" s="435"/>
      <c r="BN286" s="435">
        <f>BN285*30.2%</f>
        <v>187.88018433179724</v>
      </c>
      <c r="BO286" s="435"/>
      <c r="BP286" s="435"/>
      <c r="BQ286" s="435"/>
      <c r="BR286" s="435"/>
      <c r="BS286" s="435"/>
      <c r="BT286" s="435"/>
    </row>
    <row r="287" spans="57:98" ht="8.25" hidden="1" customHeight="1" x14ac:dyDescent="0.2"/>
    <row r="288" spans="57:98" ht="8.25" hidden="1" customHeight="1" x14ac:dyDescent="0.2"/>
    <row r="289" spans="57:98" ht="8.25" hidden="1" customHeight="1" x14ac:dyDescent="0.2"/>
    <row r="290" spans="57:98" ht="8.25" hidden="1" customHeight="1" x14ac:dyDescent="0.2"/>
    <row r="291" spans="57:98" ht="8.25" hidden="1" customHeight="1" x14ac:dyDescent="0.2"/>
    <row r="292" spans="57:98" ht="15" hidden="1" x14ac:dyDescent="0.25">
      <c r="BH292" s="253">
        <f>BI245+BI254+BI261+CM268+CM276+CM285</f>
        <v>535.71428571428567</v>
      </c>
    </row>
    <row r="293" spans="57:98" ht="8.25" hidden="1" customHeight="1" x14ac:dyDescent="0.2"/>
    <row r="294" spans="57:98" ht="12" hidden="1" x14ac:dyDescent="0.2"/>
    <row r="295" spans="57:98" ht="12" hidden="1" x14ac:dyDescent="0.2">
      <c r="BE295" s="432" t="s">
        <v>448</v>
      </c>
      <c r="BF295" s="432"/>
      <c r="BG295" s="432"/>
      <c r="BH295" s="432"/>
      <c r="BI295" s="432"/>
      <c r="BJ295" s="432"/>
      <c r="BK295" s="432"/>
      <c r="BL295" s="432"/>
      <c r="BM295" s="432"/>
      <c r="BN295" s="432"/>
      <c r="BO295" s="432"/>
      <c r="BP295" s="432"/>
      <c r="BQ295" s="432"/>
      <c r="BR295" s="432"/>
      <c r="BS295" s="432"/>
      <c r="BT295" s="432"/>
      <c r="BU295" s="432"/>
      <c r="BV295" s="432"/>
      <c r="BW295" s="432"/>
      <c r="BX295" s="432"/>
      <c r="BY295" s="432"/>
      <c r="BZ295" s="432"/>
      <c r="CA295" s="432"/>
    </row>
    <row r="296" spans="57:98" ht="12" hidden="1" x14ac:dyDescent="0.2">
      <c r="BE296" s="432" t="s">
        <v>126</v>
      </c>
      <c r="BF296" s="432"/>
      <c r="BG296" s="432"/>
      <c r="BH296" s="433">
        <f>250*30</f>
        <v>7500</v>
      </c>
      <c r="BI296" s="433"/>
      <c r="BJ296" s="433"/>
      <c r="BK296" s="433"/>
      <c r="BL296" s="433"/>
      <c r="BM296" s="311" t="s">
        <v>127</v>
      </c>
      <c r="BN296" s="311"/>
      <c r="BO296" s="311"/>
      <c r="BP296" s="311"/>
      <c r="BQ296" s="311"/>
      <c r="BR296" s="311"/>
      <c r="BS296" s="311"/>
      <c r="BT296" s="311"/>
    </row>
    <row r="297" spans="57:98" ht="15" hidden="1" x14ac:dyDescent="0.25">
      <c r="BE297" s="434">
        <v>0.6</v>
      </c>
      <c r="BF297" s="432"/>
      <c r="BG297" s="432"/>
      <c r="BH297" s="216">
        <f>BH296*BE297</f>
        <v>4500</v>
      </c>
      <c r="BI297" s="432" t="s">
        <v>128</v>
      </c>
      <c r="BJ297" s="432"/>
      <c r="BK297" s="432"/>
      <c r="BL297" s="432"/>
      <c r="BM297" s="432"/>
      <c r="BN297" s="432" t="s">
        <v>129</v>
      </c>
      <c r="BO297" s="432"/>
      <c r="BP297" s="432"/>
      <c r="BQ297" s="432"/>
      <c r="BR297" s="432"/>
      <c r="BS297" s="432"/>
      <c r="BT297" s="432"/>
      <c r="CE297" s="432" t="s">
        <v>368</v>
      </c>
      <c r="CF297" s="443"/>
      <c r="CG297" s="443"/>
      <c r="CH297" s="443"/>
      <c r="CI297" s="443"/>
      <c r="CJ297" s="443"/>
      <c r="CM297" s="432" t="s">
        <v>366</v>
      </c>
      <c r="CN297" s="443"/>
      <c r="CO297" s="443"/>
      <c r="CP297" s="443"/>
      <c r="CQ297" s="443"/>
      <c r="CR297" s="443"/>
      <c r="CS297" s="443"/>
      <c r="CT297" s="443"/>
    </row>
    <row r="298" spans="57:98" ht="15" hidden="1" x14ac:dyDescent="0.25">
      <c r="BE298" s="432">
        <v>211</v>
      </c>
      <c r="BF298" s="432"/>
      <c r="BG298" s="432"/>
      <c r="BH298" s="216">
        <f>BH297-BH299</f>
        <v>3456.221198156682</v>
      </c>
      <c r="BI298" s="435">
        <f>BH298*0.1</f>
        <v>345.62211981566821</v>
      </c>
      <c r="BJ298" s="435"/>
      <c r="BK298" s="435"/>
      <c r="BL298" s="435"/>
      <c r="BM298" s="435"/>
      <c r="BN298" s="436">
        <f>BH298-BI298</f>
        <v>3110.5990783410139</v>
      </c>
      <c r="BO298" s="445"/>
      <c r="BP298" s="445"/>
      <c r="BQ298" s="445"/>
      <c r="BR298" s="445"/>
      <c r="BS298" s="445"/>
      <c r="BT298" s="445"/>
      <c r="CE298" s="437">
        <f>BI298*15/20</f>
        <v>259.21658986175117</v>
      </c>
      <c r="CF298" s="446"/>
      <c r="CG298" s="446"/>
      <c r="CH298" s="446"/>
      <c r="CI298" s="446"/>
      <c r="CJ298" s="446"/>
      <c r="CM298" s="437">
        <f>BI298*5/20</f>
        <v>86.405529953917053</v>
      </c>
      <c r="CN298" s="446"/>
      <c r="CO298" s="446"/>
      <c r="CP298" s="446"/>
      <c r="CQ298" s="446"/>
      <c r="CR298" s="446"/>
      <c r="CS298" s="446"/>
      <c r="CT298" s="446"/>
    </row>
    <row r="299" spans="57:98" ht="12" hidden="1" x14ac:dyDescent="0.2">
      <c r="BE299" s="432">
        <v>213</v>
      </c>
      <c r="BF299" s="432"/>
      <c r="BG299" s="432"/>
      <c r="BH299" s="216">
        <f>BH297*30.2/130.2</f>
        <v>1043.778801843318</v>
      </c>
      <c r="BI299" s="435">
        <f>BI298*30.2%</f>
        <v>104.3778801843318</v>
      </c>
      <c r="BJ299" s="435"/>
      <c r="BK299" s="435"/>
      <c r="BL299" s="435"/>
      <c r="BM299" s="435"/>
      <c r="BN299" s="435">
        <f>BN298*30.2%</f>
        <v>939.40092165898614</v>
      </c>
      <c r="BO299" s="435"/>
      <c r="BP299" s="435"/>
      <c r="BQ299" s="435"/>
      <c r="BR299" s="435"/>
      <c r="BS299" s="435"/>
      <c r="BT299" s="435"/>
    </row>
    <row r="300" spans="57:98" ht="8.25" hidden="1" customHeight="1" x14ac:dyDescent="0.2"/>
    <row r="301" spans="57:98" ht="8.25" hidden="1" customHeight="1" x14ac:dyDescent="0.2"/>
    <row r="302" spans="57:98" ht="8.25" hidden="1" customHeight="1" x14ac:dyDescent="0.2"/>
    <row r="303" spans="57:98" ht="12" hidden="1" x14ac:dyDescent="0.2">
      <c r="BE303" s="432" t="s">
        <v>453</v>
      </c>
      <c r="BF303" s="432"/>
      <c r="BG303" s="432"/>
      <c r="BH303" s="432"/>
      <c r="BI303" s="432"/>
      <c r="BJ303" s="432"/>
      <c r="BK303" s="432"/>
      <c r="BL303" s="432"/>
      <c r="BM303" s="432"/>
      <c r="BN303" s="432"/>
      <c r="BO303" s="432"/>
      <c r="BP303" s="432"/>
      <c r="BQ303" s="432"/>
      <c r="BR303" s="432"/>
      <c r="BS303" s="432"/>
      <c r="BT303" s="432"/>
      <c r="BU303" s="432"/>
      <c r="BV303" s="432"/>
      <c r="BW303" s="432"/>
      <c r="BX303" s="432"/>
      <c r="BY303" s="432"/>
      <c r="BZ303" s="432"/>
      <c r="CA303" s="432"/>
    </row>
    <row r="304" spans="57:98" ht="12" hidden="1" x14ac:dyDescent="0.2">
      <c r="BE304" s="432" t="s">
        <v>126</v>
      </c>
      <c r="BF304" s="432"/>
      <c r="BG304" s="432"/>
      <c r="BH304" s="433">
        <f>250*22</f>
        <v>5500</v>
      </c>
      <c r="BI304" s="433"/>
      <c r="BJ304" s="433"/>
      <c r="BK304" s="433"/>
      <c r="BL304" s="433"/>
      <c r="BM304" s="311" t="s">
        <v>127</v>
      </c>
      <c r="BN304" s="311"/>
      <c r="BO304" s="311"/>
      <c r="BP304" s="311"/>
      <c r="BQ304" s="311"/>
      <c r="BR304" s="311"/>
      <c r="BS304" s="311"/>
      <c r="BT304" s="311"/>
    </row>
    <row r="305" spans="57:98" ht="15" hidden="1" x14ac:dyDescent="0.25">
      <c r="BE305" s="434">
        <v>0.6</v>
      </c>
      <c r="BF305" s="432"/>
      <c r="BG305" s="432"/>
      <c r="BH305" s="216">
        <f>BH304*BE305</f>
        <v>3300</v>
      </c>
      <c r="BI305" s="432" t="s">
        <v>128</v>
      </c>
      <c r="BJ305" s="432"/>
      <c r="BK305" s="432"/>
      <c r="BL305" s="432"/>
      <c r="BM305" s="432"/>
      <c r="BN305" s="432" t="s">
        <v>129</v>
      </c>
      <c r="BO305" s="432"/>
      <c r="BP305" s="432"/>
      <c r="BQ305" s="432"/>
      <c r="BR305" s="432"/>
      <c r="BS305" s="432"/>
      <c r="BT305" s="432"/>
      <c r="CE305" s="432" t="s">
        <v>368</v>
      </c>
      <c r="CF305" s="443"/>
      <c r="CG305" s="443"/>
      <c r="CH305" s="443"/>
      <c r="CI305" s="443"/>
      <c r="CJ305" s="443"/>
      <c r="CM305" s="432" t="s">
        <v>366</v>
      </c>
      <c r="CN305" s="443"/>
      <c r="CO305" s="443"/>
      <c r="CP305" s="443"/>
      <c r="CQ305" s="443"/>
      <c r="CR305" s="443"/>
      <c r="CS305" s="443"/>
      <c r="CT305" s="443"/>
    </row>
    <row r="306" spans="57:98" ht="15" hidden="1" x14ac:dyDescent="0.25">
      <c r="BE306" s="432">
        <v>211</v>
      </c>
      <c r="BF306" s="432"/>
      <c r="BG306" s="432"/>
      <c r="BH306" s="216">
        <f>BH305-BH307</f>
        <v>2534.5622119815666</v>
      </c>
      <c r="BI306" s="435">
        <f>BH306*0.1</f>
        <v>253.45622119815667</v>
      </c>
      <c r="BJ306" s="435"/>
      <c r="BK306" s="435"/>
      <c r="BL306" s="435"/>
      <c r="BM306" s="435"/>
      <c r="BN306" s="436">
        <f>BH306-BI306</f>
        <v>2281.1059907834101</v>
      </c>
      <c r="BO306" s="445"/>
      <c r="BP306" s="445"/>
      <c r="BQ306" s="445"/>
      <c r="BR306" s="445"/>
      <c r="BS306" s="445"/>
      <c r="BT306" s="445"/>
      <c r="CE306" s="437">
        <f>BI306*15/20</f>
        <v>190.09216589861751</v>
      </c>
      <c r="CF306" s="446"/>
      <c r="CG306" s="446"/>
      <c r="CH306" s="446"/>
      <c r="CI306" s="446"/>
      <c r="CJ306" s="446"/>
      <c r="CM306" s="437">
        <f>BI306*5/20</f>
        <v>63.364055299539167</v>
      </c>
      <c r="CN306" s="446"/>
      <c r="CO306" s="446"/>
      <c r="CP306" s="446"/>
      <c r="CQ306" s="446"/>
      <c r="CR306" s="446"/>
      <c r="CS306" s="446"/>
      <c r="CT306" s="446"/>
    </row>
    <row r="307" spans="57:98" ht="12" hidden="1" x14ac:dyDescent="0.2">
      <c r="BE307" s="432">
        <v>213</v>
      </c>
      <c r="BF307" s="432"/>
      <c r="BG307" s="432"/>
      <c r="BH307" s="216">
        <f>BH305*30.2/130.2</f>
        <v>765.43778801843325</v>
      </c>
      <c r="BI307" s="435">
        <f>BI306*30.2%</f>
        <v>76.543778801843317</v>
      </c>
      <c r="BJ307" s="435"/>
      <c r="BK307" s="435"/>
      <c r="BL307" s="435"/>
      <c r="BM307" s="435"/>
      <c r="BN307" s="435">
        <f>BN306*30.2%</f>
        <v>688.89400921658978</v>
      </c>
      <c r="BO307" s="435"/>
      <c r="BP307" s="435"/>
      <c r="BQ307" s="435"/>
      <c r="BR307" s="435"/>
      <c r="BS307" s="435"/>
      <c r="BT307" s="435"/>
    </row>
    <row r="308" spans="57:98" ht="8.25" hidden="1" customHeight="1" x14ac:dyDescent="0.2"/>
    <row r="309" spans="57:98" ht="8.25" hidden="1" customHeight="1" x14ac:dyDescent="0.2"/>
    <row r="310" spans="57:98" ht="12" hidden="1" x14ac:dyDescent="0.2">
      <c r="BE310" s="432" t="s">
        <v>466</v>
      </c>
      <c r="BF310" s="432"/>
      <c r="BG310" s="432"/>
      <c r="BH310" s="432"/>
      <c r="BI310" s="432"/>
      <c r="BJ310" s="432"/>
      <c r="BK310" s="432"/>
      <c r="BL310" s="432"/>
      <c r="BM310" s="432"/>
      <c r="BN310" s="432"/>
      <c r="BO310" s="432"/>
      <c r="BP310" s="432"/>
      <c r="BQ310" s="432"/>
      <c r="BR310" s="432"/>
      <c r="BS310" s="432"/>
      <c r="BT310" s="432"/>
      <c r="BU310" s="432"/>
      <c r="BV310" s="432"/>
      <c r="BW310" s="432"/>
      <c r="BX310" s="432"/>
      <c r="BY310" s="432"/>
      <c r="BZ310" s="432"/>
      <c r="CA310" s="432"/>
    </row>
    <row r="311" spans="57:98" ht="12" hidden="1" x14ac:dyDescent="0.2">
      <c r="BE311" s="432" t="s">
        <v>126</v>
      </c>
      <c r="BF311" s="432"/>
      <c r="BG311" s="432"/>
      <c r="BH311" s="433">
        <f>250*28</f>
        <v>7000</v>
      </c>
      <c r="BI311" s="433"/>
      <c r="BJ311" s="433"/>
      <c r="BK311" s="433"/>
      <c r="BL311" s="433"/>
      <c r="BM311" s="311" t="s">
        <v>127</v>
      </c>
      <c r="BN311" s="311"/>
      <c r="BO311" s="311"/>
      <c r="BP311" s="311"/>
      <c r="BQ311" s="311"/>
      <c r="BR311" s="311"/>
      <c r="BS311" s="311"/>
      <c r="BT311" s="311"/>
    </row>
    <row r="312" spans="57:98" ht="15" hidden="1" x14ac:dyDescent="0.25">
      <c r="BE312" s="434">
        <v>0.6</v>
      </c>
      <c r="BF312" s="432"/>
      <c r="BG312" s="432"/>
      <c r="BH312" s="216">
        <f>BH311*BE312</f>
        <v>4200</v>
      </c>
      <c r="BI312" s="432" t="s">
        <v>128</v>
      </c>
      <c r="BJ312" s="432"/>
      <c r="BK312" s="432"/>
      <c r="BL312" s="432"/>
      <c r="BM312" s="432"/>
      <c r="BN312" s="432" t="s">
        <v>129</v>
      </c>
      <c r="BO312" s="432"/>
      <c r="BP312" s="432"/>
      <c r="BQ312" s="432"/>
      <c r="BR312" s="432"/>
      <c r="BS312" s="432"/>
      <c r="BT312" s="432"/>
      <c r="CE312" s="432" t="s">
        <v>368</v>
      </c>
      <c r="CF312" s="443"/>
      <c r="CG312" s="443"/>
      <c r="CH312" s="443"/>
      <c r="CI312" s="443"/>
      <c r="CJ312" s="443"/>
      <c r="CM312" s="432" t="s">
        <v>366</v>
      </c>
      <c r="CN312" s="443"/>
      <c r="CO312" s="443"/>
      <c r="CP312" s="443"/>
      <c r="CQ312" s="443"/>
      <c r="CR312" s="443"/>
      <c r="CS312" s="443"/>
      <c r="CT312" s="443"/>
    </row>
    <row r="313" spans="57:98" ht="15" hidden="1" x14ac:dyDescent="0.25">
      <c r="BE313" s="432">
        <v>211</v>
      </c>
      <c r="BF313" s="432"/>
      <c r="BG313" s="432"/>
      <c r="BH313" s="216">
        <f>BH312-BH314</f>
        <v>3225.8064516129034</v>
      </c>
      <c r="BI313" s="435">
        <f>BH313*0.1</f>
        <v>322.58064516129036</v>
      </c>
      <c r="BJ313" s="435"/>
      <c r="BK313" s="435"/>
      <c r="BL313" s="435"/>
      <c r="BM313" s="435"/>
      <c r="BN313" s="436">
        <f>BH313-BI313</f>
        <v>2903.2258064516132</v>
      </c>
      <c r="BO313" s="445"/>
      <c r="BP313" s="445"/>
      <c r="BQ313" s="445"/>
      <c r="BR313" s="445"/>
      <c r="BS313" s="445"/>
      <c r="BT313" s="445"/>
      <c r="CE313" s="437">
        <f>BI313*15/20</f>
        <v>241.93548387096774</v>
      </c>
      <c r="CF313" s="446"/>
      <c r="CG313" s="446"/>
      <c r="CH313" s="446"/>
      <c r="CI313" s="446"/>
      <c r="CJ313" s="446"/>
      <c r="CM313" s="437">
        <f>BI313*5/20</f>
        <v>80.645161290322591</v>
      </c>
      <c r="CN313" s="446"/>
      <c r="CO313" s="446"/>
      <c r="CP313" s="446"/>
      <c r="CQ313" s="446"/>
      <c r="CR313" s="446"/>
      <c r="CS313" s="446"/>
      <c r="CT313" s="446"/>
    </row>
    <row r="314" spans="57:98" ht="12" hidden="1" x14ac:dyDescent="0.2">
      <c r="BE314" s="432">
        <v>213</v>
      </c>
      <c r="BF314" s="432"/>
      <c r="BG314" s="432"/>
      <c r="BH314" s="216">
        <f>BH312*30.2/130.2</f>
        <v>974.19354838709683</v>
      </c>
      <c r="BI314" s="435">
        <f>BI313*30.2%</f>
        <v>97.41935483870968</v>
      </c>
      <c r="BJ314" s="435"/>
      <c r="BK314" s="435"/>
      <c r="BL314" s="435"/>
      <c r="BM314" s="435"/>
      <c r="BN314" s="435">
        <f>BN313*30.2%</f>
        <v>876.77419354838719</v>
      </c>
      <c r="BO314" s="435"/>
      <c r="BP314" s="435"/>
      <c r="BQ314" s="435"/>
      <c r="BR314" s="435"/>
      <c r="BS314" s="435"/>
      <c r="BT314" s="435"/>
    </row>
    <row r="315" spans="57:98" ht="8.25" hidden="1" customHeight="1" x14ac:dyDescent="0.2"/>
    <row r="316" spans="57:98" ht="8.25" hidden="1" customHeight="1" x14ac:dyDescent="0.2"/>
    <row r="317" spans="57:98" ht="12" hidden="1" x14ac:dyDescent="0.2"/>
    <row r="318" spans="57:98" ht="12" hidden="1" x14ac:dyDescent="0.2">
      <c r="BE318" s="432" t="s">
        <v>475</v>
      </c>
      <c r="BF318" s="432"/>
      <c r="BG318" s="432"/>
      <c r="BH318" s="432"/>
      <c r="BI318" s="432"/>
      <c r="BJ318" s="432"/>
      <c r="BK318" s="432"/>
      <c r="BL318" s="432"/>
      <c r="BM318" s="432"/>
      <c r="BN318" s="432"/>
      <c r="BO318" s="432"/>
      <c r="BP318" s="432"/>
      <c r="BQ318" s="432"/>
      <c r="BR318" s="432"/>
      <c r="BS318" s="432"/>
      <c r="BT318" s="432"/>
      <c r="BU318" s="432"/>
      <c r="BV318" s="432"/>
      <c r="BW318" s="432"/>
      <c r="BX318" s="432"/>
      <c r="BY318" s="432"/>
      <c r="BZ318" s="432"/>
      <c r="CA318" s="432"/>
    </row>
    <row r="319" spans="57:98" ht="12" hidden="1" x14ac:dyDescent="0.2">
      <c r="BE319" s="432" t="s">
        <v>126</v>
      </c>
      <c r="BF319" s="432"/>
      <c r="BG319" s="432"/>
      <c r="BH319" s="433">
        <f>250*12</f>
        <v>3000</v>
      </c>
      <c r="BI319" s="433"/>
      <c r="BJ319" s="433"/>
      <c r="BK319" s="433"/>
      <c r="BL319" s="433"/>
      <c r="BM319" s="311" t="s">
        <v>127</v>
      </c>
      <c r="BN319" s="311"/>
      <c r="BO319" s="311"/>
      <c r="BP319" s="311"/>
      <c r="BQ319" s="311"/>
      <c r="BR319" s="311"/>
      <c r="BS319" s="311"/>
      <c r="BT319" s="311"/>
    </row>
    <row r="320" spans="57:98" ht="15" hidden="1" x14ac:dyDescent="0.25">
      <c r="BE320" s="434">
        <v>0.6</v>
      </c>
      <c r="BF320" s="432"/>
      <c r="BG320" s="432"/>
      <c r="BH320" s="216">
        <f>BH319*BE320</f>
        <v>1800</v>
      </c>
      <c r="BI320" s="432" t="s">
        <v>128</v>
      </c>
      <c r="BJ320" s="432"/>
      <c r="BK320" s="432"/>
      <c r="BL320" s="432"/>
      <c r="BM320" s="432"/>
      <c r="BN320" s="432" t="s">
        <v>129</v>
      </c>
      <c r="BO320" s="432"/>
      <c r="BP320" s="432"/>
      <c r="BQ320" s="432"/>
      <c r="BR320" s="432"/>
      <c r="BS320" s="432"/>
      <c r="BT320" s="432"/>
      <c r="CE320" s="432" t="s">
        <v>368</v>
      </c>
      <c r="CF320" s="443"/>
      <c r="CG320" s="443"/>
      <c r="CH320" s="443"/>
      <c r="CI320" s="443"/>
      <c r="CJ320" s="443"/>
      <c r="CM320" s="432" t="s">
        <v>366</v>
      </c>
      <c r="CN320" s="443"/>
      <c r="CO320" s="443"/>
      <c r="CP320" s="443"/>
      <c r="CQ320" s="443"/>
      <c r="CR320" s="443"/>
      <c r="CS320" s="443"/>
      <c r="CT320" s="443"/>
    </row>
    <row r="321" spans="57:98" ht="15" hidden="1" x14ac:dyDescent="0.25">
      <c r="BE321" s="432">
        <v>211</v>
      </c>
      <c r="BF321" s="432"/>
      <c r="BG321" s="432"/>
      <c r="BH321" s="216">
        <f>BH320-BH322</f>
        <v>1382.4884792626729</v>
      </c>
      <c r="BI321" s="435">
        <f>BH321*0.1</f>
        <v>138.2488479262673</v>
      </c>
      <c r="BJ321" s="435"/>
      <c r="BK321" s="435"/>
      <c r="BL321" s="435"/>
      <c r="BM321" s="435"/>
      <c r="BN321" s="436">
        <f>BH321-BI321</f>
        <v>1244.2396313364056</v>
      </c>
      <c r="BO321" s="445"/>
      <c r="BP321" s="445"/>
      <c r="BQ321" s="445"/>
      <c r="BR321" s="445"/>
      <c r="BS321" s="445"/>
      <c r="BT321" s="445"/>
      <c r="CE321" s="437">
        <f>BI321*15/20</f>
        <v>103.68663594470047</v>
      </c>
      <c r="CF321" s="446"/>
      <c r="CG321" s="446"/>
      <c r="CH321" s="446"/>
      <c r="CI321" s="446"/>
      <c r="CJ321" s="446"/>
      <c r="CM321" s="437">
        <f>BI321*5/20</f>
        <v>34.562211981566826</v>
      </c>
      <c r="CN321" s="446"/>
      <c r="CO321" s="446"/>
      <c r="CP321" s="446"/>
      <c r="CQ321" s="446"/>
      <c r="CR321" s="446"/>
      <c r="CS321" s="446"/>
      <c r="CT321" s="446"/>
    </row>
    <row r="322" spans="57:98" ht="12" hidden="1" x14ac:dyDescent="0.2">
      <c r="BE322" s="432">
        <v>213</v>
      </c>
      <c r="BF322" s="432"/>
      <c r="BG322" s="432"/>
      <c r="BH322" s="216">
        <f>BH320*30.2/130.2</f>
        <v>417.5115207373272</v>
      </c>
      <c r="BI322" s="435">
        <f>BI321*30.2%</f>
        <v>41.751152073732726</v>
      </c>
      <c r="BJ322" s="435"/>
      <c r="BK322" s="435"/>
      <c r="BL322" s="435"/>
      <c r="BM322" s="435"/>
      <c r="BN322" s="435">
        <f>BN321*30.2%</f>
        <v>375.76036866359448</v>
      </c>
      <c r="BO322" s="435"/>
      <c r="BP322" s="435"/>
      <c r="BQ322" s="435"/>
      <c r="BR322" s="435"/>
      <c r="BS322" s="435"/>
      <c r="BT322" s="435"/>
    </row>
    <row r="323" spans="57:98" ht="8.25" hidden="1" customHeight="1" x14ac:dyDescent="0.2"/>
    <row r="324" spans="57:98" ht="8.25" hidden="1" customHeight="1" x14ac:dyDescent="0.2"/>
    <row r="325" spans="57:98" ht="8.25" hidden="1" customHeight="1" x14ac:dyDescent="0.2"/>
    <row r="326" spans="57:98" ht="12" hidden="1" x14ac:dyDescent="0.2">
      <c r="BE326" s="432" t="s">
        <v>485</v>
      </c>
      <c r="BF326" s="432"/>
      <c r="BG326" s="432"/>
      <c r="BH326" s="432"/>
      <c r="BI326" s="432"/>
      <c r="BJ326" s="432"/>
      <c r="BK326" s="432"/>
      <c r="BL326" s="432"/>
      <c r="BM326" s="432"/>
      <c r="BN326" s="432"/>
      <c r="BO326" s="432"/>
      <c r="BP326" s="432"/>
      <c r="BQ326" s="432"/>
      <c r="BR326" s="432"/>
      <c r="BS326" s="432"/>
      <c r="BT326" s="432"/>
      <c r="BU326" s="432"/>
      <c r="BV326" s="432"/>
      <c r="BW326" s="432"/>
      <c r="BX326" s="432"/>
      <c r="BY326" s="432"/>
      <c r="BZ326" s="432"/>
      <c r="CA326" s="432"/>
    </row>
    <row r="327" spans="57:98" ht="12" hidden="1" x14ac:dyDescent="0.2">
      <c r="BE327" s="432" t="s">
        <v>126</v>
      </c>
      <c r="BF327" s="432"/>
      <c r="BG327" s="432"/>
      <c r="BH327" s="433">
        <f>250*5</f>
        <v>1250</v>
      </c>
      <c r="BI327" s="433"/>
      <c r="BJ327" s="433"/>
      <c r="BK327" s="433"/>
      <c r="BL327" s="433"/>
      <c r="BM327" s="311" t="s">
        <v>127</v>
      </c>
      <c r="BN327" s="311"/>
      <c r="BO327" s="311"/>
      <c r="BP327" s="311"/>
      <c r="BQ327" s="311"/>
      <c r="BR327" s="311"/>
      <c r="BS327" s="311"/>
      <c r="BT327" s="311"/>
    </row>
    <row r="328" spans="57:98" ht="15" hidden="1" x14ac:dyDescent="0.25">
      <c r="BE328" s="434">
        <v>0.6</v>
      </c>
      <c r="BF328" s="432"/>
      <c r="BG328" s="432"/>
      <c r="BH328" s="216">
        <f>BH327*BE328</f>
        <v>750</v>
      </c>
      <c r="BI328" s="432" t="s">
        <v>128</v>
      </c>
      <c r="BJ328" s="432"/>
      <c r="BK328" s="432"/>
      <c r="BL328" s="432"/>
      <c r="BM328" s="432"/>
      <c r="BN328" s="432" t="s">
        <v>129</v>
      </c>
      <c r="BO328" s="432"/>
      <c r="BP328" s="432"/>
      <c r="BQ328" s="432"/>
      <c r="BR328" s="432"/>
      <c r="BS328" s="432"/>
      <c r="BT328" s="432"/>
      <c r="CE328" s="432" t="s">
        <v>368</v>
      </c>
      <c r="CF328" s="443"/>
      <c r="CG328" s="443"/>
      <c r="CH328" s="443"/>
      <c r="CI328" s="443"/>
      <c r="CJ328" s="443"/>
      <c r="CM328" s="432" t="s">
        <v>366</v>
      </c>
      <c r="CN328" s="443"/>
      <c r="CO328" s="443"/>
      <c r="CP328" s="443"/>
      <c r="CQ328" s="443"/>
      <c r="CR328" s="443"/>
      <c r="CS328" s="443"/>
      <c r="CT328" s="443"/>
    </row>
    <row r="329" spans="57:98" ht="15" hidden="1" x14ac:dyDescent="0.25">
      <c r="BE329" s="432">
        <v>211</v>
      </c>
      <c r="BF329" s="432"/>
      <c r="BG329" s="432"/>
      <c r="BH329" s="216">
        <f>BH328-BH330</f>
        <v>576.036866359447</v>
      </c>
      <c r="BI329" s="435">
        <f>BH329*0.1</f>
        <v>57.603686635944705</v>
      </c>
      <c r="BJ329" s="435"/>
      <c r="BK329" s="435"/>
      <c r="BL329" s="435"/>
      <c r="BM329" s="435"/>
      <c r="BN329" s="436">
        <f>BH329-BI329</f>
        <v>518.43317972350235</v>
      </c>
      <c r="BO329" s="445"/>
      <c r="BP329" s="445"/>
      <c r="BQ329" s="445"/>
      <c r="BR329" s="445"/>
      <c r="BS329" s="445"/>
      <c r="BT329" s="445"/>
      <c r="CE329" s="437">
        <f>BI329*15/20</f>
        <v>43.202764976958534</v>
      </c>
      <c r="CF329" s="446"/>
      <c r="CG329" s="446"/>
      <c r="CH329" s="446"/>
      <c r="CI329" s="446"/>
      <c r="CJ329" s="446"/>
      <c r="CM329" s="437">
        <f>BI329*5/20</f>
        <v>14.400921658986174</v>
      </c>
      <c r="CN329" s="446"/>
      <c r="CO329" s="446"/>
      <c r="CP329" s="446"/>
      <c r="CQ329" s="446"/>
      <c r="CR329" s="446"/>
      <c r="CS329" s="446"/>
      <c r="CT329" s="446"/>
    </row>
    <row r="330" spans="57:98" ht="12" hidden="1" x14ac:dyDescent="0.2">
      <c r="BE330" s="432">
        <v>213</v>
      </c>
      <c r="BF330" s="432"/>
      <c r="BG330" s="432"/>
      <c r="BH330" s="216">
        <f>BH328*30.2/130.2</f>
        <v>173.963133640553</v>
      </c>
      <c r="BI330" s="435">
        <f>BI329*30.2%</f>
        <v>17.396313364055299</v>
      </c>
      <c r="BJ330" s="435"/>
      <c r="BK330" s="435"/>
      <c r="BL330" s="435"/>
      <c r="BM330" s="435"/>
      <c r="BN330" s="435">
        <f>BN329*30.2%</f>
        <v>156.56682027649771</v>
      </c>
      <c r="BO330" s="435"/>
      <c r="BP330" s="435"/>
      <c r="BQ330" s="435"/>
      <c r="BR330" s="435"/>
      <c r="BS330" s="435"/>
      <c r="BT330" s="435"/>
    </row>
    <row r="331" spans="57:98" ht="8.25" hidden="1" customHeight="1" x14ac:dyDescent="0.2"/>
    <row r="332" spans="57:98" ht="8.25" hidden="1" customHeight="1" x14ac:dyDescent="0.2"/>
    <row r="333" spans="57:98" ht="8.25" hidden="1" customHeight="1" x14ac:dyDescent="0.2"/>
    <row r="334" spans="57:98" ht="12" hidden="1" x14ac:dyDescent="0.2">
      <c r="BE334" s="432" t="s">
        <v>491</v>
      </c>
      <c r="BF334" s="432"/>
      <c r="BG334" s="432"/>
      <c r="BH334" s="432"/>
      <c r="BI334" s="432"/>
      <c r="BJ334" s="432"/>
      <c r="BK334" s="432"/>
      <c r="BL334" s="432"/>
      <c r="BM334" s="432"/>
      <c r="BN334" s="432"/>
      <c r="BO334" s="432"/>
      <c r="BP334" s="432"/>
      <c r="BQ334" s="432"/>
      <c r="BR334" s="432"/>
      <c r="BS334" s="432"/>
      <c r="BT334" s="432"/>
      <c r="BU334" s="432"/>
      <c r="BV334" s="432"/>
      <c r="BW334" s="432"/>
      <c r="BX334" s="432"/>
      <c r="BY334" s="432"/>
      <c r="BZ334" s="432"/>
      <c r="CA334" s="432"/>
    </row>
    <row r="335" spans="57:98" ht="12" hidden="1" x14ac:dyDescent="0.2">
      <c r="BE335" s="432" t="s">
        <v>126</v>
      </c>
      <c r="BF335" s="432"/>
      <c r="BG335" s="432"/>
      <c r="BH335" s="433">
        <f>250*10</f>
        <v>2500</v>
      </c>
      <c r="BI335" s="433"/>
      <c r="BJ335" s="433"/>
      <c r="BK335" s="433"/>
      <c r="BL335" s="433"/>
      <c r="BM335" s="311" t="s">
        <v>127</v>
      </c>
      <c r="BN335" s="311"/>
      <c r="BO335" s="311"/>
      <c r="BP335" s="311"/>
      <c r="BQ335" s="311"/>
      <c r="BR335" s="311"/>
      <c r="BS335" s="311"/>
      <c r="BT335" s="311"/>
    </row>
    <row r="336" spans="57:98" ht="15" hidden="1" x14ac:dyDescent="0.25">
      <c r="BE336" s="434">
        <v>0.6</v>
      </c>
      <c r="BF336" s="432"/>
      <c r="BG336" s="432"/>
      <c r="BH336" s="216">
        <f>BH335*BE336</f>
        <v>1500</v>
      </c>
      <c r="BI336" s="432" t="s">
        <v>128</v>
      </c>
      <c r="BJ336" s="432"/>
      <c r="BK336" s="432"/>
      <c r="BL336" s="432"/>
      <c r="BM336" s="432"/>
      <c r="BN336" s="432" t="s">
        <v>129</v>
      </c>
      <c r="BO336" s="432"/>
      <c r="BP336" s="432"/>
      <c r="BQ336" s="432"/>
      <c r="BR336" s="432"/>
      <c r="BS336" s="432"/>
      <c r="BT336" s="432"/>
      <c r="CE336" s="432" t="s">
        <v>368</v>
      </c>
      <c r="CF336" s="443"/>
      <c r="CG336" s="443"/>
      <c r="CH336" s="443"/>
      <c r="CI336" s="443"/>
      <c r="CJ336" s="443"/>
      <c r="CM336" s="432" t="s">
        <v>366</v>
      </c>
      <c r="CN336" s="443"/>
      <c r="CO336" s="443"/>
      <c r="CP336" s="443"/>
      <c r="CQ336" s="443"/>
      <c r="CR336" s="443"/>
      <c r="CS336" s="443"/>
      <c r="CT336" s="443"/>
    </row>
    <row r="337" spans="57:98" ht="15" hidden="1" x14ac:dyDescent="0.25">
      <c r="BE337" s="432">
        <v>211</v>
      </c>
      <c r="BF337" s="432"/>
      <c r="BG337" s="432"/>
      <c r="BH337" s="216">
        <f>BH336-BH338</f>
        <v>1152.073732718894</v>
      </c>
      <c r="BI337" s="435">
        <f>BH337*0.1</f>
        <v>115.20737327188941</v>
      </c>
      <c r="BJ337" s="435"/>
      <c r="BK337" s="435"/>
      <c r="BL337" s="435"/>
      <c r="BM337" s="435"/>
      <c r="BN337" s="436">
        <f>BH337-BI337</f>
        <v>1036.8663594470047</v>
      </c>
      <c r="BO337" s="445"/>
      <c r="BP337" s="445"/>
      <c r="BQ337" s="445"/>
      <c r="BR337" s="445"/>
      <c r="BS337" s="445"/>
      <c r="BT337" s="445"/>
      <c r="CE337" s="437">
        <f>BI337*15/20</f>
        <v>86.405529953917068</v>
      </c>
      <c r="CF337" s="446"/>
      <c r="CG337" s="446"/>
      <c r="CH337" s="446"/>
      <c r="CI337" s="446"/>
      <c r="CJ337" s="446"/>
      <c r="CM337" s="437">
        <f>BI337*5/20</f>
        <v>28.801843317972349</v>
      </c>
      <c r="CN337" s="446"/>
      <c r="CO337" s="446"/>
      <c r="CP337" s="446"/>
      <c r="CQ337" s="446"/>
      <c r="CR337" s="446"/>
      <c r="CS337" s="446"/>
      <c r="CT337" s="446"/>
    </row>
    <row r="338" spans="57:98" ht="12" hidden="1" x14ac:dyDescent="0.2">
      <c r="BE338" s="432">
        <v>213</v>
      </c>
      <c r="BF338" s="432"/>
      <c r="BG338" s="432"/>
      <c r="BH338" s="216">
        <f>BH336*30.2/130.2</f>
        <v>347.92626728110599</v>
      </c>
      <c r="BI338" s="435">
        <f>BI337*30.2%</f>
        <v>34.792626728110598</v>
      </c>
      <c r="BJ338" s="435"/>
      <c r="BK338" s="435"/>
      <c r="BL338" s="435"/>
      <c r="BM338" s="435"/>
      <c r="BN338" s="435">
        <f>BN337*30.2%</f>
        <v>313.13364055299542</v>
      </c>
      <c r="BO338" s="435"/>
      <c r="BP338" s="435"/>
      <c r="BQ338" s="435"/>
      <c r="BR338" s="435"/>
      <c r="BS338" s="435"/>
      <c r="BT338" s="435"/>
    </row>
    <row r="339" spans="57:98" ht="8.25" hidden="1" customHeight="1" x14ac:dyDescent="0.2"/>
    <row r="340" spans="57:98" ht="8.25" hidden="1" customHeight="1" x14ac:dyDescent="0.2"/>
    <row r="341" spans="57:98" ht="8.25" hidden="1" customHeight="1" x14ac:dyDescent="0.2"/>
    <row r="342" spans="57:98" ht="12" hidden="1" x14ac:dyDescent="0.2">
      <c r="BE342" s="432" t="s">
        <v>501</v>
      </c>
      <c r="BF342" s="432"/>
      <c r="BG342" s="432"/>
      <c r="BH342" s="432"/>
      <c r="BI342" s="432"/>
      <c r="BJ342" s="432"/>
      <c r="BK342" s="432"/>
      <c r="BL342" s="432"/>
      <c r="BM342" s="432"/>
      <c r="BN342" s="432"/>
      <c r="BO342" s="432"/>
      <c r="BP342" s="432"/>
      <c r="BQ342" s="432"/>
      <c r="BR342" s="432"/>
      <c r="BS342" s="432"/>
      <c r="BT342" s="432"/>
      <c r="BU342" s="432"/>
      <c r="BV342" s="432"/>
      <c r="BW342" s="432"/>
      <c r="BX342" s="432"/>
      <c r="BY342" s="432"/>
      <c r="BZ342" s="432"/>
      <c r="CA342" s="432"/>
    </row>
    <row r="343" spans="57:98" ht="12" hidden="1" x14ac:dyDescent="0.2">
      <c r="BE343" s="432" t="s">
        <v>126</v>
      </c>
      <c r="BF343" s="432"/>
      <c r="BG343" s="432"/>
      <c r="BH343" s="433">
        <f>250*4</f>
        <v>1000</v>
      </c>
      <c r="BI343" s="433"/>
      <c r="BJ343" s="433"/>
      <c r="BK343" s="433"/>
      <c r="BL343" s="433"/>
      <c r="BM343" s="311" t="s">
        <v>127</v>
      </c>
      <c r="BN343" s="311"/>
      <c r="BO343" s="311"/>
      <c r="BP343" s="311"/>
      <c r="BQ343" s="311"/>
      <c r="BR343" s="311"/>
      <c r="BS343" s="311"/>
      <c r="BT343" s="311"/>
    </row>
    <row r="344" spans="57:98" ht="15" hidden="1" x14ac:dyDescent="0.25">
      <c r="BE344" s="434">
        <v>0.6</v>
      </c>
      <c r="BF344" s="432"/>
      <c r="BG344" s="432"/>
      <c r="BH344" s="216">
        <f>BH343*BE344</f>
        <v>600</v>
      </c>
      <c r="BI344" s="432" t="s">
        <v>128</v>
      </c>
      <c r="BJ344" s="432"/>
      <c r="BK344" s="432"/>
      <c r="BL344" s="432"/>
      <c r="BM344" s="432"/>
      <c r="BN344" s="432" t="s">
        <v>129</v>
      </c>
      <c r="BO344" s="432"/>
      <c r="BP344" s="432"/>
      <c r="BQ344" s="432"/>
      <c r="BR344" s="432"/>
      <c r="BS344" s="432"/>
      <c r="BT344" s="432"/>
      <c r="CE344" s="432" t="s">
        <v>368</v>
      </c>
      <c r="CF344" s="443"/>
      <c r="CG344" s="443"/>
      <c r="CH344" s="443"/>
      <c r="CI344" s="443"/>
      <c r="CJ344" s="443"/>
      <c r="CM344" s="432" t="s">
        <v>366</v>
      </c>
      <c r="CN344" s="443"/>
      <c r="CO344" s="443"/>
      <c r="CP344" s="443"/>
      <c r="CQ344" s="443"/>
      <c r="CR344" s="443"/>
      <c r="CS344" s="443"/>
      <c r="CT344" s="443"/>
    </row>
    <row r="345" spans="57:98" ht="15" hidden="1" x14ac:dyDescent="0.25">
      <c r="BE345" s="432">
        <v>211</v>
      </c>
      <c r="BF345" s="432"/>
      <c r="BG345" s="432"/>
      <c r="BH345" s="216">
        <f>BH344-BH346</f>
        <v>460.82949308755758</v>
      </c>
      <c r="BI345" s="435">
        <f>BH345*0.1</f>
        <v>46.082949308755758</v>
      </c>
      <c r="BJ345" s="435"/>
      <c r="BK345" s="435"/>
      <c r="BL345" s="435"/>
      <c r="BM345" s="435"/>
      <c r="BN345" s="436">
        <f>BH345-BI345</f>
        <v>414.74654377880182</v>
      </c>
      <c r="BO345" s="445"/>
      <c r="BP345" s="445"/>
      <c r="BQ345" s="445"/>
      <c r="BR345" s="445"/>
      <c r="BS345" s="445"/>
      <c r="BT345" s="445"/>
      <c r="CE345" s="437">
        <f>BI345*15/20</f>
        <v>34.562211981566819</v>
      </c>
      <c r="CF345" s="446"/>
      <c r="CG345" s="446"/>
      <c r="CH345" s="446"/>
      <c r="CI345" s="446"/>
      <c r="CJ345" s="446"/>
      <c r="CM345" s="437">
        <f>BI345*5/20</f>
        <v>11.52073732718894</v>
      </c>
      <c r="CN345" s="446"/>
      <c r="CO345" s="446"/>
      <c r="CP345" s="446"/>
      <c r="CQ345" s="446"/>
      <c r="CR345" s="446"/>
      <c r="CS345" s="446"/>
      <c r="CT345" s="446"/>
    </row>
    <row r="346" spans="57:98" ht="12" hidden="1" x14ac:dyDescent="0.2">
      <c r="BE346" s="432">
        <v>213</v>
      </c>
      <c r="BF346" s="432"/>
      <c r="BG346" s="432"/>
      <c r="BH346" s="216">
        <f>BH344*30.2/130.2</f>
        <v>139.17050691244242</v>
      </c>
      <c r="BI346" s="435">
        <f>BI345*30.2%</f>
        <v>13.917050691244238</v>
      </c>
      <c r="BJ346" s="435"/>
      <c r="BK346" s="435"/>
      <c r="BL346" s="435"/>
      <c r="BM346" s="435"/>
      <c r="BN346" s="435">
        <f>BN345*30.2%</f>
        <v>125.25345622119815</v>
      </c>
      <c r="BO346" s="435"/>
      <c r="BP346" s="435"/>
      <c r="BQ346" s="435"/>
      <c r="BR346" s="435"/>
      <c r="BS346" s="435"/>
      <c r="BT346" s="435"/>
    </row>
    <row r="347" spans="57:98" ht="8.25" hidden="1" customHeight="1" x14ac:dyDescent="0.2"/>
    <row r="348" spans="57:98" ht="8.25" hidden="1" customHeight="1" x14ac:dyDescent="0.2"/>
    <row r="349" spans="57:98" ht="12" hidden="1" x14ac:dyDescent="0.2">
      <c r="BE349" s="432" t="s">
        <v>537</v>
      </c>
      <c r="BF349" s="432"/>
      <c r="BG349" s="432"/>
      <c r="BH349" s="432"/>
      <c r="BI349" s="432"/>
      <c r="BJ349" s="432"/>
      <c r="BK349" s="432"/>
      <c r="BL349" s="432"/>
      <c r="BM349" s="432"/>
      <c r="BN349" s="432"/>
      <c r="BO349" s="432"/>
      <c r="BP349" s="432"/>
      <c r="BQ349" s="432"/>
      <c r="BR349" s="432"/>
      <c r="BS349" s="432"/>
      <c r="BT349" s="432"/>
      <c r="BU349" s="432"/>
      <c r="BV349" s="432"/>
      <c r="BW349" s="432"/>
      <c r="BX349" s="432"/>
      <c r="BY349" s="432"/>
      <c r="BZ349" s="432"/>
      <c r="CA349" s="432"/>
    </row>
    <row r="350" spans="57:98" ht="12" hidden="1" x14ac:dyDescent="0.2">
      <c r="BE350" s="432" t="s">
        <v>126</v>
      </c>
      <c r="BF350" s="432"/>
      <c r="BG350" s="432"/>
      <c r="BH350" s="433">
        <f>280*15</f>
        <v>4200</v>
      </c>
      <c r="BI350" s="433"/>
      <c r="BJ350" s="433"/>
      <c r="BK350" s="433"/>
      <c r="BL350" s="433"/>
      <c r="BM350" s="311" t="s">
        <v>127</v>
      </c>
      <c r="BN350" s="311"/>
      <c r="BO350" s="311"/>
      <c r="BP350" s="311"/>
      <c r="BQ350" s="311"/>
      <c r="BR350" s="311"/>
      <c r="BS350" s="311"/>
      <c r="BT350" s="311"/>
    </row>
    <row r="351" spans="57:98" ht="15" hidden="1" x14ac:dyDescent="0.25">
      <c r="BE351" s="434">
        <v>0.6</v>
      </c>
      <c r="BF351" s="432"/>
      <c r="BG351" s="432"/>
      <c r="BH351" s="216">
        <f>BH350*BE351</f>
        <v>2520</v>
      </c>
      <c r="BI351" s="432" t="s">
        <v>128</v>
      </c>
      <c r="BJ351" s="432"/>
      <c r="BK351" s="432"/>
      <c r="BL351" s="432"/>
      <c r="BM351" s="432"/>
      <c r="BN351" s="432" t="s">
        <v>129</v>
      </c>
      <c r="BO351" s="432"/>
      <c r="BP351" s="432"/>
      <c r="BQ351" s="432"/>
      <c r="BR351" s="432"/>
      <c r="BS351" s="432"/>
      <c r="BT351" s="432"/>
      <c r="CE351" s="432" t="s">
        <v>368</v>
      </c>
      <c r="CF351" s="443"/>
      <c r="CG351" s="443"/>
      <c r="CH351" s="443"/>
      <c r="CI351" s="443"/>
      <c r="CJ351" s="443"/>
      <c r="CM351" s="432" t="s">
        <v>366</v>
      </c>
      <c r="CN351" s="443"/>
      <c r="CO351" s="443"/>
      <c r="CP351" s="443"/>
      <c r="CQ351" s="443"/>
      <c r="CR351" s="443"/>
      <c r="CS351" s="443"/>
      <c r="CT351" s="443"/>
    </row>
    <row r="352" spans="57:98" ht="15" hidden="1" x14ac:dyDescent="0.25">
      <c r="BE352" s="432">
        <v>211</v>
      </c>
      <c r="BF352" s="432"/>
      <c r="BG352" s="432"/>
      <c r="BH352" s="216">
        <f>BH351-BH353</f>
        <v>1935.483870967742</v>
      </c>
      <c r="BI352" s="435">
        <f>BH352*0.2</f>
        <v>387.09677419354841</v>
      </c>
      <c r="BJ352" s="435"/>
      <c r="BK352" s="435"/>
      <c r="BL352" s="435"/>
      <c r="BM352" s="435"/>
      <c r="BN352" s="436">
        <f>BH352-BI352</f>
        <v>1548.3870967741937</v>
      </c>
      <c r="BO352" s="445"/>
      <c r="BP352" s="445"/>
      <c r="BQ352" s="445"/>
      <c r="BR352" s="445"/>
      <c r="BS352" s="445"/>
      <c r="BT352" s="445"/>
      <c r="CE352" s="437">
        <f>BI352*15/20</f>
        <v>290.32258064516134</v>
      </c>
      <c r="CF352" s="446"/>
      <c r="CG352" s="446"/>
      <c r="CH352" s="446"/>
      <c r="CI352" s="446"/>
      <c r="CJ352" s="446"/>
      <c r="CM352" s="437">
        <f>BI352*5/20</f>
        <v>96.774193548387103</v>
      </c>
      <c r="CN352" s="446"/>
      <c r="CO352" s="446"/>
      <c r="CP352" s="446"/>
      <c r="CQ352" s="446"/>
      <c r="CR352" s="446"/>
      <c r="CS352" s="446"/>
      <c r="CT352" s="446"/>
    </row>
    <row r="353" spans="57:98" ht="12" hidden="1" x14ac:dyDescent="0.2">
      <c r="BE353" s="432">
        <v>213</v>
      </c>
      <c r="BF353" s="432"/>
      <c r="BG353" s="432"/>
      <c r="BH353" s="216">
        <f>BH351*30.2/130.2</f>
        <v>584.51612903225816</v>
      </c>
      <c r="BI353" s="435">
        <f>BI352*30.2%</f>
        <v>116.90322580645162</v>
      </c>
      <c r="BJ353" s="435"/>
      <c r="BK353" s="435"/>
      <c r="BL353" s="435"/>
      <c r="BM353" s="435"/>
      <c r="BN353" s="435">
        <f>BN352*30.2%</f>
        <v>467.61290322580646</v>
      </c>
      <c r="BO353" s="435"/>
      <c r="BP353" s="435"/>
      <c r="BQ353" s="435"/>
      <c r="BR353" s="435"/>
      <c r="BS353" s="435"/>
      <c r="BT353" s="435"/>
    </row>
    <row r="354" spans="57:98" ht="8.25" hidden="1" customHeight="1" x14ac:dyDescent="0.2"/>
    <row r="355" spans="57:98" ht="8.25" hidden="1" customHeight="1" x14ac:dyDescent="0.2"/>
    <row r="356" spans="57:98" ht="15" hidden="1" x14ac:dyDescent="0.25">
      <c r="CM356" s="778">
        <f>CM298+CM306+CM313+CM321+CM329+CM337+CM345+CM352</f>
        <v>416.47465437788026</v>
      </c>
      <c r="CN356" s="779"/>
      <c r="CO356" s="779"/>
      <c r="CP356" s="779"/>
      <c r="CQ356" s="779"/>
      <c r="CR356" s="779"/>
      <c r="CS356" s="779"/>
      <c r="CT356" s="779"/>
    </row>
    <row r="357" spans="57:98" ht="12" hidden="1" x14ac:dyDescent="0.2">
      <c r="BE357" s="432" t="s">
        <v>553</v>
      </c>
      <c r="BF357" s="432"/>
      <c r="BG357" s="432"/>
      <c r="BH357" s="432"/>
      <c r="BI357" s="432"/>
      <c r="BJ357" s="432"/>
      <c r="BK357" s="432"/>
      <c r="BL357" s="432"/>
      <c r="BM357" s="432"/>
      <c r="BN357" s="432"/>
      <c r="BO357" s="432"/>
      <c r="BP357" s="432"/>
      <c r="BQ357" s="432"/>
      <c r="BR357" s="432"/>
      <c r="BS357" s="432"/>
      <c r="BT357" s="432"/>
      <c r="BU357" s="432"/>
      <c r="BV357" s="432"/>
      <c r="BW357" s="432"/>
      <c r="BX357" s="432"/>
      <c r="BY357" s="432"/>
      <c r="BZ357" s="432"/>
      <c r="CA357" s="432"/>
    </row>
    <row r="358" spans="57:98" ht="12" hidden="1" x14ac:dyDescent="0.2">
      <c r="BE358" s="432" t="s">
        <v>126</v>
      </c>
      <c r="BF358" s="432"/>
      <c r="BG358" s="432"/>
      <c r="BH358" s="433">
        <f>280*50</f>
        <v>14000</v>
      </c>
      <c r="BI358" s="433"/>
      <c r="BJ358" s="433"/>
      <c r="BK358" s="433"/>
      <c r="BL358" s="433"/>
      <c r="BM358" s="320" t="s">
        <v>127</v>
      </c>
      <c r="BN358" s="320"/>
      <c r="BO358" s="320"/>
      <c r="BP358" s="320"/>
      <c r="BQ358" s="320"/>
      <c r="BR358" s="320"/>
      <c r="BS358" s="320"/>
      <c r="BT358" s="320"/>
    </row>
    <row r="359" spans="57:98" ht="15" hidden="1" x14ac:dyDescent="0.25">
      <c r="BE359" s="434">
        <v>0.6</v>
      </c>
      <c r="BF359" s="432"/>
      <c r="BG359" s="432"/>
      <c r="BH359" s="216">
        <f>BH358*BE359</f>
        <v>8400</v>
      </c>
      <c r="BI359" s="432" t="s">
        <v>128</v>
      </c>
      <c r="BJ359" s="432"/>
      <c r="BK359" s="432"/>
      <c r="BL359" s="432"/>
      <c r="BM359" s="432"/>
      <c r="BN359" s="432" t="s">
        <v>129</v>
      </c>
      <c r="BO359" s="432"/>
      <c r="BP359" s="432"/>
      <c r="BQ359" s="432"/>
      <c r="BR359" s="432"/>
      <c r="BS359" s="432"/>
      <c r="BT359" s="432"/>
      <c r="CE359" s="432" t="s">
        <v>368</v>
      </c>
      <c r="CF359" s="443"/>
      <c r="CG359" s="443"/>
      <c r="CH359" s="443"/>
      <c r="CI359" s="443"/>
      <c r="CJ359" s="443"/>
      <c r="CM359" s="432" t="s">
        <v>366</v>
      </c>
      <c r="CN359" s="443"/>
      <c r="CO359" s="443"/>
      <c r="CP359" s="443"/>
      <c r="CQ359" s="443"/>
      <c r="CR359" s="443"/>
      <c r="CS359" s="443"/>
      <c r="CT359" s="443"/>
    </row>
    <row r="360" spans="57:98" ht="15" hidden="1" x14ac:dyDescent="0.25">
      <c r="BE360" s="432">
        <v>211</v>
      </c>
      <c r="BF360" s="432"/>
      <c r="BG360" s="432"/>
      <c r="BH360" s="216">
        <f>BH359-BH361</f>
        <v>6451.6129032258068</v>
      </c>
      <c r="BI360" s="435">
        <f>BH360*0.2</f>
        <v>1290.3225806451615</v>
      </c>
      <c r="BJ360" s="435"/>
      <c r="BK360" s="435"/>
      <c r="BL360" s="435"/>
      <c r="BM360" s="435"/>
      <c r="BN360" s="436">
        <f>BH360-BI360</f>
        <v>5161.2903225806458</v>
      </c>
      <c r="BO360" s="445"/>
      <c r="BP360" s="445"/>
      <c r="BQ360" s="445"/>
      <c r="BR360" s="445"/>
      <c r="BS360" s="445"/>
      <c r="BT360" s="445"/>
      <c r="CE360" s="437">
        <f>BI360*15/20</f>
        <v>967.74193548387098</v>
      </c>
      <c r="CF360" s="446"/>
      <c r="CG360" s="446"/>
      <c r="CH360" s="446"/>
      <c r="CI360" s="446"/>
      <c r="CJ360" s="446"/>
      <c r="CM360" s="437">
        <f>BI360*5/20</f>
        <v>322.58064516129036</v>
      </c>
      <c r="CN360" s="446"/>
      <c r="CO360" s="446"/>
      <c r="CP360" s="446"/>
      <c r="CQ360" s="446"/>
      <c r="CR360" s="446"/>
      <c r="CS360" s="446"/>
      <c r="CT360" s="446"/>
    </row>
    <row r="361" spans="57:98" ht="12" hidden="1" x14ac:dyDescent="0.2">
      <c r="BE361" s="432">
        <v>213</v>
      </c>
      <c r="BF361" s="432"/>
      <c r="BG361" s="432"/>
      <c r="BH361" s="216">
        <f>BH359*30.2/130.2</f>
        <v>1948.3870967741937</v>
      </c>
      <c r="BI361" s="435">
        <f>BI360*30.2%</f>
        <v>389.67741935483872</v>
      </c>
      <c r="BJ361" s="435"/>
      <c r="BK361" s="435"/>
      <c r="BL361" s="435"/>
      <c r="BM361" s="435"/>
      <c r="BN361" s="435">
        <f>BN360*30.2%</f>
        <v>1558.7096774193549</v>
      </c>
      <c r="BO361" s="435"/>
      <c r="BP361" s="435"/>
      <c r="BQ361" s="435"/>
      <c r="BR361" s="435"/>
      <c r="BS361" s="435"/>
      <c r="BT361" s="435"/>
    </row>
    <row r="362" spans="57:98" ht="8.25" hidden="1" customHeight="1" x14ac:dyDescent="0.2"/>
    <row r="363" spans="57:98" ht="8.25" hidden="1" customHeight="1" x14ac:dyDescent="0.2"/>
    <row r="364" spans="57:98" ht="8.25" hidden="1" customHeight="1" x14ac:dyDescent="0.2"/>
    <row r="365" spans="57:98" ht="12" hidden="1" x14ac:dyDescent="0.2">
      <c r="BE365" s="432" t="s">
        <v>565</v>
      </c>
      <c r="BF365" s="432"/>
      <c r="BG365" s="432"/>
      <c r="BH365" s="432"/>
      <c r="BI365" s="432"/>
      <c r="BJ365" s="432"/>
      <c r="BK365" s="432"/>
      <c r="BL365" s="432"/>
      <c r="BM365" s="432"/>
      <c r="BN365" s="432"/>
      <c r="BO365" s="432"/>
      <c r="BP365" s="432"/>
      <c r="BQ365" s="432"/>
      <c r="BR365" s="432"/>
      <c r="BS365" s="432"/>
      <c r="BT365" s="432"/>
      <c r="BU365" s="432"/>
      <c r="BV365" s="432"/>
      <c r="BW365" s="432"/>
      <c r="BX365" s="432"/>
      <c r="BY365" s="432"/>
      <c r="BZ365" s="432"/>
      <c r="CA365" s="432"/>
    </row>
    <row r="366" spans="57:98" ht="12" hidden="1" x14ac:dyDescent="0.2">
      <c r="BE366" s="432" t="s">
        <v>126</v>
      </c>
      <c r="BF366" s="432"/>
      <c r="BG366" s="432"/>
      <c r="BH366" s="433">
        <f>280*43</f>
        <v>12040</v>
      </c>
      <c r="BI366" s="433"/>
      <c r="BJ366" s="433"/>
      <c r="BK366" s="433"/>
      <c r="BL366" s="433"/>
      <c r="BM366" s="324" t="s">
        <v>127</v>
      </c>
      <c r="BN366" s="324"/>
      <c r="BO366" s="324"/>
      <c r="BP366" s="324"/>
      <c r="BQ366" s="324"/>
      <c r="BR366" s="324"/>
      <c r="BS366" s="324"/>
      <c r="BT366" s="324"/>
    </row>
    <row r="367" spans="57:98" ht="15" hidden="1" x14ac:dyDescent="0.25">
      <c r="BE367" s="434">
        <v>0.6</v>
      </c>
      <c r="BF367" s="432"/>
      <c r="BG367" s="432"/>
      <c r="BH367" s="216">
        <f>BH366*BE367</f>
        <v>7224</v>
      </c>
      <c r="BI367" s="432" t="s">
        <v>128</v>
      </c>
      <c r="BJ367" s="432"/>
      <c r="BK367" s="432"/>
      <c r="BL367" s="432"/>
      <c r="BM367" s="432"/>
      <c r="BN367" s="432" t="s">
        <v>129</v>
      </c>
      <c r="BO367" s="432"/>
      <c r="BP367" s="432"/>
      <c r="BQ367" s="432"/>
      <c r="BR367" s="432"/>
      <c r="BS367" s="432"/>
      <c r="BT367" s="432"/>
      <c r="CE367" s="432" t="s">
        <v>368</v>
      </c>
      <c r="CF367" s="443"/>
      <c r="CG367" s="443"/>
      <c r="CH367" s="443"/>
      <c r="CI367" s="443"/>
      <c r="CJ367" s="443"/>
      <c r="CM367" s="432" t="s">
        <v>366</v>
      </c>
      <c r="CN367" s="443"/>
      <c r="CO367" s="443"/>
      <c r="CP367" s="443"/>
      <c r="CQ367" s="443"/>
      <c r="CR367" s="443"/>
      <c r="CS367" s="443"/>
      <c r="CT367" s="443"/>
    </row>
    <row r="368" spans="57:98" ht="15" hidden="1" x14ac:dyDescent="0.25">
      <c r="BE368" s="432">
        <v>211</v>
      </c>
      <c r="BF368" s="432"/>
      <c r="BG368" s="432"/>
      <c r="BH368" s="216">
        <f>BH367-BH369</f>
        <v>5548.3870967741932</v>
      </c>
      <c r="BI368" s="435">
        <f>BH368*0.2</f>
        <v>1109.6774193548388</v>
      </c>
      <c r="BJ368" s="435"/>
      <c r="BK368" s="435"/>
      <c r="BL368" s="435"/>
      <c r="BM368" s="435"/>
      <c r="BN368" s="436">
        <f>BH368-BI368</f>
        <v>4438.7096774193542</v>
      </c>
      <c r="BO368" s="445"/>
      <c r="BP368" s="445"/>
      <c r="BQ368" s="445"/>
      <c r="BR368" s="445"/>
      <c r="BS368" s="445"/>
      <c r="BT368" s="445"/>
      <c r="CE368" s="437">
        <f>BI368*15/20</f>
        <v>832.25806451612914</v>
      </c>
      <c r="CF368" s="446"/>
      <c r="CG368" s="446"/>
      <c r="CH368" s="446"/>
      <c r="CI368" s="446"/>
      <c r="CJ368" s="446"/>
      <c r="CM368" s="437">
        <f>BI368*5/20</f>
        <v>277.41935483870969</v>
      </c>
      <c r="CN368" s="446"/>
      <c r="CO368" s="446"/>
      <c r="CP368" s="446"/>
      <c r="CQ368" s="446"/>
      <c r="CR368" s="446"/>
      <c r="CS368" s="446"/>
      <c r="CT368" s="446"/>
    </row>
    <row r="369" spans="57:98" ht="12" hidden="1" x14ac:dyDescent="0.2">
      <c r="BE369" s="432">
        <v>213</v>
      </c>
      <c r="BF369" s="432"/>
      <c r="BG369" s="432"/>
      <c r="BH369" s="216">
        <f>BH367*30.2/130.2</f>
        <v>1675.6129032258066</v>
      </c>
      <c r="BI369" s="435">
        <f>BI368*30.2%</f>
        <v>335.12258064516129</v>
      </c>
      <c r="BJ369" s="435"/>
      <c r="BK369" s="435"/>
      <c r="BL369" s="435"/>
      <c r="BM369" s="435"/>
      <c r="BN369" s="435">
        <f>BN368*30.2%</f>
        <v>1340.4903225806449</v>
      </c>
      <c r="BO369" s="435"/>
      <c r="BP369" s="435"/>
      <c r="BQ369" s="435"/>
      <c r="BR369" s="435"/>
      <c r="BS369" s="435"/>
      <c r="BT369" s="435"/>
    </row>
    <row r="370" spans="57:98" ht="8.25" hidden="1" customHeight="1" x14ac:dyDescent="0.2"/>
    <row r="371" spans="57:98" ht="8.25" hidden="1" customHeight="1" x14ac:dyDescent="0.2"/>
    <row r="372" spans="57:98" ht="12" hidden="1" x14ac:dyDescent="0.2">
      <c r="BE372" s="432" t="s">
        <v>607</v>
      </c>
      <c r="BF372" s="432"/>
      <c r="BG372" s="432"/>
      <c r="BH372" s="432"/>
      <c r="BI372" s="432"/>
      <c r="BJ372" s="432"/>
      <c r="BK372" s="432"/>
      <c r="BL372" s="432"/>
      <c r="BM372" s="432"/>
      <c r="BN372" s="432"/>
      <c r="BO372" s="432"/>
      <c r="BP372" s="432"/>
      <c r="BQ372" s="432"/>
      <c r="BR372" s="432"/>
      <c r="BS372" s="432"/>
      <c r="BT372" s="432"/>
      <c r="BU372" s="432"/>
      <c r="BV372" s="432"/>
      <c r="BW372" s="432"/>
      <c r="BX372" s="432"/>
      <c r="BY372" s="432"/>
      <c r="BZ372" s="432"/>
      <c r="CA372" s="432"/>
    </row>
    <row r="373" spans="57:98" ht="12" hidden="1" x14ac:dyDescent="0.2">
      <c r="BE373" s="432" t="s">
        <v>126</v>
      </c>
      <c r="BF373" s="432"/>
      <c r="BG373" s="432"/>
      <c r="BH373" s="433">
        <f>280*23</f>
        <v>6440</v>
      </c>
      <c r="BI373" s="433"/>
      <c r="BJ373" s="433"/>
      <c r="BK373" s="433"/>
      <c r="BL373" s="433"/>
      <c r="BM373" s="348" t="s">
        <v>127</v>
      </c>
      <c r="BN373" s="348"/>
      <c r="BO373" s="348"/>
      <c r="BP373" s="348"/>
      <c r="BQ373" s="348"/>
      <c r="BR373" s="348"/>
      <c r="BS373" s="348"/>
      <c r="BT373" s="348"/>
    </row>
    <row r="374" spans="57:98" ht="15" hidden="1" x14ac:dyDescent="0.25">
      <c r="BE374" s="434">
        <v>0.6</v>
      </c>
      <c r="BF374" s="432"/>
      <c r="BG374" s="432"/>
      <c r="BH374" s="216">
        <f>BH373*BE374</f>
        <v>3864</v>
      </c>
      <c r="BI374" s="432" t="s">
        <v>128</v>
      </c>
      <c r="BJ374" s="432"/>
      <c r="BK374" s="432"/>
      <c r="BL374" s="432"/>
      <c r="BM374" s="432"/>
      <c r="BN374" s="432" t="s">
        <v>129</v>
      </c>
      <c r="BO374" s="432"/>
      <c r="BP374" s="432"/>
      <c r="BQ374" s="432"/>
      <c r="BR374" s="432"/>
      <c r="BS374" s="432"/>
      <c r="BT374" s="432"/>
      <c r="CE374" s="432" t="s">
        <v>368</v>
      </c>
      <c r="CF374" s="443"/>
      <c r="CG374" s="443"/>
      <c r="CH374" s="443"/>
      <c r="CI374" s="443"/>
      <c r="CJ374" s="443"/>
      <c r="CM374" s="432" t="s">
        <v>366</v>
      </c>
      <c r="CN374" s="443"/>
      <c r="CO374" s="443"/>
      <c r="CP374" s="443"/>
      <c r="CQ374" s="443"/>
      <c r="CR374" s="443"/>
      <c r="CS374" s="443"/>
      <c r="CT374" s="443"/>
    </row>
    <row r="375" spans="57:98" ht="15" hidden="1" x14ac:dyDescent="0.25">
      <c r="BE375" s="432">
        <v>211</v>
      </c>
      <c r="BF375" s="432"/>
      <c r="BG375" s="432"/>
      <c r="BH375" s="216">
        <f>BH374-BH376</f>
        <v>2967.7419354838707</v>
      </c>
      <c r="BI375" s="435">
        <f>BH375*0.2</f>
        <v>593.54838709677415</v>
      </c>
      <c r="BJ375" s="435"/>
      <c r="BK375" s="435"/>
      <c r="BL375" s="435"/>
      <c r="BM375" s="435"/>
      <c r="BN375" s="436">
        <f>BH375-BI375</f>
        <v>2374.1935483870966</v>
      </c>
      <c r="BO375" s="445"/>
      <c r="BP375" s="445"/>
      <c r="BQ375" s="445"/>
      <c r="BR375" s="445"/>
      <c r="BS375" s="445"/>
      <c r="BT375" s="445"/>
      <c r="CE375" s="437">
        <f>BI375*15/20</f>
        <v>445.16129032258061</v>
      </c>
      <c r="CF375" s="446"/>
      <c r="CG375" s="446"/>
      <c r="CH375" s="446"/>
      <c r="CI375" s="446"/>
      <c r="CJ375" s="446"/>
      <c r="CM375" s="437">
        <f>BI375*5/20</f>
        <v>148.38709677419354</v>
      </c>
      <c r="CN375" s="446"/>
      <c r="CO375" s="446"/>
      <c r="CP375" s="446"/>
      <c r="CQ375" s="446"/>
      <c r="CR375" s="446"/>
      <c r="CS375" s="446"/>
      <c r="CT375" s="446"/>
    </row>
    <row r="376" spans="57:98" ht="12" hidden="1" x14ac:dyDescent="0.2">
      <c r="BE376" s="432">
        <v>213</v>
      </c>
      <c r="BF376" s="432"/>
      <c r="BG376" s="432"/>
      <c r="BH376" s="216">
        <f>BH374*30.2/130.2</f>
        <v>896.25806451612914</v>
      </c>
      <c r="BI376" s="435">
        <f>BI375*30.2%</f>
        <v>179.25161290322578</v>
      </c>
      <c r="BJ376" s="435"/>
      <c r="BK376" s="435"/>
      <c r="BL376" s="435"/>
      <c r="BM376" s="435"/>
      <c r="BN376" s="435">
        <f>BN375*30.2%</f>
        <v>717.00645161290311</v>
      </c>
      <c r="BO376" s="435"/>
      <c r="BP376" s="435"/>
      <c r="BQ376" s="435"/>
      <c r="BR376" s="435"/>
      <c r="BS376" s="435"/>
      <c r="BT376" s="435"/>
    </row>
    <row r="377" spans="57:98" ht="8.25" hidden="1" customHeight="1" x14ac:dyDescent="0.2"/>
    <row r="378" spans="57:98" ht="8.25" hidden="1" customHeight="1" x14ac:dyDescent="0.2"/>
    <row r="379" spans="57:98" ht="12" hidden="1" x14ac:dyDescent="0.2">
      <c r="BE379" s="432" t="s">
        <v>624</v>
      </c>
      <c r="BF379" s="432"/>
      <c r="BG379" s="432"/>
      <c r="BH379" s="432"/>
      <c r="BI379" s="432"/>
      <c r="BJ379" s="432"/>
      <c r="BK379" s="432"/>
      <c r="BL379" s="432"/>
      <c r="BM379" s="432"/>
      <c r="BN379" s="432"/>
      <c r="BO379" s="432"/>
      <c r="BP379" s="432"/>
      <c r="BQ379" s="432"/>
      <c r="BR379" s="432"/>
      <c r="BS379" s="432"/>
      <c r="BT379" s="432"/>
      <c r="BU379" s="432"/>
      <c r="BV379" s="432"/>
      <c r="BW379" s="432"/>
      <c r="BX379" s="432"/>
      <c r="BY379" s="432"/>
      <c r="BZ379" s="432"/>
      <c r="CA379" s="432"/>
    </row>
    <row r="380" spans="57:98" ht="12" hidden="1" x14ac:dyDescent="0.2">
      <c r="BE380" s="432" t="s">
        <v>126</v>
      </c>
      <c r="BF380" s="432"/>
      <c r="BG380" s="432"/>
      <c r="BH380" s="433">
        <f>280*21</f>
        <v>5880</v>
      </c>
      <c r="BI380" s="433"/>
      <c r="BJ380" s="433"/>
      <c r="BK380" s="433"/>
      <c r="BL380" s="433"/>
      <c r="BM380" s="381" t="s">
        <v>127</v>
      </c>
      <c r="BN380" s="381"/>
      <c r="BO380" s="381"/>
      <c r="BP380" s="381"/>
      <c r="BQ380" s="381"/>
      <c r="BR380" s="381"/>
      <c r="BS380" s="381"/>
      <c r="BT380" s="381"/>
    </row>
    <row r="381" spans="57:98" ht="15" hidden="1" x14ac:dyDescent="0.25">
      <c r="BE381" s="434">
        <v>0.6</v>
      </c>
      <c r="BF381" s="432"/>
      <c r="BG381" s="432"/>
      <c r="BH381" s="216">
        <f>BH380*BE381</f>
        <v>3528</v>
      </c>
      <c r="BI381" s="432" t="s">
        <v>128</v>
      </c>
      <c r="BJ381" s="432"/>
      <c r="BK381" s="432"/>
      <c r="BL381" s="432"/>
      <c r="BM381" s="432"/>
      <c r="BN381" s="432" t="s">
        <v>129</v>
      </c>
      <c r="BO381" s="432"/>
      <c r="BP381" s="432"/>
      <c r="BQ381" s="432"/>
      <c r="BR381" s="432"/>
      <c r="BS381" s="432"/>
      <c r="BT381" s="432"/>
      <c r="CE381" s="432" t="s">
        <v>368</v>
      </c>
      <c r="CF381" s="443"/>
      <c r="CG381" s="443"/>
      <c r="CH381" s="443"/>
      <c r="CI381" s="443"/>
      <c r="CJ381" s="443"/>
      <c r="CM381" s="432" t="s">
        <v>366</v>
      </c>
      <c r="CN381" s="443"/>
      <c r="CO381" s="443"/>
      <c r="CP381" s="443"/>
      <c r="CQ381" s="443"/>
      <c r="CR381" s="443"/>
      <c r="CS381" s="443"/>
      <c r="CT381" s="443"/>
    </row>
    <row r="382" spans="57:98" ht="15" hidden="1" x14ac:dyDescent="0.25">
      <c r="BE382" s="432">
        <v>211</v>
      </c>
      <c r="BF382" s="432"/>
      <c r="BG382" s="432"/>
      <c r="BH382" s="216">
        <f>BH381-BH383</f>
        <v>2709.6774193548385</v>
      </c>
      <c r="BI382" s="435">
        <f>BH382*0.2</f>
        <v>541.93548387096769</v>
      </c>
      <c r="BJ382" s="435"/>
      <c r="BK382" s="435"/>
      <c r="BL382" s="435"/>
      <c r="BM382" s="435"/>
      <c r="BN382" s="436">
        <f>BH382-BI382</f>
        <v>2167.7419354838707</v>
      </c>
      <c r="BO382" s="445"/>
      <c r="BP382" s="445"/>
      <c r="BQ382" s="445"/>
      <c r="BR382" s="445"/>
      <c r="BS382" s="445"/>
      <c r="BT382" s="445"/>
      <c r="CE382" s="437">
        <f>BI382*15/20</f>
        <v>406.45161290322574</v>
      </c>
      <c r="CF382" s="446"/>
      <c r="CG382" s="446"/>
      <c r="CH382" s="446"/>
      <c r="CI382" s="446"/>
      <c r="CJ382" s="446"/>
      <c r="CM382" s="437">
        <f>BI382*5/20</f>
        <v>135.48387096774192</v>
      </c>
      <c r="CN382" s="446"/>
      <c r="CO382" s="446"/>
      <c r="CP382" s="446"/>
      <c r="CQ382" s="446"/>
      <c r="CR382" s="446"/>
      <c r="CS382" s="446"/>
      <c r="CT382" s="446"/>
    </row>
    <row r="383" spans="57:98" ht="12" hidden="1" x14ac:dyDescent="0.2">
      <c r="BE383" s="432">
        <v>213</v>
      </c>
      <c r="BF383" s="432"/>
      <c r="BG383" s="432"/>
      <c r="BH383" s="216">
        <f>BH381*30.2/130.2</f>
        <v>818.32258064516134</v>
      </c>
      <c r="BI383" s="435">
        <f>BI382*30.2%</f>
        <v>163.66451612903225</v>
      </c>
      <c r="BJ383" s="435"/>
      <c r="BK383" s="435"/>
      <c r="BL383" s="435"/>
      <c r="BM383" s="435"/>
      <c r="BN383" s="435">
        <f>BN382*30.2%</f>
        <v>654.658064516129</v>
      </c>
      <c r="BO383" s="435"/>
      <c r="BP383" s="435"/>
      <c r="BQ383" s="435"/>
      <c r="BR383" s="435"/>
      <c r="BS383" s="435"/>
      <c r="BT383" s="435"/>
    </row>
    <row r="384" spans="57:98" ht="8.25" hidden="1" customHeight="1" x14ac:dyDescent="0.2"/>
    <row r="385" spans="57:98" ht="8.25" hidden="1" customHeight="1" x14ac:dyDescent="0.2"/>
    <row r="387" spans="57:98" ht="12" hidden="1" x14ac:dyDescent="0.2">
      <c r="BE387" s="432" t="s">
        <v>644</v>
      </c>
      <c r="BF387" s="432"/>
      <c r="BG387" s="432"/>
      <c r="BH387" s="432"/>
      <c r="BI387" s="432"/>
      <c r="BJ387" s="432"/>
      <c r="BK387" s="432"/>
      <c r="BL387" s="432"/>
      <c r="BM387" s="432"/>
      <c r="BN387" s="432"/>
      <c r="BO387" s="432"/>
      <c r="BP387" s="432"/>
      <c r="BQ387" s="432"/>
      <c r="BR387" s="432"/>
      <c r="BS387" s="432"/>
      <c r="BT387" s="432"/>
      <c r="BU387" s="432"/>
      <c r="BV387" s="432"/>
      <c r="BW387" s="432"/>
      <c r="BX387" s="432"/>
      <c r="BY387" s="432"/>
      <c r="BZ387" s="432"/>
      <c r="CA387" s="432"/>
    </row>
    <row r="388" spans="57:98" ht="12" hidden="1" x14ac:dyDescent="0.2">
      <c r="BE388" s="432" t="s">
        <v>126</v>
      </c>
      <c r="BF388" s="432"/>
      <c r="BG388" s="432"/>
      <c r="BH388" s="433">
        <f>280*17</f>
        <v>4760</v>
      </c>
      <c r="BI388" s="433"/>
      <c r="BJ388" s="433"/>
      <c r="BK388" s="433"/>
      <c r="BL388" s="433"/>
      <c r="BM388" s="385" t="s">
        <v>127</v>
      </c>
      <c r="BN388" s="385"/>
      <c r="BO388" s="385"/>
      <c r="BP388" s="385"/>
      <c r="BQ388" s="385"/>
      <c r="BR388" s="385"/>
      <c r="BS388" s="385"/>
      <c r="BT388" s="385"/>
    </row>
    <row r="389" spans="57:98" ht="15" hidden="1" x14ac:dyDescent="0.25">
      <c r="BE389" s="434">
        <v>0.6</v>
      </c>
      <c r="BF389" s="432"/>
      <c r="BG389" s="432"/>
      <c r="BH389" s="216">
        <f>BH388*BE389</f>
        <v>2856</v>
      </c>
      <c r="BI389" s="432" t="s">
        <v>128</v>
      </c>
      <c r="BJ389" s="432"/>
      <c r="BK389" s="432"/>
      <c r="BL389" s="432"/>
      <c r="BM389" s="432"/>
      <c r="BN389" s="432" t="s">
        <v>129</v>
      </c>
      <c r="BO389" s="432"/>
      <c r="BP389" s="432"/>
      <c r="BQ389" s="432"/>
      <c r="BR389" s="432"/>
      <c r="BS389" s="432"/>
      <c r="BT389" s="432"/>
      <c r="CE389" s="432" t="s">
        <v>368</v>
      </c>
      <c r="CF389" s="443"/>
      <c r="CG389" s="443"/>
      <c r="CH389" s="443"/>
      <c r="CI389" s="443"/>
      <c r="CJ389" s="443"/>
      <c r="CM389" s="432" t="s">
        <v>366</v>
      </c>
      <c r="CN389" s="443"/>
      <c r="CO389" s="443"/>
      <c r="CP389" s="443"/>
      <c r="CQ389" s="443"/>
      <c r="CR389" s="443"/>
      <c r="CS389" s="443"/>
      <c r="CT389" s="443"/>
    </row>
    <row r="390" spans="57:98" ht="15" hidden="1" x14ac:dyDescent="0.25">
      <c r="BE390" s="432">
        <v>211</v>
      </c>
      <c r="BF390" s="432"/>
      <c r="BG390" s="432"/>
      <c r="BH390" s="216">
        <f>BH389-BH391</f>
        <v>2193.5483870967741</v>
      </c>
      <c r="BI390" s="435">
        <f>BH390*0.2</f>
        <v>438.70967741935488</v>
      </c>
      <c r="BJ390" s="435"/>
      <c r="BK390" s="435"/>
      <c r="BL390" s="435"/>
      <c r="BM390" s="435"/>
      <c r="BN390" s="436">
        <f>BH390-BI390</f>
        <v>1754.8387096774193</v>
      </c>
      <c r="BO390" s="445"/>
      <c r="BP390" s="445"/>
      <c r="BQ390" s="445"/>
      <c r="BR390" s="445"/>
      <c r="BS390" s="445"/>
      <c r="BT390" s="445"/>
      <c r="CE390" s="437">
        <f>BI390*15/20</f>
        <v>329.03225806451616</v>
      </c>
      <c r="CF390" s="446"/>
      <c r="CG390" s="446"/>
      <c r="CH390" s="446"/>
      <c r="CI390" s="446"/>
      <c r="CJ390" s="446"/>
      <c r="CM390" s="437">
        <f>BI390*5/20</f>
        <v>109.67741935483873</v>
      </c>
      <c r="CN390" s="446"/>
      <c r="CO390" s="446"/>
      <c r="CP390" s="446"/>
      <c r="CQ390" s="446"/>
      <c r="CR390" s="446"/>
      <c r="CS390" s="446"/>
      <c r="CT390" s="446"/>
    </row>
    <row r="391" spans="57:98" ht="12" hidden="1" x14ac:dyDescent="0.2">
      <c r="BE391" s="432">
        <v>213</v>
      </c>
      <c r="BF391" s="432"/>
      <c r="BG391" s="432"/>
      <c r="BH391" s="216">
        <f>BH389*30.2/130.2</f>
        <v>662.45161290322585</v>
      </c>
      <c r="BI391" s="435">
        <f>BI390*30.2%</f>
        <v>132.49032258064517</v>
      </c>
      <c r="BJ391" s="435"/>
      <c r="BK391" s="435"/>
      <c r="BL391" s="435"/>
      <c r="BM391" s="435"/>
      <c r="BN391" s="435">
        <f>BN390*30.2%</f>
        <v>529.96129032258057</v>
      </c>
      <c r="BO391" s="435"/>
      <c r="BP391" s="435"/>
      <c r="BQ391" s="435"/>
      <c r="BR391" s="435"/>
      <c r="BS391" s="435"/>
      <c r="BT391" s="435"/>
    </row>
    <row r="392" spans="57:98" ht="8.25" hidden="1" customHeight="1" x14ac:dyDescent="0.2"/>
    <row r="394" spans="57:98" ht="12" x14ac:dyDescent="0.2">
      <c r="BE394" s="432" t="s">
        <v>685</v>
      </c>
      <c r="BF394" s="432"/>
      <c r="BG394" s="432"/>
      <c r="BH394" s="432"/>
      <c r="BI394" s="432"/>
      <c r="BJ394" s="432"/>
      <c r="BK394" s="432"/>
      <c r="BL394" s="432"/>
      <c r="BM394" s="432"/>
      <c r="BN394" s="432"/>
      <c r="BO394" s="432"/>
      <c r="BP394" s="432"/>
      <c r="BQ394" s="432"/>
      <c r="BR394" s="432"/>
      <c r="BS394" s="432"/>
      <c r="BT394" s="432"/>
      <c r="BU394" s="432"/>
      <c r="BV394" s="432"/>
      <c r="BW394" s="432"/>
      <c r="BX394" s="432"/>
      <c r="BY394" s="432"/>
      <c r="BZ394" s="432"/>
      <c r="CA394" s="432"/>
    </row>
    <row r="395" spans="57:98" ht="12" x14ac:dyDescent="0.2">
      <c r="BE395" s="432" t="s">
        <v>126</v>
      </c>
      <c r="BF395" s="432"/>
      <c r="BG395" s="432"/>
      <c r="BH395" s="433">
        <f>300*17</f>
        <v>5100</v>
      </c>
      <c r="BI395" s="433"/>
      <c r="BJ395" s="433"/>
      <c r="BK395" s="433"/>
      <c r="BL395" s="433"/>
      <c r="BM395" s="398" t="s">
        <v>127</v>
      </c>
      <c r="BN395" s="398"/>
      <c r="BO395" s="398"/>
      <c r="BP395" s="398"/>
      <c r="BQ395" s="398"/>
      <c r="BR395" s="398"/>
      <c r="BS395" s="398"/>
      <c r="BT395" s="398"/>
    </row>
    <row r="396" spans="57:98" ht="15" x14ac:dyDescent="0.25">
      <c r="BE396" s="434">
        <v>0.6</v>
      </c>
      <c r="BF396" s="432"/>
      <c r="BG396" s="432"/>
      <c r="BH396" s="216">
        <f>BH395*BE396</f>
        <v>3060</v>
      </c>
      <c r="BI396" s="432" t="s">
        <v>128</v>
      </c>
      <c r="BJ396" s="432"/>
      <c r="BK396" s="432"/>
      <c r="BL396" s="432"/>
      <c r="BM396" s="432"/>
      <c r="BN396" s="432" t="s">
        <v>129</v>
      </c>
      <c r="BO396" s="432"/>
      <c r="BP396" s="432"/>
      <c r="BQ396" s="432"/>
      <c r="BR396" s="432"/>
      <c r="BS396" s="432"/>
      <c r="BT396" s="432"/>
      <c r="CE396" s="432" t="s">
        <v>368</v>
      </c>
      <c r="CF396" s="443"/>
      <c r="CG396" s="443"/>
      <c r="CH396" s="443"/>
      <c r="CI396" s="443"/>
      <c r="CJ396" s="443"/>
      <c r="CM396" s="432" t="s">
        <v>366</v>
      </c>
      <c r="CN396" s="443"/>
      <c r="CO396" s="443"/>
      <c r="CP396" s="443"/>
      <c r="CQ396" s="443"/>
      <c r="CR396" s="443"/>
      <c r="CS396" s="443"/>
      <c r="CT396" s="443"/>
    </row>
    <row r="397" spans="57:98" ht="15" x14ac:dyDescent="0.25">
      <c r="BE397" s="432">
        <v>211</v>
      </c>
      <c r="BF397" s="432"/>
      <c r="BG397" s="432"/>
      <c r="BH397" s="216">
        <f>BH396-BH398</f>
        <v>2350.2304147465438</v>
      </c>
      <c r="BI397" s="435">
        <f>BH397*0.2</f>
        <v>470.04608294930881</v>
      </c>
      <c r="BJ397" s="435"/>
      <c r="BK397" s="435"/>
      <c r="BL397" s="435"/>
      <c r="BM397" s="435"/>
      <c r="BN397" s="436">
        <f>BH397-BI397</f>
        <v>1880.184331797235</v>
      </c>
      <c r="BO397" s="445"/>
      <c r="BP397" s="445"/>
      <c r="BQ397" s="445"/>
      <c r="BR397" s="445"/>
      <c r="BS397" s="445"/>
      <c r="BT397" s="445"/>
      <c r="CE397" s="437">
        <f>BI397*15/20</f>
        <v>352.53456221198161</v>
      </c>
      <c r="CF397" s="446"/>
      <c r="CG397" s="446"/>
      <c r="CH397" s="446"/>
      <c r="CI397" s="446"/>
      <c r="CJ397" s="446"/>
      <c r="CM397" s="437">
        <f>BI397*5/20</f>
        <v>117.51152073732719</v>
      </c>
      <c r="CN397" s="446"/>
      <c r="CO397" s="446"/>
      <c r="CP397" s="446"/>
      <c r="CQ397" s="446"/>
      <c r="CR397" s="446"/>
      <c r="CS397" s="446"/>
      <c r="CT397" s="446"/>
    </row>
    <row r="398" spans="57:98" ht="12" x14ac:dyDescent="0.2">
      <c r="BE398" s="432">
        <v>213</v>
      </c>
      <c r="BF398" s="432"/>
      <c r="BG398" s="432"/>
      <c r="BH398" s="216">
        <f>BH396*30.2/130.2</f>
        <v>709.76958525345628</v>
      </c>
      <c r="BI398" s="435">
        <f>BI397*30.2%</f>
        <v>141.95391705069125</v>
      </c>
      <c r="BJ398" s="435"/>
      <c r="BK398" s="435"/>
      <c r="BL398" s="435"/>
      <c r="BM398" s="435"/>
      <c r="BN398" s="435">
        <f>BN397*30.2%</f>
        <v>567.81566820276498</v>
      </c>
      <c r="BO398" s="435"/>
      <c r="BP398" s="435"/>
      <c r="BQ398" s="435"/>
      <c r="BR398" s="435"/>
      <c r="BS398" s="435"/>
      <c r="BT398" s="435"/>
    </row>
  </sheetData>
  <mergeCells count="860">
    <mergeCell ref="A12:S12"/>
    <mergeCell ref="U12:W12"/>
    <mergeCell ref="A14:S14"/>
    <mergeCell ref="U14:W14"/>
    <mergeCell ref="A16:S16"/>
    <mergeCell ref="U16:W16"/>
    <mergeCell ref="Y16:AA16"/>
    <mergeCell ref="AX19:BB19"/>
    <mergeCell ref="A20:G22"/>
    <mergeCell ref="H20:AB22"/>
    <mergeCell ref="AC20:AG22"/>
    <mergeCell ref="AH20:AM22"/>
    <mergeCell ref="AN20:AR22"/>
    <mergeCell ref="AS20:AW22"/>
    <mergeCell ref="AX20:BB22"/>
    <mergeCell ref="AV5:BC5"/>
    <mergeCell ref="A7:BA7"/>
    <mergeCell ref="A8:BA8"/>
    <mergeCell ref="C10:E10"/>
    <mergeCell ref="G10:L10"/>
    <mergeCell ref="N10:Q10"/>
    <mergeCell ref="U10:AG10"/>
    <mergeCell ref="AH10:AI10"/>
    <mergeCell ref="AJ10:AL10"/>
    <mergeCell ref="AN10:AT10"/>
    <mergeCell ref="AV10:AY10"/>
    <mergeCell ref="H34:M34"/>
    <mergeCell ref="AS34:AW34"/>
    <mergeCell ref="AX34:BB34"/>
    <mergeCell ref="AO35:AR35"/>
    <mergeCell ref="AS35:AW35"/>
    <mergeCell ref="AX35:BB35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H51:K51"/>
    <mergeCell ref="AS51:AW51"/>
    <mergeCell ref="AX51:BB51"/>
    <mergeCell ref="AO52:AR52"/>
    <mergeCell ref="AS52:AW52"/>
    <mergeCell ref="AX52:BB52"/>
    <mergeCell ref="AX37:BB39"/>
    <mergeCell ref="A40:BB4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37:G39"/>
    <mergeCell ref="H37:AB39"/>
    <mergeCell ref="AC37:AG39"/>
    <mergeCell ref="AH37:AM39"/>
    <mergeCell ref="AN37:AR39"/>
    <mergeCell ref="AS37:AW39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H61:X61"/>
    <mergeCell ref="AX63:BB67"/>
    <mergeCell ref="H64:M64"/>
    <mergeCell ref="N64:P64"/>
    <mergeCell ref="R64:V64"/>
    <mergeCell ref="I66:K66"/>
    <mergeCell ref="R59:V59"/>
    <mergeCell ref="Z61:AB61"/>
    <mergeCell ref="M66:O66"/>
    <mergeCell ref="Q66:S66"/>
    <mergeCell ref="U66:W66"/>
    <mergeCell ref="Z66:AB66"/>
    <mergeCell ref="A68:G72"/>
    <mergeCell ref="AC68:AG72"/>
    <mergeCell ref="U71:W71"/>
    <mergeCell ref="Z71:AB71"/>
    <mergeCell ref="A63:G67"/>
    <mergeCell ref="AC63:AG67"/>
    <mergeCell ref="AH73:AM77"/>
    <mergeCell ref="AN73:AR77"/>
    <mergeCell ref="AS73:AW77"/>
    <mergeCell ref="AH63:AM67"/>
    <mergeCell ref="AN63:AR67"/>
    <mergeCell ref="AS63:AW67"/>
    <mergeCell ref="AX73:BB77"/>
    <mergeCell ref="H74:M74"/>
    <mergeCell ref="N74:P74"/>
    <mergeCell ref="R74:V74"/>
    <mergeCell ref="I76:K76"/>
    <mergeCell ref="AH68:AM72"/>
    <mergeCell ref="AN68:AR72"/>
    <mergeCell ref="AS68:AW72"/>
    <mergeCell ref="AX68:BB72"/>
    <mergeCell ref="H69:M69"/>
    <mergeCell ref="N69:P69"/>
    <mergeCell ref="R69:V69"/>
    <mergeCell ref="I71:K71"/>
    <mergeCell ref="M71:O71"/>
    <mergeCell ref="Q71:S71"/>
    <mergeCell ref="M76:O76"/>
    <mergeCell ref="Q76:S76"/>
    <mergeCell ref="U76:W76"/>
    <mergeCell ref="Z76:AB76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AX78:BB82"/>
    <mergeCell ref="H79:M79"/>
    <mergeCell ref="N79:P79"/>
    <mergeCell ref="R79:V79"/>
    <mergeCell ref="I81:K81"/>
    <mergeCell ref="M81:O81"/>
    <mergeCell ref="Q81:S81"/>
    <mergeCell ref="AS83:AW83"/>
    <mergeCell ref="AX83:BB83"/>
    <mergeCell ref="AO84:AR84"/>
    <mergeCell ref="AS84:AW84"/>
    <mergeCell ref="AX84:BB84"/>
    <mergeCell ref="A86:N86"/>
    <mergeCell ref="O86:AN86"/>
    <mergeCell ref="AO86:AU86"/>
    <mergeCell ref="AV86:BB86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103:Z103"/>
    <mergeCell ref="AA103:AF103"/>
    <mergeCell ref="AG103:AL103"/>
    <mergeCell ref="AM103:AT103"/>
    <mergeCell ref="AU103:BB103"/>
    <mergeCell ref="AU106:BB106"/>
    <mergeCell ref="A107:Z107"/>
    <mergeCell ref="AA107:AF107"/>
    <mergeCell ref="AU107:BB107"/>
    <mergeCell ref="A108:Z108"/>
    <mergeCell ref="AA108:AF108"/>
    <mergeCell ref="AU108:BB108"/>
    <mergeCell ref="A104:Z104"/>
    <mergeCell ref="AA104:AF104"/>
    <mergeCell ref="AG104:AL122"/>
    <mergeCell ref="AM104:AT122"/>
    <mergeCell ref="AU104:BB104"/>
    <mergeCell ref="A105:Z105"/>
    <mergeCell ref="AA105:AF105"/>
    <mergeCell ref="AU105:BB105"/>
    <mergeCell ref="A106:Z106"/>
    <mergeCell ref="AA106:AF106"/>
    <mergeCell ref="A110:Z110"/>
    <mergeCell ref="AA110:AF110"/>
    <mergeCell ref="AU110:BB110"/>
    <mergeCell ref="A111:Z111"/>
    <mergeCell ref="AA111:AF111"/>
    <mergeCell ref="AU111:BB111"/>
    <mergeCell ref="A109:Z109"/>
    <mergeCell ref="AA109:AF109"/>
    <mergeCell ref="AU109:BB109"/>
    <mergeCell ref="A114:Z114"/>
    <mergeCell ref="AA114:AF114"/>
    <mergeCell ref="AU114:BB114"/>
    <mergeCell ref="A115:Z115"/>
    <mergeCell ref="AA115:AF115"/>
    <mergeCell ref="AU115:BB115"/>
    <mergeCell ref="A112:Z112"/>
    <mergeCell ref="AA112:AF112"/>
    <mergeCell ref="AU112:BB112"/>
    <mergeCell ref="A113:Z113"/>
    <mergeCell ref="AA113:AF113"/>
    <mergeCell ref="AU113:BB113"/>
    <mergeCell ref="A118:Z118"/>
    <mergeCell ref="AA118:AF118"/>
    <mergeCell ref="AU118:BB118"/>
    <mergeCell ref="A119:Z119"/>
    <mergeCell ref="AA119:AF119"/>
    <mergeCell ref="AU119:BB119"/>
    <mergeCell ref="A116:Z116"/>
    <mergeCell ref="AA116:AF116"/>
    <mergeCell ref="AU116:BB116"/>
    <mergeCell ref="A117:Z117"/>
    <mergeCell ref="AA117:AF117"/>
    <mergeCell ref="AU117:BB117"/>
    <mergeCell ref="A122:Z122"/>
    <mergeCell ref="AA122:AF122"/>
    <mergeCell ref="AU122:BB122"/>
    <mergeCell ref="A123:Z123"/>
    <mergeCell ref="AA123:AF123"/>
    <mergeCell ref="AG123:AL123"/>
    <mergeCell ref="AM123:AT123"/>
    <mergeCell ref="AU123:BB123"/>
    <mergeCell ref="A120:Z120"/>
    <mergeCell ref="AA120:AF120"/>
    <mergeCell ref="AU120:BB120"/>
    <mergeCell ref="A121:Z121"/>
    <mergeCell ref="AA121:AF121"/>
    <mergeCell ref="AU121:BB121"/>
    <mergeCell ref="A127:Z127"/>
    <mergeCell ref="AA127:AF127"/>
    <mergeCell ref="AG127:AL127"/>
    <mergeCell ref="AM127:AT127"/>
    <mergeCell ref="AU127:BB127"/>
    <mergeCell ref="A128:Z128"/>
    <mergeCell ref="AA128:AF128"/>
    <mergeCell ref="AG128:AL128"/>
    <mergeCell ref="AM128:AT128"/>
    <mergeCell ref="AU128:BB128"/>
    <mergeCell ref="A129:Z129"/>
    <mergeCell ref="AA129:AF129"/>
    <mergeCell ref="AG129:AL134"/>
    <mergeCell ref="AM129:AT134"/>
    <mergeCell ref="AU129:BB129"/>
    <mergeCell ref="A130:Z130"/>
    <mergeCell ref="AA130:AF130"/>
    <mergeCell ref="AU130:BB130"/>
    <mergeCell ref="A131:Z131"/>
    <mergeCell ref="AA131:AF131"/>
    <mergeCell ref="A134:Z134"/>
    <mergeCell ref="AA134:AF134"/>
    <mergeCell ref="AU134:BB134"/>
    <mergeCell ref="A135:Z135"/>
    <mergeCell ref="AA135:AF135"/>
    <mergeCell ref="AG135:AL135"/>
    <mergeCell ref="AM135:AT135"/>
    <mergeCell ref="AU135:BB135"/>
    <mergeCell ref="AU131:BB131"/>
    <mergeCell ref="A132:Z132"/>
    <mergeCell ref="AA132:AF132"/>
    <mergeCell ref="AU132:BB132"/>
    <mergeCell ref="A133:Z133"/>
    <mergeCell ref="AA133:AF133"/>
    <mergeCell ref="AU133:BB133"/>
    <mergeCell ref="AD139:AP139"/>
    <mergeCell ref="AQ139:AT139"/>
    <mergeCell ref="AU139:AX139"/>
    <mergeCell ref="AY139:BB139"/>
    <mergeCell ref="H140:L140"/>
    <mergeCell ref="M140:Q140"/>
    <mergeCell ref="AD140:AI140"/>
    <mergeCell ref="AJ140:AP140"/>
    <mergeCell ref="AQ140:AT140"/>
    <mergeCell ref="AU140:AX140"/>
    <mergeCell ref="H139:L139"/>
    <mergeCell ref="M139:Q139"/>
    <mergeCell ref="R139:U140"/>
    <mergeCell ref="V139:Y140"/>
    <mergeCell ref="Z139:AC140"/>
    <mergeCell ref="AY140:BB140"/>
    <mergeCell ref="A141:G141"/>
    <mergeCell ref="H141:L141"/>
    <mergeCell ref="M141:Q141"/>
    <mergeCell ref="R141:U141"/>
    <mergeCell ref="V141:Y141"/>
    <mergeCell ref="Z141:AC141"/>
    <mergeCell ref="AD141:AI141"/>
    <mergeCell ref="AJ141:AP141"/>
    <mergeCell ref="AQ141:AT141"/>
    <mergeCell ref="A139:G140"/>
    <mergeCell ref="AU141:AX141"/>
    <mergeCell ref="AY141:BB141"/>
    <mergeCell ref="A142:G142"/>
    <mergeCell ref="H142:L142"/>
    <mergeCell ref="M142:Q142"/>
    <mergeCell ref="R142:U145"/>
    <mergeCell ref="V142:Y145"/>
    <mergeCell ref="Z142:AC145"/>
    <mergeCell ref="AD142:AI142"/>
    <mergeCell ref="AJ142:AP142"/>
    <mergeCell ref="AQ142:AT142"/>
    <mergeCell ref="AU142:AX142"/>
    <mergeCell ref="AY142:BB142"/>
    <mergeCell ref="A143:G143"/>
    <mergeCell ref="H143:L143"/>
    <mergeCell ref="M143:Q143"/>
    <mergeCell ref="AD143:AI143"/>
    <mergeCell ref="AJ143:AP143"/>
    <mergeCell ref="AQ143:AT143"/>
    <mergeCell ref="AU143:AX143"/>
    <mergeCell ref="AY143:BB143"/>
    <mergeCell ref="A144:G144"/>
    <mergeCell ref="H144:L144"/>
    <mergeCell ref="M144:Q144"/>
    <mergeCell ref="AD144:AI144"/>
    <mergeCell ref="AJ144:AP144"/>
    <mergeCell ref="AQ144:AT144"/>
    <mergeCell ref="AU144:AX144"/>
    <mergeCell ref="AY144:BB144"/>
    <mergeCell ref="AU145:AX145"/>
    <mergeCell ref="AY145:BB145"/>
    <mergeCell ref="A146:G146"/>
    <mergeCell ref="H146:L146"/>
    <mergeCell ref="M146:Q146"/>
    <mergeCell ref="R146:U146"/>
    <mergeCell ref="V146:Y146"/>
    <mergeCell ref="Z146:AC146"/>
    <mergeCell ref="AD146:AI146"/>
    <mergeCell ref="AJ146:AP146"/>
    <mergeCell ref="A145:G145"/>
    <mergeCell ref="H145:L145"/>
    <mergeCell ref="M145:Q145"/>
    <mergeCell ref="AD145:AI145"/>
    <mergeCell ref="AJ145:AP145"/>
    <mergeCell ref="AQ145:AT145"/>
    <mergeCell ref="AQ146:AT146"/>
    <mergeCell ref="AU146:AX146"/>
    <mergeCell ref="AY146:BB146"/>
    <mergeCell ref="A147:F147"/>
    <mergeCell ref="H147:L147"/>
    <mergeCell ref="M147:Q147"/>
    <mergeCell ref="R147:U147"/>
    <mergeCell ref="V147:Y147"/>
    <mergeCell ref="Z147:AC147"/>
    <mergeCell ref="AD147:AI147"/>
    <mergeCell ref="AJ147:AP147"/>
    <mergeCell ref="AQ147:AT147"/>
    <mergeCell ref="AU147:AX147"/>
    <mergeCell ref="AY147:BB147"/>
    <mergeCell ref="B152:S153"/>
    <mergeCell ref="AM152:BC153"/>
    <mergeCell ref="AD148:AI148"/>
    <mergeCell ref="AJ148:AP148"/>
    <mergeCell ref="AQ148:AT148"/>
    <mergeCell ref="AU148:AX148"/>
    <mergeCell ref="AY148:BB148"/>
    <mergeCell ref="BC149:BD149"/>
    <mergeCell ref="BE156:BG156"/>
    <mergeCell ref="A148:G148"/>
    <mergeCell ref="H148:L148"/>
    <mergeCell ref="M148:Q148"/>
    <mergeCell ref="R148:U148"/>
    <mergeCell ref="V148:Y148"/>
    <mergeCell ref="Z148:AC148"/>
    <mergeCell ref="BC150:BD150"/>
    <mergeCell ref="B151:S151"/>
    <mergeCell ref="AM151:BB151"/>
    <mergeCell ref="BC151:BD151"/>
    <mergeCell ref="BI156:BM156"/>
    <mergeCell ref="BN156:BT156"/>
    <mergeCell ref="BE157:BG157"/>
    <mergeCell ref="BI157:BM157"/>
    <mergeCell ref="BN157:BT157"/>
    <mergeCell ref="BE153:CA153"/>
    <mergeCell ref="BE154:BG154"/>
    <mergeCell ref="BH154:BL154"/>
    <mergeCell ref="BE155:BG155"/>
    <mergeCell ref="BI155:BM155"/>
    <mergeCell ref="BN155:BT155"/>
    <mergeCell ref="BE164:BG164"/>
    <mergeCell ref="BI164:BM164"/>
    <mergeCell ref="BN164:BT164"/>
    <mergeCell ref="BE165:BG165"/>
    <mergeCell ref="BI165:BM165"/>
    <mergeCell ref="BN165:BT165"/>
    <mergeCell ref="BE161:CA161"/>
    <mergeCell ref="BE162:BG162"/>
    <mergeCell ref="BH162:BL162"/>
    <mergeCell ref="BE163:BG163"/>
    <mergeCell ref="BI163:BM163"/>
    <mergeCell ref="BN163:BT163"/>
    <mergeCell ref="BE172:BG172"/>
    <mergeCell ref="BI172:BM172"/>
    <mergeCell ref="BN172:BT172"/>
    <mergeCell ref="BE173:BG173"/>
    <mergeCell ref="BI173:BM173"/>
    <mergeCell ref="BN173:BT173"/>
    <mergeCell ref="BE168:CA168"/>
    <mergeCell ref="BE169:CA169"/>
    <mergeCell ref="BE170:BG170"/>
    <mergeCell ref="BH170:BL170"/>
    <mergeCell ref="BE171:BG171"/>
    <mergeCell ref="BI171:BM171"/>
    <mergeCell ref="BN171:BT171"/>
    <mergeCell ref="BE180:BG180"/>
    <mergeCell ref="BI180:BM180"/>
    <mergeCell ref="BN180:BT180"/>
    <mergeCell ref="BE181:BG181"/>
    <mergeCell ref="BI181:BM181"/>
    <mergeCell ref="BN181:BT181"/>
    <mergeCell ref="BE176:CA176"/>
    <mergeCell ref="BE177:CA177"/>
    <mergeCell ref="BE178:BG178"/>
    <mergeCell ref="BH178:BL178"/>
    <mergeCell ref="BE179:BG179"/>
    <mergeCell ref="BI179:BM179"/>
    <mergeCell ref="BN179:BT179"/>
    <mergeCell ref="BE188:BG188"/>
    <mergeCell ref="BI188:BM188"/>
    <mergeCell ref="BN188:BT188"/>
    <mergeCell ref="BE189:BG189"/>
    <mergeCell ref="BI189:BM189"/>
    <mergeCell ref="BN189:BT189"/>
    <mergeCell ref="BE184:CA184"/>
    <mergeCell ref="BE185:CA185"/>
    <mergeCell ref="BE186:BG186"/>
    <mergeCell ref="BH186:BL186"/>
    <mergeCell ref="BE187:BG187"/>
    <mergeCell ref="BI187:BM187"/>
    <mergeCell ref="BN187:BT187"/>
    <mergeCell ref="BE195:BG195"/>
    <mergeCell ref="BI195:BM195"/>
    <mergeCell ref="BN195:BT195"/>
    <mergeCell ref="BE196:BG196"/>
    <mergeCell ref="BI196:BM196"/>
    <mergeCell ref="BN196:BT196"/>
    <mergeCell ref="BE192:CA192"/>
    <mergeCell ref="BE193:BG193"/>
    <mergeCell ref="BH193:BL193"/>
    <mergeCell ref="BE194:BG194"/>
    <mergeCell ref="BI194:BM194"/>
    <mergeCell ref="BN194:BT194"/>
    <mergeCell ref="BE203:BG203"/>
    <mergeCell ref="BI203:BM203"/>
    <mergeCell ref="BN203:BT203"/>
    <mergeCell ref="BE204:BG204"/>
    <mergeCell ref="BI204:BM204"/>
    <mergeCell ref="BN204:BT204"/>
    <mergeCell ref="BE200:CA200"/>
    <mergeCell ref="BE201:BG201"/>
    <mergeCell ref="BH201:BL201"/>
    <mergeCell ref="BE202:BG202"/>
    <mergeCell ref="BI202:BM202"/>
    <mergeCell ref="BN202:BT202"/>
    <mergeCell ref="BE211:BG211"/>
    <mergeCell ref="BI211:BM211"/>
    <mergeCell ref="BN211:BT211"/>
    <mergeCell ref="BE212:BG212"/>
    <mergeCell ref="BI212:BM212"/>
    <mergeCell ref="BN212:BT212"/>
    <mergeCell ref="BE208:CA208"/>
    <mergeCell ref="BE209:BG209"/>
    <mergeCell ref="BH209:BL209"/>
    <mergeCell ref="BE210:BG210"/>
    <mergeCell ref="BI210:BM210"/>
    <mergeCell ref="BN210:BT210"/>
    <mergeCell ref="BE218:BG218"/>
    <mergeCell ref="BI218:BM218"/>
    <mergeCell ref="BN218:BT218"/>
    <mergeCell ref="BE219:BG219"/>
    <mergeCell ref="BI219:BM219"/>
    <mergeCell ref="BN219:BT219"/>
    <mergeCell ref="BE215:CA215"/>
    <mergeCell ref="BE216:BG216"/>
    <mergeCell ref="BH216:BL216"/>
    <mergeCell ref="BE217:BG217"/>
    <mergeCell ref="BI217:BM217"/>
    <mergeCell ref="BN217:BT217"/>
    <mergeCell ref="BE225:BG225"/>
    <mergeCell ref="BI225:BM225"/>
    <mergeCell ref="BN225:BT225"/>
    <mergeCell ref="BE226:BG226"/>
    <mergeCell ref="BI226:BM226"/>
    <mergeCell ref="BN226:BT226"/>
    <mergeCell ref="BE222:CA222"/>
    <mergeCell ref="BE223:BG223"/>
    <mergeCell ref="BH223:BL223"/>
    <mergeCell ref="BE224:BG224"/>
    <mergeCell ref="BI224:BM224"/>
    <mergeCell ref="BN224:BT224"/>
    <mergeCell ref="BE232:BG232"/>
    <mergeCell ref="BI232:BM232"/>
    <mergeCell ref="BN232:BT232"/>
    <mergeCell ref="BE233:BG233"/>
    <mergeCell ref="BI233:BM233"/>
    <mergeCell ref="BN233:BT233"/>
    <mergeCell ref="BE229:CA229"/>
    <mergeCell ref="BE230:BG230"/>
    <mergeCell ref="BH230:BL230"/>
    <mergeCell ref="BE231:BG231"/>
    <mergeCell ref="BI231:BM231"/>
    <mergeCell ref="BN231:BT231"/>
    <mergeCell ref="BE239:BG239"/>
    <mergeCell ref="BI239:BM239"/>
    <mergeCell ref="BN239:BT239"/>
    <mergeCell ref="BE240:BG240"/>
    <mergeCell ref="BI240:BM240"/>
    <mergeCell ref="BN240:BT240"/>
    <mergeCell ref="BE236:CA236"/>
    <mergeCell ref="BE237:BG237"/>
    <mergeCell ref="BH237:BL237"/>
    <mergeCell ref="BE238:BG238"/>
    <mergeCell ref="BI238:BM238"/>
    <mergeCell ref="BN238:BT238"/>
    <mergeCell ref="BE245:BG245"/>
    <mergeCell ref="BI245:BM245"/>
    <mergeCell ref="BN245:BT245"/>
    <mergeCell ref="BE246:BG246"/>
    <mergeCell ref="BI246:BM246"/>
    <mergeCell ref="BN246:BT246"/>
    <mergeCell ref="B241:G241"/>
    <mergeCell ref="BE242:CA242"/>
    <mergeCell ref="BE243:BG243"/>
    <mergeCell ref="BH243:BL243"/>
    <mergeCell ref="BE244:BG244"/>
    <mergeCell ref="BI244:BM244"/>
    <mergeCell ref="BN244:BT244"/>
    <mergeCell ref="BE254:BG254"/>
    <mergeCell ref="BI254:BM254"/>
    <mergeCell ref="BN254:BT254"/>
    <mergeCell ref="BE255:BG255"/>
    <mergeCell ref="BI255:BM255"/>
    <mergeCell ref="BN255:BT255"/>
    <mergeCell ref="BE251:CA251"/>
    <mergeCell ref="BE252:BG252"/>
    <mergeCell ref="BH252:BL252"/>
    <mergeCell ref="BE253:BG253"/>
    <mergeCell ref="BI253:BM253"/>
    <mergeCell ref="BN253:BT253"/>
    <mergeCell ref="BE261:BG261"/>
    <mergeCell ref="BI261:BM261"/>
    <mergeCell ref="BN261:BT261"/>
    <mergeCell ref="BE262:BG262"/>
    <mergeCell ref="BI262:BM262"/>
    <mergeCell ref="BN262:BT262"/>
    <mergeCell ref="BE258:CA258"/>
    <mergeCell ref="BE259:BG259"/>
    <mergeCell ref="BH259:BL259"/>
    <mergeCell ref="BE260:BG260"/>
    <mergeCell ref="BI260:BM260"/>
    <mergeCell ref="BN260:BT260"/>
    <mergeCell ref="CE267:CJ267"/>
    <mergeCell ref="CM267:CT267"/>
    <mergeCell ref="BE268:BG268"/>
    <mergeCell ref="BI268:BM268"/>
    <mergeCell ref="BN268:BT268"/>
    <mergeCell ref="CE268:CJ268"/>
    <mergeCell ref="CM268:CT268"/>
    <mergeCell ref="BE265:CA265"/>
    <mergeCell ref="BE266:BG266"/>
    <mergeCell ref="BH266:BL266"/>
    <mergeCell ref="BE267:BG267"/>
    <mergeCell ref="BI267:BM267"/>
    <mergeCell ref="BN267:BT267"/>
    <mergeCell ref="CE275:CJ275"/>
    <mergeCell ref="CM275:CT275"/>
    <mergeCell ref="BE276:BG276"/>
    <mergeCell ref="BI276:BM276"/>
    <mergeCell ref="BN276:BT276"/>
    <mergeCell ref="CE276:CJ276"/>
    <mergeCell ref="CM276:CT276"/>
    <mergeCell ref="BE269:BG269"/>
    <mergeCell ref="BI269:BM269"/>
    <mergeCell ref="BN269:BT269"/>
    <mergeCell ref="BE273:CA273"/>
    <mergeCell ref="BE274:BG274"/>
    <mergeCell ref="BH274:BL274"/>
    <mergeCell ref="BE277:BG277"/>
    <mergeCell ref="BI277:BM277"/>
    <mergeCell ref="BN277:BT277"/>
    <mergeCell ref="BE282:CA282"/>
    <mergeCell ref="BE283:BG283"/>
    <mergeCell ref="BH283:BL283"/>
    <mergeCell ref="BE275:BG275"/>
    <mergeCell ref="BI275:BM275"/>
    <mergeCell ref="BN275:BT275"/>
    <mergeCell ref="BE284:BG284"/>
    <mergeCell ref="BI284:BM284"/>
    <mergeCell ref="BN284:BT284"/>
    <mergeCell ref="CE284:CJ284"/>
    <mergeCell ref="CM284:CT284"/>
    <mergeCell ref="BE285:BG285"/>
    <mergeCell ref="BI285:BM285"/>
    <mergeCell ref="BN285:BT285"/>
    <mergeCell ref="CE285:CJ285"/>
    <mergeCell ref="CM285:CT285"/>
    <mergeCell ref="CE297:CJ297"/>
    <mergeCell ref="CM297:CT297"/>
    <mergeCell ref="BE298:BG298"/>
    <mergeCell ref="BI298:BM298"/>
    <mergeCell ref="BN298:BT298"/>
    <mergeCell ref="CE298:CJ298"/>
    <mergeCell ref="CM298:CT298"/>
    <mergeCell ref="BE286:BG286"/>
    <mergeCell ref="BI286:BM286"/>
    <mergeCell ref="BN286:BT286"/>
    <mergeCell ref="BE295:CA295"/>
    <mergeCell ref="BE296:BG296"/>
    <mergeCell ref="BH296:BL296"/>
    <mergeCell ref="BE299:BG299"/>
    <mergeCell ref="BI299:BM299"/>
    <mergeCell ref="BN299:BT299"/>
    <mergeCell ref="BE303:CA303"/>
    <mergeCell ref="BE304:BG304"/>
    <mergeCell ref="BH304:BL304"/>
    <mergeCell ref="BE297:BG297"/>
    <mergeCell ref="BI297:BM297"/>
    <mergeCell ref="BN297:BT297"/>
    <mergeCell ref="BE305:BG305"/>
    <mergeCell ref="BI305:BM305"/>
    <mergeCell ref="BN305:BT305"/>
    <mergeCell ref="CE305:CJ305"/>
    <mergeCell ref="CM305:CT305"/>
    <mergeCell ref="BE306:BG306"/>
    <mergeCell ref="BI306:BM306"/>
    <mergeCell ref="BN306:BT306"/>
    <mergeCell ref="CE306:CJ306"/>
    <mergeCell ref="CM306:CT306"/>
    <mergeCell ref="CE312:CJ312"/>
    <mergeCell ref="CM312:CT312"/>
    <mergeCell ref="BE313:BG313"/>
    <mergeCell ref="BI313:BM313"/>
    <mergeCell ref="BN313:BT313"/>
    <mergeCell ref="CE313:CJ313"/>
    <mergeCell ref="CM313:CT313"/>
    <mergeCell ref="BE307:BG307"/>
    <mergeCell ref="BI307:BM307"/>
    <mergeCell ref="BN307:BT307"/>
    <mergeCell ref="BE310:CA310"/>
    <mergeCell ref="BE311:BG311"/>
    <mergeCell ref="BH311:BL311"/>
    <mergeCell ref="BE314:BG314"/>
    <mergeCell ref="BI314:BM314"/>
    <mergeCell ref="BN314:BT314"/>
    <mergeCell ref="BE318:CA318"/>
    <mergeCell ref="BE319:BG319"/>
    <mergeCell ref="BH319:BL319"/>
    <mergeCell ref="BE312:BG312"/>
    <mergeCell ref="BI312:BM312"/>
    <mergeCell ref="BN312:BT312"/>
    <mergeCell ref="BE320:BG320"/>
    <mergeCell ref="BI320:BM320"/>
    <mergeCell ref="BN320:BT320"/>
    <mergeCell ref="CE320:CJ320"/>
    <mergeCell ref="CM320:CT320"/>
    <mergeCell ref="BE321:BG321"/>
    <mergeCell ref="BI321:BM321"/>
    <mergeCell ref="BN321:BT321"/>
    <mergeCell ref="CE321:CJ321"/>
    <mergeCell ref="CM321:CT321"/>
    <mergeCell ref="CE328:CJ328"/>
    <mergeCell ref="CM328:CT328"/>
    <mergeCell ref="BE329:BG329"/>
    <mergeCell ref="BI329:BM329"/>
    <mergeCell ref="BN329:BT329"/>
    <mergeCell ref="CE329:CJ329"/>
    <mergeCell ref="CM329:CT329"/>
    <mergeCell ref="BE322:BG322"/>
    <mergeCell ref="BI322:BM322"/>
    <mergeCell ref="BN322:BT322"/>
    <mergeCell ref="BE326:CA326"/>
    <mergeCell ref="BE327:BG327"/>
    <mergeCell ref="BH327:BL327"/>
    <mergeCell ref="BE330:BG330"/>
    <mergeCell ref="BI330:BM330"/>
    <mergeCell ref="BN330:BT330"/>
    <mergeCell ref="BE334:CA334"/>
    <mergeCell ref="BE335:BG335"/>
    <mergeCell ref="BH335:BL335"/>
    <mergeCell ref="BE328:BG328"/>
    <mergeCell ref="BI328:BM328"/>
    <mergeCell ref="BN328:BT328"/>
    <mergeCell ref="BE336:BG336"/>
    <mergeCell ref="BI336:BM336"/>
    <mergeCell ref="BN336:BT336"/>
    <mergeCell ref="CE336:CJ336"/>
    <mergeCell ref="CM336:CT336"/>
    <mergeCell ref="BE337:BG337"/>
    <mergeCell ref="BI337:BM337"/>
    <mergeCell ref="BN337:BT337"/>
    <mergeCell ref="CE337:CJ337"/>
    <mergeCell ref="CM337:CT337"/>
    <mergeCell ref="CE344:CJ344"/>
    <mergeCell ref="CM344:CT344"/>
    <mergeCell ref="BE345:BG345"/>
    <mergeCell ref="BI345:BM345"/>
    <mergeCell ref="BN345:BT345"/>
    <mergeCell ref="CE345:CJ345"/>
    <mergeCell ref="CM345:CT345"/>
    <mergeCell ref="BE338:BG338"/>
    <mergeCell ref="BI338:BM338"/>
    <mergeCell ref="BN338:BT338"/>
    <mergeCell ref="BE342:CA342"/>
    <mergeCell ref="BE343:BG343"/>
    <mergeCell ref="BH343:BL343"/>
    <mergeCell ref="BE346:BG346"/>
    <mergeCell ref="BI346:BM346"/>
    <mergeCell ref="BN346:BT346"/>
    <mergeCell ref="BE349:CA349"/>
    <mergeCell ref="BE350:BG350"/>
    <mergeCell ref="BH350:BL350"/>
    <mergeCell ref="BE344:BG344"/>
    <mergeCell ref="BI344:BM344"/>
    <mergeCell ref="BN344:BT344"/>
    <mergeCell ref="BE351:BG351"/>
    <mergeCell ref="BI351:BM351"/>
    <mergeCell ref="BN351:BT351"/>
    <mergeCell ref="CE351:CJ351"/>
    <mergeCell ref="CM351:CT351"/>
    <mergeCell ref="BE352:BG352"/>
    <mergeCell ref="BI352:BM352"/>
    <mergeCell ref="BN352:BT352"/>
    <mergeCell ref="CE352:CJ352"/>
    <mergeCell ref="CM352:CT352"/>
    <mergeCell ref="BE360:BG360"/>
    <mergeCell ref="BI360:BM360"/>
    <mergeCell ref="BN360:BT360"/>
    <mergeCell ref="CE360:CJ360"/>
    <mergeCell ref="CM360:CT360"/>
    <mergeCell ref="BE357:CA357"/>
    <mergeCell ref="BE358:BG358"/>
    <mergeCell ref="BE361:BG361"/>
    <mergeCell ref="BI361:BM361"/>
    <mergeCell ref="BN361:BT361"/>
    <mergeCell ref="BE353:BG353"/>
    <mergeCell ref="BI353:BM353"/>
    <mergeCell ref="BN353:BT353"/>
    <mergeCell ref="CM356:CT356"/>
    <mergeCell ref="BH358:BL358"/>
    <mergeCell ref="BE359:BG359"/>
    <mergeCell ref="BI359:BM359"/>
    <mergeCell ref="BN359:BT359"/>
    <mergeCell ref="CE359:CJ359"/>
    <mergeCell ref="CM359:CT359"/>
    <mergeCell ref="CE390:CJ390"/>
    <mergeCell ref="CM390:CT390"/>
    <mergeCell ref="BE376:BG376"/>
    <mergeCell ref="BI376:BM376"/>
    <mergeCell ref="BN376:BT376"/>
    <mergeCell ref="CE381:CJ381"/>
    <mergeCell ref="CM381:CT381"/>
    <mergeCell ref="BE382:BG382"/>
    <mergeCell ref="BI382:BM382"/>
    <mergeCell ref="BN382:BT382"/>
    <mergeCell ref="CE382:CJ382"/>
    <mergeCell ref="CM382:CT382"/>
    <mergeCell ref="BE383:BG383"/>
    <mergeCell ref="BI383:BM383"/>
    <mergeCell ref="BN383:BT383"/>
    <mergeCell ref="BE379:CA379"/>
    <mergeCell ref="BE380:BG380"/>
    <mergeCell ref="BH380:BL380"/>
    <mergeCell ref="BE381:BG381"/>
    <mergeCell ref="BI381:BM381"/>
    <mergeCell ref="BN381:BT381"/>
    <mergeCell ref="BE390:BG390"/>
    <mergeCell ref="BI390:BM390"/>
    <mergeCell ref="BN390:BT390"/>
    <mergeCell ref="CE367:CJ367"/>
    <mergeCell ref="CM367:CT367"/>
    <mergeCell ref="BE368:BG368"/>
    <mergeCell ref="BI368:BM368"/>
    <mergeCell ref="BN368:BT368"/>
    <mergeCell ref="CE368:CJ368"/>
    <mergeCell ref="CM368:CT368"/>
    <mergeCell ref="CE389:CJ389"/>
    <mergeCell ref="CM389:CT389"/>
    <mergeCell ref="CE374:CJ374"/>
    <mergeCell ref="CM374:CT374"/>
    <mergeCell ref="BE375:BG375"/>
    <mergeCell ref="BI375:BM375"/>
    <mergeCell ref="BN375:BT375"/>
    <mergeCell ref="CE375:CJ375"/>
    <mergeCell ref="CM375:CT375"/>
    <mergeCell ref="BE367:BG367"/>
    <mergeCell ref="BI367:BM367"/>
    <mergeCell ref="BN367:BT367"/>
    <mergeCell ref="BE369:BG369"/>
    <mergeCell ref="BI369:BM369"/>
    <mergeCell ref="BN369:BT369"/>
    <mergeCell ref="CE396:CJ396"/>
    <mergeCell ref="CM396:CT396"/>
    <mergeCell ref="BE397:BG397"/>
    <mergeCell ref="BI397:BM397"/>
    <mergeCell ref="BN397:BT397"/>
    <mergeCell ref="CE397:CJ397"/>
    <mergeCell ref="CM397:CT397"/>
    <mergeCell ref="AQ2:BB2"/>
    <mergeCell ref="BE391:BG391"/>
    <mergeCell ref="BI391:BM391"/>
    <mergeCell ref="BN391:BT391"/>
    <mergeCell ref="BE387:CA387"/>
    <mergeCell ref="BE388:BG388"/>
    <mergeCell ref="BH388:BL388"/>
    <mergeCell ref="BE389:BG389"/>
    <mergeCell ref="BI389:BM389"/>
    <mergeCell ref="BN389:BT389"/>
    <mergeCell ref="BE372:CA372"/>
    <mergeCell ref="BE373:BG373"/>
    <mergeCell ref="BH373:BL373"/>
    <mergeCell ref="BE374:BG374"/>
    <mergeCell ref="BI374:BM374"/>
    <mergeCell ref="BN374:BT374"/>
    <mergeCell ref="BE365:CA365"/>
    <mergeCell ref="BE366:BG366"/>
    <mergeCell ref="BH366:BL366"/>
    <mergeCell ref="BE398:BG398"/>
    <mergeCell ref="BI398:BM398"/>
    <mergeCell ref="BN398:BT398"/>
    <mergeCell ref="BE394:CA394"/>
    <mergeCell ref="BE395:BG395"/>
    <mergeCell ref="BH395:BL395"/>
    <mergeCell ref="BE396:BG396"/>
    <mergeCell ref="BI396:BM396"/>
    <mergeCell ref="BN396:BT396"/>
  </mergeCells>
  <pageMargins left="0" right="0" top="0" bottom="0" header="0.31496062992125984" footer="0.31496062992125984"/>
  <pageSetup paperSize="9" scale="75" fitToHeight="0" orientation="portrait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CT377"/>
  <sheetViews>
    <sheetView topLeftCell="AC150" workbookViewId="0">
      <pane xSplit="18705" topLeftCell="BI1"/>
      <selection activeCell="CE376" sqref="CE376:CJ376"/>
      <selection pane="topRight" activeCell="BI153" sqref="BI153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5" width="1.85546875" style="117"/>
    <col min="26" max="26" width="9.85546875" style="117" bestFit="1" customWidth="1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4.42578125" style="117" customWidth="1"/>
    <col min="55" max="55" width="4.5703125" style="117" customWidth="1"/>
    <col min="56" max="56" width="4.7109375" style="117" customWidth="1"/>
    <col min="57" max="57" width="10.140625" style="117" customWidth="1"/>
    <col min="58" max="58" width="5.85546875" style="117" customWidth="1"/>
    <col min="59" max="59" width="2.7109375" style="117" customWidth="1"/>
    <col min="60" max="60" width="10.42578125" style="117" customWidth="1"/>
    <col min="61" max="61" width="8.140625" style="117" customWidth="1"/>
    <col min="62" max="87" width="1.85546875" style="117" customWidth="1"/>
    <col min="88" max="16384" width="1.85546875" style="117"/>
  </cols>
  <sheetData>
    <row r="1" spans="1:55" s="100" customFormat="1" ht="15" customHeight="1" x14ac:dyDescent="0.25">
      <c r="AW1" s="100" t="s">
        <v>83</v>
      </c>
    </row>
    <row r="2" spans="1:55" s="100" customFormat="1" ht="5.0999999999999996" customHeight="1" x14ac:dyDescent="0.25"/>
    <row r="3" spans="1:55" s="100" customFormat="1" ht="15" customHeight="1" x14ac:dyDescent="0.25">
      <c r="AQ3" s="100" t="s">
        <v>91</v>
      </c>
    </row>
    <row r="4" spans="1:55" s="100" customFormat="1" ht="5.0999999999999996" customHeight="1" x14ac:dyDescent="0.25"/>
    <row r="5" spans="1:55" s="100" customFormat="1" ht="15" customHeight="1" x14ac:dyDescent="0.25">
      <c r="AM5" s="157"/>
      <c r="AN5" s="157"/>
      <c r="AO5" s="157"/>
      <c r="AP5" s="157"/>
      <c r="AQ5" s="156"/>
      <c r="AR5" s="156"/>
      <c r="AS5" s="156"/>
      <c r="AT5" s="156"/>
      <c r="AU5" s="156"/>
      <c r="AV5" s="1370" t="s">
        <v>515</v>
      </c>
      <c r="AW5" s="443"/>
      <c r="AX5" s="443"/>
      <c r="AY5" s="443"/>
      <c r="AZ5" s="443"/>
      <c r="BA5" s="443"/>
      <c r="BB5" s="443"/>
      <c r="BC5" s="443"/>
    </row>
    <row r="6" spans="1:55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5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5" s="100" customFormat="1" ht="15" customHeight="1" x14ac:dyDescent="0.25">
      <c r="A8" s="756" t="s">
        <v>526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5" s="100" customFormat="1" ht="5.0999999999999996" customHeight="1" x14ac:dyDescent="0.25">
      <c r="A9" s="310"/>
      <c r="B9" s="310"/>
      <c r="C9" s="310"/>
      <c r="D9" s="310"/>
      <c r="E9" s="310"/>
      <c r="F9" s="310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0"/>
      <c r="AL9" s="310"/>
      <c r="AM9" s="310"/>
      <c r="AN9" s="310"/>
      <c r="AO9" s="310"/>
      <c r="AP9" s="310"/>
      <c r="AQ9" s="310"/>
      <c r="AR9" s="310"/>
      <c r="AS9" s="310"/>
      <c r="AT9" s="310"/>
      <c r="AU9" s="310"/>
      <c r="AV9" s="310"/>
      <c r="AW9" s="310"/>
      <c r="AX9" s="310"/>
      <c r="AY9" s="310"/>
      <c r="AZ9" s="310"/>
      <c r="BA9" s="310"/>
    </row>
    <row r="10" spans="1:55" s="100" customFormat="1" ht="15" customHeight="1" x14ac:dyDescent="0.25">
      <c r="A10" s="310"/>
      <c r="B10" s="310" t="s">
        <v>113</v>
      </c>
      <c r="C10" s="757">
        <v>16</v>
      </c>
      <c r="D10" s="757"/>
      <c r="E10" s="757"/>
      <c r="F10" s="310"/>
      <c r="G10" s="757" t="s">
        <v>196</v>
      </c>
      <c r="H10" s="757"/>
      <c r="I10" s="757"/>
      <c r="J10" s="757"/>
      <c r="K10" s="757"/>
      <c r="L10" s="757"/>
      <c r="M10" s="310"/>
      <c r="N10" s="756">
        <v>2019</v>
      </c>
      <c r="O10" s="756"/>
      <c r="P10" s="756"/>
      <c r="Q10" s="756"/>
      <c r="R10" s="310"/>
      <c r="S10" s="310" t="s">
        <v>114</v>
      </c>
      <c r="T10" s="310"/>
      <c r="U10" s="756" t="s">
        <v>115</v>
      </c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758"/>
      <c r="AI10" s="758"/>
      <c r="AJ10" s="757">
        <v>31</v>
      </c>
      <c r="AK10" s="757"/>
      <c r="AL10" s="757"/>
      <c r="AM10" s="310"/>
      <c r="AN10" s="757" t="s">
        <v>116</v>
      </c>
      <c r="AO10" s="757"/>
      <c r="AP10" s="757"/>
      <c r="AQ10" s="757"/>
      <c r="AR10" s="757"/>
      <c r="AS10" s="757"/>
      <c r="AT10" s="757"/>
      <c r="AU10" s="310"/>
      <c r="AV10" s="756">
        <v>2020</v>
      </c>
      <c r="AW10" s="756"/>
      <c r="AX10" s="756"/>
      <c r="AY10" s="756"/>
      <c r="AZ10" s="310"/>
      <c r="BA10" s="310" t="s">
        <v>114</v>
      </c>
    </row>
    <row r="11" spans="1:55" s="82" customFormat="1" ht="5.0999999999999996" customHeight="1" x14ac:dyDescent="0.2"/>
    <row r="12" spans="1:55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36</v>
      </c>
      <c r="V12" s="761"/>
      <c r="W12" s="761"/>
    </row>
    <row r="13" spans="1:55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5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1">
        <v>12</v>
      </c>
      <c r="V14" s="761"/>
      <c r="W14" s="761"/>
    </row>
    <row r="15" spans="1:55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5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1</v>
      </c>
      <c r="V16" s="761"/>
      <c r="W16" s="761"/>
      <c r="X16" s="312" t="s">
        <v>4</v>
      </c>
      <c r="Y16" s="761">
        <v>12</v>
      </c>
      <c r="Z16" s="761"/>
      <c r="AA16" s="761"/>
    </row>
    <row r="17" spans="1:54" ht="5.0999999999999996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530</v>
      </c>
      <c r="AR19" s="162"/>
      <c r="AS19" s="164"/>
      <c r="AX19" s="708">
        <v>15600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419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4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customHeight="1" x14ac:dyDescent="0.2">
      <c r="A24" s="764" t="s">
        <v>417</v>
      </c>
      <c r="B24" s="765"/>
      <c r="C24" s="765"/>
      <c r="D24" s="765"/>
      <c r="E24" s="765"/>
      <c r="F24" s="765"/>
      <c r="G24" s="766"/>
      <c r="H24" s="711" t="s">
        <v>16</v>
      </c>
      <c r="I24" s="712"/>
      <c r="J24" s="712"/>
      <c r="K24" s="712"/>
      <c r="L24" s="712"/>
      <c r="M24" s="712"/>
      <c r="N24" s="712"/>
      <c r="O24" s="712"/>
      <c r="P24" s="712"/>
      <c r="Q24" s="712"/>
      <c r="R24" s="712"/>
      <c r="S24" s="712"/>
      <c r="T24" s="712"/>
      <c r="U24" s="712"/>
      <c r="V24" s="712"/>
      <c r="W24" s="712"/>
      <c r="X24" s="712"/>
      <c r="Y24" s="712"/>
      <c r="Z24" s="723">
        <v>0.2</v>
      </c>
      <c r="AA24" s="723"/>
      <c r="AB24" s="723"/>
      <c r="AC24" s="662">
        <f>(AX51+AX83)*Z24*AH24</f>
        <v>3893.76</v>
      </c>
      <c r="AD24" s="662"/>
      <c r="AE24" s="662"/>
      <c r="AF24" s="662"/>
      <c r="AG24" s="662"/>
      <c r="AH24" s="663">
        <v>1</v>
      </c>
      <c r="AI24" s="663"/>
      <c r="AJ24" s="663"/>
      <c r="AK24" s="663"/>
      <c r="AL24" s="663"/>
      <c r="AM24" s="663"/>
      <c r="AN24" s="662">
        <f>AC24/U12</f>
        <v>108.16000000000001</v>
      </c>
      <c r="AO24" s="662"/>
      <c r="AP24" s="662"/>
      <c r="AQ24" s="662"/>
      <c r="AR24" s="662"/>
      <c r="AS24" s="663" t="s">
        <v>17</v>
      </c>
      <c r="AT24" s="663"/>
      <c r="AU24" s="663"/>
      <c r="AV24" s="663"/>
      <c r="AW24" s="663"/>
      <c r="AX24" s="662" t="s">
        <v>17</v>
      </c>
      <c r="AY24" s="662"/>
      <c r="AZ24" s="662"/>
      <c r="BA24" s="662"/>
      <c r="BB24" s="684"/>
    </row>
    <row r="25" spans="1:54" s="165" customFormat="1" ht="26.25" customHeight="1" x14ac:dyDescent="0.2">
      <c r="A25" s="767"/>
      <c r="B25" s="768"/>
      <c r="C25" s="768"/>
      <c r="D25" s="768"/>
      <c r="E25" s="768"/>
      <c r="F25" s="768"/>
      <c r="G25" s="769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771" t="s">
        <v>89</v>
      </c>
      <c r="B26" s="772"/>
      <c r="C26" s="772"/>
      <c r="D26" s="772"/>
      <c r="E26" s="772"/>
      <c r="F26" s="772"/>
      <c r="G26" s="773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11.25" customHeight="1" x14ac:dyDescent="0.2">
      <c r="A27" s="750"/>
      <c r="B27" s="751"/>
      <c r="C27" s="751"/>
      <c r="D27" s="751"/>
      <c r="E27" s="751"/>
      <c r="F27" s="751"/>
      <c r="G27" s="7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17.25" customHeight="1" thickBot="1" x14ac:dyDescent="0.25">
      <c r="A33" s="753"/>
      <c r="B33" s="754"/>
      <c r="C33" s="754"/>
      <c r="D33" s="754"/>
      <c r="E33" s="754"/>
      <c r="F33" s="754"/>
      <c r="G33" s="775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9"/>
      <c r="AA33" s="729"/>
      <c r="AB33" s="729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191"/>
      <c r="R34" s="187" t="s">
        <v>18</v>
      </c>
      <c r="S34" s="163"/>
      <c r="T34" s="163"/>
      <c r="U34" s="162"/>
      <c r="V34" s="162"/>
      <c r="W34" s="162"/>
      <c r="X34" s="162"/>
      <c r="Y34" s="162"/>
      <c r="Z34" s="162"/>
      <c r="AA34" s="162"/>
      <c r="AB34" s="162"/>
      <c r="AC34" s="162"/>
      <c r="AD34" s="162" t="s">
        <v>19</v>
      </c>
      <c r="AE34" s="162" t="s">
        <v>20</v>
      </c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88"/>
      <c r="AS34" s="702">
        <f>AN24</f>
        <v>108.16000000000001</v>
      </c>
      <c r="AT34" s="702"/>
      <c r="AU34" s="702"/>
      <c r="AV34" s="702"/>
      <c r="AW34" s="702"/>
      <c r="AX34" s="702">
        <f>AC24</f>
        <v>3893.76</v>
      </c>
      <c r="AY34" s="702"/>
      <c r="AZ34" s="702"/>
      <c r="BA34" s="702"/>
      <c r="BB34" s="703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309"/>
      <c r="I35" s="309"/>
      <c r="J35" s="309"/>
      <c r="K35" s="309"/>
      <c r="L35" s="309"/>
      <c r="M35" s="309"/>
      <c r="P35" s="168"/>
      <c r="Q35" s="307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32.664320000000004</v>
      </c>
      <c r="AT35" s="463"/>
      <c r="AU35" s="463"/>
      <c r="AV35" s="463"/>
      <c r="AW35" s="463"/>
      <c r="AX35" s="463">
        <f>AX34*AO35</f>
        <v>1175.91552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309"/>
      <c r="I36" s="309"/>
      <c r="J36" s="309"/>
      <c r="K36" s="309"/>
      <c r="L36" s="309"/>
      <c r="M36" s="309"/>
      <c r="P36" s="168"/>
      <c r="Q36" s="307"/>
      <c r="R36" s="307"/>
      <c r="S36" s="307"/>
      <c r="U36" s="307"/>
      <c r="V36" s="307"/>
      <c r="W36" s="307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313"/>
      <c r="AT36" s="315"/>
      <c r="AU36" s="315"/>
      <c r="AV36" s="315"/>
      <c r="AW36" s="315"/>
      <c r="AX36" s="313"/>
      <c r="AY36" s="315"/>
      <c r="AZ36" s="315"/>
      <c r="BA36" s="315"/>
      <c r="BB36" s="315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420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660"/>
      <c r="B41" s="661"/>
      <c r="C41" s="661"/>
      <c r="D41" s="661"/>
      <c r="E41" s="661"/>
      <c r="F41" s="661"/>
      <c r="G41" s="661"/>
      <c r="H41" s="662" t="s">
        <v>16</v>
      </c>
      <c r="I41" s="662"/>
      <c r="J41" s="662"/>
      <c r="K41" s="662"/>
      <c r="L41" s="662"/>
      <c r="M41" s="662"/>
      <c r="N41" s="662"/>
      <c r="O41" s="662"/>
      <c r="P41" s="662"/>
      <c r="Q41" s="662"/>
      <c r="R41" s="662"/>
      <c r="S41" s="662"/>
      <c r="T41" s="662"/>
      <c r="U41" s="662"/>
      <c r="V41" s="662"/>
      <c r="W41" s="662"/>
      <c r="X41" s="662"/>
      <c r="Y41" s="662"/>
      <c r="Z41" s="723">
        <v>0</v>
      </c>
      <c r="AA41" s="723"/>
      <c r="AB41" s="723"/>
      <c r="AC41" s="662">
        <f>AX83*Z41*AH41</f>
        <v>0</v>
      </c>
      <c r="AD41" s="662"/>
      <c r="AE41" s="662"/>
      <c r="AF41" s="662"/>
      <c r="AG41" s="662"/>
      <c r="AH41" s="508">
        <v>1</v>
      </c>
      <c r="AI41" s="509"/>
      <c r="AJ41" s="509"/>
      <c r="AK41" s="509"/>
      <c r="AL41" s="509"/>
      <c r="AM41" s="510"/>
      <c r="AN41" s="711">
        <f>AC41/U12</f>
        <v>0</v>
      </c>
      <c r="AO41" s="712"/>
      <c r="AP41" s="712"/>
      <c r="AQ41" s="712"/>
      <c r="AR41" s="734"/>
      <c r="AS41" s="508" t="s">
        <v>17</v>
      </c>
      <c r="AT41" s="509"/>
      <c r="AU41" s="509"/>
      <c r="AV41" s="509"/>
      <c r="AW41" s="510"/>
      <c r="AX41" s="711" t="s">
        <v>17</v>
      </c>
      <c r="AY41" s="712"/>
      <c r="AZ41" s="712"/>
      <c r="BA41" s="712"/>
      <c r="BB41" s="713"/>
    </row>
    <row r="42" spans="1:54" s="165" customFormat="1" ht="0.75" hidden="1" customHeight="1" x14ac:dyDescent="0.2">
      <c r="A42" s="652"/>
      <c r="B42" s="653"/>
      <c r="C42" s="653"/>
      <c r="D42" s="653"/>
      <c r="E42" s="653"/>
      <c r="F42" s="653"/>
      <c r="G42" s="653"/>
      <c r="H42" s="601"/>
      <c r="I42" s="601"/>
      <c r="J42" s="601"/>
      <c r="K42" s="601"/>
      <c r="L42" s="601"/>
      <c r="M42" s="601"/>
      <c r="N42" s="601"/>
      <c r="O42" s="601"/>
      <c r="P42" s="601"/>
      <c r="Q42" s="601"/>
      <c r="R42" s="601"/>
      <c r="S42" s="601"/>
      <c r="T42" s="601"/>
      <c r="U42" s="601"/>
      <c r="V42" s="601"/>
      <c r="W42" s="601"/>
      <c r="X42" s="601"/>
      <c r="Y42" s="601"/>
      <c r="Z42" s="726"/>
      <c r="AA42" s="726"/>
      <c r="AB42" s="726"/>
      <c r="AC42" s="601"/>
      <c r="AD42" s="601"/>
      <c r="AE42" s="601"/>
      <c r="AF42" s="601"/>
      <c r="AG42" s="601"/>
      <c r="AH42" s="511"/>
      <c r="AI42" s="512"/>
      <c r="AJ42" s="512"/>
      <c r="AK42" s="512"/>
      <c r="AL42" s="512"/>
      <c r="AM42" s="513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714"/>
      <c r="AY42" s="704"/>
      <c r="AZ42" s="704"/>
      <c r="BA42" s="704"/>
      <c r="BB42" s="715"/>
    </row>
    <row r="43" spans="1:54" ht="18" customHeight="1" x14ac:dyDescent="0.2">
      <c r="A43" s="652"/>
      <c r="B43" s="653"/>
      <c r="C43" s="653"/>
      <c r="D43" s="653"/>
      <c r="E43" s="653"/>
      <c r="F43" s="653"/>
      <c r="G43" s="653"/>
      <c r="H43" s="601"/>
      <c r="I43" s="601"/>
      <c r="J43" s="601"/>
      <c r="K43" s="601"/>
      <c r="L43" s="601"/>
      <c r="M43" s="601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726"/>
      <c r="AA43" s="726"/>
      <c r="AB43" s="726"/>
      <c r="AC43" s="601"/>
      <c r="AD43" s="601"/>
      <c r="AE43" s="601"/>
      <c r="AF43" s="601"/>
      <c r="AG43" s="601"/>
      <c r="AH43" s="736"/>
      <c r="AI43" s="737"/>
      <c r="AJ43" s="737"/>
      <c r="AK43" s="737"/>
      <c r="AL43" s="737"/>
      <c r="AM43" s="738"/>
      <c r="AN43" s="716"/>
      <c r="AO43" s="669"/>
      <c r="AP43" s="669"/>
      <c r="AQ43" s="669"/>
      <c r="AR43" s="670"/>
      <c r="AS43" s="736"/>
      <c r="AT43" s="737"/>
      <c r="AU43" s="737"/>
      <c r="AV43" s="737"/>
      <c r="AW43" s="738"/>
      <c r="AX43" s="716"/>
      <c r="AY43" s="669"/>
      <c r="AZ43" s="669"/>
      <c r="BA43" s="669"/>
      <c r="BB43" s="717"/>
    </row>
    <row r="44" spans="1:54" s="165" customFormat="1" ht="21" hidden="1" customHeight="1" x14ac:dyDescent="0.2">
      <c r="A44" s="652"/>
      <c r="B44" s="653"/>
      <c r="C44" s="653"/>
      <c r="D44" s="653"/>
      <c r="E44" s="653"/>
      <c r="F44" s="653"/>
      <c r="G44" s="653"/>
      <c r="H44" s="601"/>
      <c r="I44" s="601"/>
      <c r="J44" s="601"/>
      <c r="K44" s="601"/>
      <c r="L44" s="601"/>
      <c r="M44" s="601"/>
      <c r="N44" s="601"/>
      <c r="O44" s="601"/>
      <c r="P44" s="601"/>
      <c r="Q44" s="601"/>
      <c r="R44" s="601"/>
      <c r="S44" s="601"/>
      <c r="T44" s="601"/>
      <c r="U44" s="601"/>
      <c r="V44" s="601"/>
      <c r="W44" s="601"/>
      <c r="X44" s="601"/>
      <c r="Y44" s="601"/>
      <c r="Z44" s="726"/>
      <c r="AA44" s="726"/>
      <c r="AB44" s="726"/>
      <c r="AC44" s="279"/>
      <c r="AD44" s="279"/>
      <c r="AE44" s="279"/>
      <c r="AF44" s="279"/>
      <c r="AG44" s="279"/>
      <c r="AH44" s="180"/>
      <c r="AI44" s="181"/>
      <c r="AJ44" s="181"/>
      <c r="AK44" s="181"/>
      <c r="AL44" s="181"/>
      <c r="AM44" s="182"/>
      <c r="AN44" s="86"/>
      <c r="AO44" s="84"/>
      <c r="AP44" s="84"/>
      <c r="AQ44" s="84"/>
      <c r="AR44" s="85"/>
      <c r="AS44" s="180"/>
      <c r="AT44" s="181"/>
      <c r="AU44" s="181"/>
      <c r="AV44" s="181"/>
      <c r="AW44" s="182"/>
      <c r="AX44" s="86"/>
      <c r="AY44" s="84"/>
      <c r="AZ44" s="84"/>
      <c r="BA44" s="84"/>
      <c r="BB44" s="255"/>
    </row>
    <row r="45" spans="1:54" s="165" customFormat="1" ht="21.75" hidden="1" customHeight="1" x14ac:dyDescent="0.2">
      <c r="A45" s="652"/>
      <c r="B45" s="653"/>
      <c r="C45" s="653"/>
      <c r="D45" s="653"/>
      <c r="E45" s="653"/>
      <c r="F45" s="653"/>
      <c r="G45" s="653"/>
      <c r="H45" s="601"/>
      <c r="I45" s="601"/>
      <c r="J45" s="601"/>
      <c r="K45" s="601"/>
      <c r="L45" s="601"/>
      <c r="M45" s="601"/>
      <c r="N45" s="601"/>
      <c r="O45" s="601"/>
      <c r="P45" s="601"/>
      <c r="Q45" s="601"/>
      <c r="R45" s="601"/>
      <c r="S45" s="601"/>
      <c r="T45" s="601"/>
      <c r="U45" s="601"/>
      <c r="V45" s="601"/>
      <c r="W45" s="601"/>
      <c r="X45" s="601"/>
      <c r="Y45" s="601"/>
      <c r="Z45" s="726"/>
      <c r="AA45" s="726"/>
      <c r="AB45" s="726"/>
      <c r="AC45" s="279"/>
      <c r="AD45" s="279"/>
      <c r="AE45" s="279"/>
      <c r="AF45" s="279"/>
      <c r="AG45" s="279"/>
      <c r="AH45" s="180"/>
      <c r="AI45" s="181"/>
      <c r="AJ45" s="181"/>
      <c r="AK45" s="181"/>
      <c r="AL45" s="181"/>
      <c r="AM45" s="182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255"/>
    </row>
    <row r="46" spans="1:54" s="165" customFormat="1" ht="24" hidden="1" customHeight="1" x14ac:dyDescent="0.2">
      <c r="A46" s="652"/>
      <c r="B46" s="653"/>
      <c r="C46" s="653"/>
      <c r="D46" s="653"/>
      <c r="E46" s="653"/>
      <c r="F46" s="653"/>
      <c r="G46" s="653"/>
      <c r="H46" s="601"/>
      <c r="I46" s="601"/>
      <c r="J46" s="601"/>
      <c r="K46" s="601"/>
      <c r="L46" s="601"/>
      <c r="M46" s="601"/>
      <c r="N46" s="601"/>
      <c r="O46" s="601"/>
      <c r="P46" s="601"/>
      <c r="Q46" s="601"/>
      <c r="R46" s="601"/>
      <c r="S46" s="601"/>
      <c r="T46" s="601"/>
      <c r="U46" s="601"/>
      <c r="V46" s="601"/>
      <c r="W46" s="601"/>
      <c r="X46" s="601"/>
      <c r="Y46" s="601"/>
      <c r="Z46" s="726"/>
      <c r="AA46" s="726"/>
      <c r="AB46" s="726"/>
      <c r="AC46" s="279"/>
      <c r="AD46" s="279"/>
      <c r="AE46" s="279"/>
      <c r="AF46" s="279"/>
      <c r="AG46" s="279"/>
      <c r="AH46" s="180"/>
      <c r="AI46" s="181"/>
      <c r="AJ46" s="181"/>
      <c r="AK46" s="181"/>
      <c r="AL46" s="181"/>
      <c r="AM46" s="182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255"/>
    </row>
    <row r="47" spans="1:54" s="165" customFormat="1" ht="18" hidden="1" customHeight="1" x14ac:dyDescent="0.2">
      <c r="A47" s="652"/>
      <c r="B47" s="653"/>
      <c r="C47" s="653"/>
      <c r="D47" s="653"/>
      <c r="E47" s="653"/>
      <c r="F47" s="653"/>
      <c r="G47" s="653"/>
      <c r="H47" s="601"/>
      <c r="I47" s="601"/>
      <c r="J47" s="601"/>
      <c r="K47" s="601"/>
      <c r="L47" s="601"/>
      <c r="M47" s="601"/>
      <c r="N47" s="601"/>
      <c r="O47" s="601"/>
      <c r="P47" s="601"/>
      <c r="Q47" s="601"/>
      <c r="R47" s="601"/>
      <c r="S47" s="601"/>
      <c r="T47" s="601"/>
      <c r="U47" s="601"/>
      <c r="V47" s="601"/>
      <c r="W47" s="601"/>
      <c r="X47" s="601"/>
      <c r="Y47" s="601"/>
      <c r="Z47" s="726"/>
      <c r="AA47" s="726"/>
      <c r="AB47" s="726"/>
      <c r="AC47" s="279"/>
      <c r="AD47" s="279"/>
      <c r="AE47" s="279"/>
      <c r="AF47" s="279"/>
      <c r="AG47" s="279"/>
      <c r="AH47" s="180"/>
      <c r="AI47" s="181"/>
      <c r="AJ47" s="181"/>
      <c r="AK47" s="181"/>
      <c r="AL47" s="181"/>
      <c r="AM47" s="182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255"/>
    </row>
    <row r="48" spans="1:54" s="165" customFormat="1" ht="17.25" hidden="1" customHeight="1" x14ac:dyDescent="0.2">
      <c r="A48" s="652"/>
      <c r="B48" s="653"/>
      <c r="C48" s="653"/>
      <c r="D48" s="653"/>
      <c r="E48" s="653"/>
      <c r="F48" s="653"/>
      <c r="G48" s="653"/>
      <c r="H48" s="601"/>
      <c r="I48" s="601"/>
      <c r="J48" s="601"/>
      <c r="K48" s="601"/>
      <c r="L48" s="601"/>
      <c r="M48" s="601"/>
      <c r="N48" s="601"/>
      <c r="O48" s="601"/>
      <c r="P48" s="601"/>
      <c r="Q48" s="601"/>
      <c r="R48" s="601"/>
      <c r="S48" s="601"/>
      <c r="T48" s="601"/>
      <c r="U48" s="601"/>
      <c r="V48" s="601"/>
      <c r="W48" s="601"/>
      <c r="X48" s="601"/>
      <c r="Y48" s="601"/>
      <c r="Z48" s="726"/>
      <c r="AA48" s="726"/>
      <c r="AB48" s="726"/>
      <c r="AC48" s="279"/>
      <c r="AD48" s="279"/>
      <c r="AE48" s="279"/>
      <c r="AF48" s="279"/>
      <c r="AG48" s="279"/>
      <c r="AH48" s="180"/>
      <c r="AI48" s="181"/>
      <c r="AJ48" s="181"/>
      <c r="AK48" s="181"/>
      <c r="AL48" s="181"/>
      <c r="AM48" s="182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255"/>
    </row>
    <row r="49" spans="1:54" s="165" customFormat="1" ht="14.25" hidden="1" customHeight="1" x14ac:dyDescent="0.2">
      <c r="A49" s="652"/>
      <c r="B49" s="653"/>
      <c r="C49" s="653"/>
      <c r="D49" s="653"/>
      <c r="E49" s="653"/>
      <c r="F49" s="653"/>
      <c r="G49" s="653"/>
      <c r="H49" s="601"/>
      <c r="I49" s="601"/>
      <c r="J49" s="601"/>
      <c r="K49" s="601"/>
      <c r="L49" s="601"/>
      <c r="M49" s="601"/>
      <c r="N49" s="601"/>
      <c r="O49" s="601"/>
      <c r="P49" s="601"/>
      <c r="Q49" s="601"/>
      <c r="R49" s="601"/>
      <c r="S49" s="601"/>
      <c r="T49" s="601"/>
      <c r="U49" s="601"/>
      <c r="V49" s="601"/>
      <c r="W49" s="601"/>
      <c r="X49" s="601"/>
      <c r="Y49" s="601"/>
      <c r="Z49" s="726"/>
      <c r="AA49" s="726"/>
      <c r="AB49" s="726"/>
      <c r="AC49" s="279"/>
      <c r="AD49" s="279"/>
      <c r="AE49" s="279"/>
      <c r="AF49" s="279"/>
      <c r="AG49" s="279"/>
      <c r="AH49" s="180"/>
      <c r="AI49" s="181"/>
      <c r="AJ49" s="181"/>
      <c r="AK49" s="181"/>
      <c r="AL49" s="181"/>
      <c r="AM49" s="182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255"/>
    </row>
    <row r="50" spans="1:54" ht="0.75" customHeight="1" thickBot="1" x14ac:dyDescent="0.25">
      <c r="A50" s="681"/>
      <c r="B50" s="682"/>
      <c r="C50" s="682"/>
      <c r="D50" s="682"/>
      <c r="E50" s="682"/>
      <c r="F50" s="682"/>
      <c r="G50" s="682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  <c r="V50" s="656"/>
      <c r="W50" s="656"/>
      <c r="X50" s="656"/>
      <c r="Y50" s="656"/>
      <c r="Z50" s="729"/>
      <c r="AA50" s="729"/>
      <c r="AB50" s="729"/>
      <c r="AC50" s="280"/>
      <c r="AD50" s="280"/>
      <c r="AE50" s="280"/>
      <c r="AF50" s="280"/>
      <c r="AG50" s="280"/>
      <c r="AH50" s="259"/>
      <c r="AI50" s="260"/>
      <c r="AJ50" s="260"/>
      <c r="AK50" s="260"/>
      <c r="AL50" s="260"/>
      <c r="AM50" s="261"/>
      <c r="AN50" s="256"/>
      <c r="AO50" s="257"/>
      <c r="AP50" s="257"/>
      <c r="AQ50" s="257"/>
      <c r="AR50" s="258"/>
      <c r="AS50" s="259"/>
      <c r="AT50" s="260"/>
      <c r="AU50" s="260"/>
      <c r="AV50" s="260"/>
      <c r="AW50" s="261"/>
      <c r="AX50" s="256"/>
      <c r="AY50" s="257"/>
      <c r="AZ50" s="257"/>
      <c r="BA50" s="257"/>
      <c r="BB50" s="262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305"/>
      <c r="I52" s="305"/>
      <c r="J52" s="305"/>
      <c r="K52" s="305"/>
      <c r="L52" s="164"/>
      <c r="M52" s="164"/>
      <c r="N52" s="164"/>
      <c r="O52" s="164"/>
      <c r="P52" s="164"/>
      <c r="Q52" s="306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660" t="s">
        <v>101</v>
      </c>
      <c r="B58" s="661"/>
      <c r="C58" s="661"/>
      <c r="D58" s="661"/>
      <c r="E58" s="661"/>
      <c r="F58" s="661"/>
      <c r="G58" s="661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96"/>
      <c r="AC58" s="662">
        <f>((R59+(R59*U61)+(R59*Q61)+(R59*M61)+(R59*I61))*Z61)</f>
        <v>40560</v>
      </c>
      <c r="AD58" s="662"/>
      <c r="AE58" s="662"/>
      <c r="AF58" s="662"/>
      <c r="AG58" s="662"/>
      <c r="AH58" s="662">
        <v>75</v>
      </c>
      <c r="AI58" s="662"/>
      <c r="AJ58" s="662"/>
      <c r="AK58" s="662"/>
      <c r="AL58" s="662"/>
      <c r="AM58" s="662"/>
      <c r="AN58" s="662">
        <f>AC58/AH58</f>
        <v>540.79999999999995</v>
      </c>
      <c r="AO58" s="662"/>
      <c r="AP58" s="662"/>
      <c r="AQ58" s="662"/>
      <c r="AR58" s="662"/>
      <c r="AS58" s="663">
        <f>U12</f>
        <v>36</v>
      </c>
      <c r="AT58" s="663"/>
      <c r="AU58" s="663"/>
      <c r="AV58" s="663"/>
      <c r="AW58" s="663"/>
      <c r="AX58" s="662">
        <f>AN58*AS58</f>
        <v>19468.8</v>
      </c>
      <c r="AY58" s="662"/>
      <c r="AZ58" s="662"/>
      <c r="BA58" s="662"/>
      <c r="BB58" s="684"/>
    </row>
    <row r="59" spans="1:54" s="165" customFormat="1" ht="20.25" customHeight="1" x14ac:dyDescent="0.2">
      <c r="A59" s="652"/>
      <c r="B59" s="653"/>
      <c r="C59" s="653"/>
      <c r="D59" s="653"/>
      <c r="E59" s="653"/>
      <c r="F59" s="653"/>
      <c r="G59" s="653"/>
      <c r="H59" s="714" t="s">
        <v>26</v>
      </c>
      <c r="I59" s="704"/>
      <c r="J59" s="704"/>
      <c r="K59" s="704"/>
      <c r="L59" s="704"/>
      <c r="M59" s="704"/>
      <c r="N59" s="669">
        <v>0</v>
      </c>
      <c r="O59" s="669"/>
      <c r="P59" s="669"/>
      <c r="Q59" s="84" t="s">
        <v>27</v>
      </c>
      <c r="R59" s="669">
        <v>15600</v>
      </c>
      <c r="S59" s="669"/>
      <c r="T59" s="669"/>
      <c r="U59" s="669"/>
      <c r="V59" s="669"/>
      <c r="W59" s="84" t="s">
        <v>28</v>
      </c>
      <c r="X59" s="84" t="s">
        <v>29</v>
      </c>
      <c r="Y59" s="84"/>
      <c r="Z59" s="84"/>
      <c r="AA59" s="84"/>
      <c r="AB59" s="85"/>
      <c r="AC59" s="601"/>
      <c r="AD59" s="601"/>
      <c r="AE59" s="601"/>
      <c r="AF59" s="601"/>
      <c r="AG59" s="601"/>
      <c r="AH59" s="601"/>
      <c r="AI59" s="601"/>
      <c r="AJ59" s="601"/>
      <c r="AK59" s="601"/>
      <c r="AL59" s="601"/>
      <c r="AM59" s="601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652"/>
      <c r="B60" s="653"/>
      <c r="C60" s="653"/>
      <c r="D60" s="653"/>
      <c r="E60" s="653"/>
      <c r="F60" s="653"/>
      <c r="G60" s="653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601"/>
      <c r="AD60" s="601"/>
      <c r="AE60" s="601"/>
      <c r="AF60" s="601"/>
      <c r="AG60" s="601"/>
      <c r="AH60" s="601"/>
      <c r="AI60" s="601"/>
      <c r="AJ60" s="601"/>
      <c r="AK60" s="601"/>
      <c r="AL60" s="601"/>
      <c r="AM60" s="601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1.25" customHeight="1" x14ac:dyDescent="0.2">
      <c r="A61" s="652"/>
      <c r="B61" s="653"/>
      <c r="C61" s="653"/>
      <c r="D61" s="653"/>
      <c r="E61" s="653"/>
      <c r="F61" s="653"/>
      <c r="G61" s="653"/>
      <c r="H61" s="97" t="s">
        <v>30</v>
      </c>
      <c r="I61" s="792">
        <v>0</v>
      </c>
      <c r="J61" s="792"/>
      <c r="K61" s="792"/>
      <c r="L61" s="84" t="s">
        <v>79</v>
      </c>
      <c r="M61" s="792">
        <v>0</v>
      </c>
      <c r="N61" s="792"/>
      <c r="O61" s="792"/>
      <c r="P61" s="84" t="s">
        <v>79</v>
      </c>
      <c r="Q61" s="792">
        <v>0</v>
      </c>
      <c r="R61" s="792"/>
      <c r="S61" s="792"/>
      <c r="T61" s="84" t="s">
        <v>79</v>
      </c>
      <c r="U61" s="792">
        <v>0</v>
      </c>
      <c r="V61" s="792"/>
      <c r="W61" s="792"/>
      <c r="X61" s="84" t="s">
        <v>31</v>
      </c>
      <c r="Y61" s="84" t="s">
        <v>28</v>
      </c>
      <c r="Z61" s="669">
        <v>2.6</v>
      </c>
      <c r="AA61" s="669"/>
      <c r="AB61" s="670"/>
      <c r="AC61" s="601"/>
      <c r="AD61" s="601"/>
      <c r="AE61" s="601"/>
      <c r="AF61" s="601"/>
      <c r="AG61" s="601"/>
      <c r="AH61" s="601"/>
      <c r="AI61" s="601"/>
      <c r="AJ61" s="601"/>
      <c r="AK61" s="601"/>
      <c r="AL61" s="601"/>
      <c r="AM61" s="601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" customHeight="1" thickBot="1" x14ac:dyDescent="0.25">
      <c r="A62" s="681"/>
      <c r="B62" s="682"/>
      <c r="C62" s="682"/>
      <c r="D62" s="682"/>
      <c r="E62" s="682"/>
      <c r="F62" s="682"/>
      <c r="G62" s="682"/>
      <c r="H62" s="256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8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83"/>
      <c r="AT62" s="683"/>
      <c r="AU62" s="683"/>
      <c r="AV62" s="683"/>
      <c r="AW62" s="683"/>
      <c r="AX62" s="656"/>
      <c r="AY62" s="656"/>
      <c r="AZ62" s="656"/>
      <c r="BA62" s="656"/>
      <c r="BB62" s="657"/>
    </row>
    <row r="63" spans="1:54" ht="5.0999999999999996" hidden="1" customHeight="1" x14ac:dyDescent="0.2">
      <c r="A63" s="666"/>
      <c r="B63" s="667"/>
      <c r="C63" s="667"/>
      <c r="D63" s="667"/>
      <c r="E63" s="667"/>
      <c r="F63" s="667"/>
      <c r="G63" s="667"/>
      <c r="H63" s="193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94" t="e">
        <f>#REF!</f>
        <v>#REF!</v>
      </c>
      <c r="AA63" s="191"/>
      <c r="AB63" s="195"/>
      <c r="AC63" s="477">
        <f>((R64+(R64*U66)+(R64*Q66)+(R64*M66)+(R64*I66))*Z66)*1.15</f>
        <v>0</v>
      </c>
      <c r="AD63" s="477"/>
      <c r="AE63" s="477"/>
      <c r="AF63" s="477"/>
      <c r="AG63" s="477"/>
      <c r="AH63" s="477">
        <v>1</v>
      </c>
      <c r="AI63" s="477"/>
      <c r="AJ63" s="477"/>
      <c r="AK63" s="477"/>
      <c r="AL63" s="477"/>
      <c r="AM63" s="477"/>
      <c r="AN63" s="477">
        <f>AC63/AH63</f>
        <v>0</v>
      </c>
      <c r="AO63" s="477"/>
      <c r="AP63" s="477"/>
      <c r="AQ63" s="477"/>
      <c r="AR63" s="477"/>
      <c r="AS63" s="668">
        <f t="shared" ref="AS63" si="0">U17</f>
        <v>0</v>
      </c>
      <c r="AT63" s="668"/>
      <c r="AU63" s="668"/>
      <c r="AV63" s="668"/>
      <c r="AW63" s="668"/>
      <c r="AX63" s="477">
        <f>AN63*AS63</f>
        <v>0</v>
      </c>
      <c r="AY63" s="477"/>
      <c r="AZ63" s="477"/>
      <c r="BA63" s="477"/>
      <c r="BB63" s="481"/>
    </row>
    <row r="64" spans="1:54" s="165" customFormat="1" ht="11.25" hidden="1" customHeight="1" x14ac:dyDescent="0.2">
      <c r="A64" s="652"/>
      <c r="B64" s="653"/>
      <c r="C64" s="653"/>
      <c r="D64" s="653"/>
      <c r="E64" s="653"/>
      <c r="F64" s="653"/>
      <c r="G64" s="653"/>
      <c r="H64" s="658" t="s">
        <v>26</v>
      </c>
      <c r="I64" s="659"/>
      <c r="J64" s="659"/>
      <c r="K64" s="659"/>
      <c r="L64" s="659"/>
      <c r="M64" s="659"/>
      <c r="N64" s="650">
        <v>0</v>
      </c>
      <c r="O64" s="650"/>
      <c r="P64" s="650"/>
      <c r="Q64" s="191" t="s">
        <v>27</v>
      </c>
      <c r="R64" s="650">
        <f>$AX$19*N64</f>
        <v>0</v>
      </c>
      <c r="S64" s="650"/>
      <c r="T64" s="650"/>
      <c r="U64" s="650"/>
      <c r="V64" s="650"/>
      <c r="W64" s="191" t="s">
        <v>28</v>
      </c>
      <c r="X64" s="191" t="s">
        <v>29</v>
      </c>
      <c r="Y64" s="191"/>
      <c r="Z64" s="191"/>
      <c r="AA64" s="191"/>
      <c r="AB64" s="195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664"/>
      <c r="AT64" s="664"/>
      <c r="AU64" s="664"/>
      <c r="AV64" s="664"/>
      <c r="AW64" s="664"/>
      <c r="AX64" s="529"/>
      <c r="AY64" s="529"/>
      <c r="AZ64" s="529"/>
      <c r="BA64" s="529"/>
      <c r="BB64" s="665"/>
    </row>
    <row r="65" spans="1:54" s="165" customFormat="1" ht="5.0999999999999996" hidden="1" customHeight="1" x14ac:dyDescent="0.2">
      <c r="A65" s="652"/>
      <c r="B65" s="653"/>
      <c r="C65" s="653"/>
      <c r="D65" s="653"/>
      <c r="E65" s="653"/>
      <c r="F65" s="653"/>
      <c r="G65" s="653"/>
      <c r="H65" s="196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91"/>
      <c r="AA65" s="191"/>
      <c r="AB65" s="195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65" customFormat="1" ht="11.25" hidden="1" customHeight="1" x14ac:dyDescent="0.2">
      <c r="A66" s="652"/>
      <c r="B66" s="653"/>
      <c r="C66" s="653"/>
      <c r="D66" s="653"/>
      <c r="E66" s="653"/>
      <c r="F66" s="653"/>
      <c r="G66" s="653"/>
      <c r="H66" s="197" t="s">
        <v>30</v>
      </c>
      <c r="I66" s="654">
        <v>0</v>
      </c>
      <c r="J66" s="654"/>
      <c r="K66" s="654"/>
      <c r="L66" s="191" t="s">
        <v>28</v>
      </c>
      <c r="M66" s="654">
        <v>0</v>
      </c>
      <c r="N66" s="654"/>
      <c r="O66" s="654"/>
      <c r="P66" s="191" t="s">
        <v>28</v>
      </c>
      <c r="Q66" s="654"/>
      <c r="R66" s="654"/>
      <c r="S66" s="654"/>
      <c r="T66" s="191" t="s">
        <v>28</v>
      </c>
      <c r="U66" s="654"/>
      <c r="V66" s="654"/>
      <c r="W66" s="654"/>
      <c r="X66" s="191" t="s">
        <v>31</v>
      </c>
      <c r="Y66" s="191" t="s">
        <v>28</v>
      </c>
      <c r="Z66" s="650">
        <v>2.6</v>
      </c>
      <c r="AA66" s="650"/>
      <c r="AB66" s="651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65" customFormat="1" ht="5.0999999999999996" hidden="1" customHeight="1" thickBot="1" x14ac:dyDescent="0.25">
      <c r="A67" s="652"/>
      <c r="B67" s="653"/>
      <c r="C67" s="653"/>
      <c r="D67" s="653"/>
      <c r="E67" s="653"/>
      <c r="F67" s="653"/>
      <c r="G67" s="653"/>
      <c r="H67" s="198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308"/>
      <c r="AA67" s="308"/>
      <c r="AB67" s="201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65" customFormat="1" ht="5.0999999999999996" hidden="1" customHeight="1" x14ac:dyDescent="0.2">
      <c r="A68" s="652"/>
      <c r="B68" s="653"/>
      <c r="C68" s="653"/>
      <c r="D68" s="653"/>
      <c r="E68" s="653"/>
      <c r="F68" s="653"/>
      <c r="G68" s="653"/>
      <c r="H68" s="19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94" t="e">
        <f>#REF!</f>
        <v>#REF!</v>
      </c>
      <c r="AA68" s="191"/>
      <c r="AB68" s="195"/>
      <c r="AC68" s="507">
        <f>((R69+(R69*U71)+(R69*Q71)+(R69*M71)+(R69*I71))*Z71)*1.15</f>
        <v>0</v>
      </c>
      <c r="AD68" s="507"/>
      <c r="AE68" s="507"/>
      <c r="AF68" s="507"/>
      <c r="AG68" s="507"/>
      <c r="AH68" s="529">
        <v>1</v>
      </c>
      <c r="AI68" s="529"/>
      <c r="AJ68" s="529"/>
      <c r="AK68" s="529"/>
      <c r="AL68" s="529"/>
      <c r="AM68" s="529"/>
      <c r="AN68" s="529">
        <f>AC68/AH68</f>
        <v>0</v>
      </c>
      <c r="AO68" s="529"/>
      <c r="AP68" s="529"/>
      <c r="AQ68" s="529"/>
      <c r="AR68" s="529"/>
      <c r="AS68" s="663">
        <f t="shared" ref="AS68" si="1">U22</f>
        <v>0</v>
      </c>
      <c r="AT68" s="663"/>
      <c r="AU68" s="663"/>
      <c r="AV68" s="663"/>
      <c r="AW68" s="663"/>
      <c r="AX68" s="529">
        <f>AN68*AS68</f>
        <v>0</v>
      </c>
      <c r="AY68" s="529"/>
      <c r="AZ68" s="529"/>
      <c r="BA68" s="529"/>
      <c r="BB68" s="665"/>
    </row>
    <row r="69" spans="1:54" s="165" customFormat="1" ht="11.25" hidden="1" customHeight="1" x14ac:dyDescent="0.2">
      <c r="A69" s="652"/>
      <c r="B69" s="653"/>
      <c r="C69" s="653"/>
      <c r="D69" s="653"/>
      <c r="E69" s="653"/>
      <c r="F69" s="653"/>
      <c r="G69" s="653"/>
      <c r="H69" s="658" t="s">
        <v>26</v>
      </c>
      <c r="I69" s="659"/>
      <c r="J69" s="659"/>
      <c r="K69" s="659"/>
      <c r="L69" s="659"/>
      <c r="M69" s="659"/>
      <c r="N69" s="650">
        <v>0</v>
      </c>
      <c r="O69" s="650"/>
      <c r="P69" s="650"/>
      <c r="Q69" s="191" t="s">
        <v>27</v>
      </c>
      <c r="R69" s="650">
        <f>$AX$19*N69</f>
        <v>0</v>
      </c>
      <c r="S69" s="650"/>
      <c r="T69" s="650"/>
      <c r="U69" s="650"/>
      <c r="V69" s="650"/>
      <c r="W69" s="191" t="s">
        <v>28</v>
      </c>
      <c r="X69" s="191" t="s">
        <v>29</v>
      </c>
      <c r="Y69" s="191"/>
      <c r="Z69" s="191"/>
      <c r="AA69" s="191"/>
      <c r="AB69" s="195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529"/>
      <c r="AP69" s="529"/>
      <c r="AQ69" s="529"/>
      <c r="AR69" s="529"/>
      <c r="AS69" s="664"/>
      <c r="AT69" s="664"/>
      <c r="AU69" s="664"/>
      <c r="AV69" s="664"/>
      <c r="AW69" s="664"/>
      <c r="AX69" s="529"/>
      <c r="AY69" s="529"/>
      <c r="AZ69" s="529"/>
      <c r="BA69" s="529"/>
      <c r="BB69" s="665"/>
    </row>
    <row r="70" spans="1:54" ht="5.0999999999999996" hidden="1" customHeight="1" x14ac:dyDescent="0.2">
      <c r="A70" s="652"/>
      <c r="B70" s="653"/>
      <c r="C70" s="653"/>
      <c r="D70" s="653"/>
      <c r="E70" s="653"/>
      <c r="F70" s="653"/>
      <c r="G70" s="653"/>
      <c r="H70" s="19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91"/>
      <c r="AA70" s="191"/>
      <c r="AB70" s="195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s="165" customFormat="1" ht="11.25" hidden="1" customHeight="1" x14ac:dyDescent="0.2">
      <c r="A71" s="652"/>
      <c r="B71" s="653"/>
      <c r="C71" s="653"/>
      <c r="D71" s="653"/>
      <c r="E71" s="653"/>
      <c r="F71" s="653"/>
      <c r="G71" s="653"/>
      <c r="H71" s="197" t="s">
        <v>30</v>
      </c>
      <c r="I71" s="654">
        <v>0</v>
      </c>
      <c r="J71" s="654"/>
      <c r="K71" s="654"/>
      <c r="L71" s="191" t="s">
        <v>28</v>
      </c>
      <c r="M71" s="654">
        <v>0</v>
      </c>
      <c r="N71" s="654"/>
      <c r="O71" s="654"/>
      <c r="P71" s="191" t="s">
        <v>28</v>
      </c>
      <c r="Q71" s="654"/>
      <c r="R71" s="654"/>
      <c r="S71" s="654"/>
      <c r="T71" s="191" t="s">
        <v>28</v>
      </c>
      <c r="U71" s="654"/>
      <c r="V71" s="654"/>
      <c r="W71" s="654"/>
      <c r="X71" s="191" t="s">
        <v>31</v>
      </c>
      <c r="Y71" s="191" t="s">
        <v>28</v>
      </c>
      <c r="Z71" s="650">
        <v>2.6</v>
      </c>
      <c r="AA71" s="650"/>
      <c r="AB71" s="651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65" customFormat="1" ht="11.25" hidden="1" customHeight="1" thickBot="1" x14ac:dyDescent="0.25">
      <c r="A72" s="652"/>
      <c r="B72" s="653"/>
      <c r="C72" s="653"/>
      <c r="D72" s="653"/>
      <c r="E72" s="653"/>
      <c r="F72" s="653"/>
      <c r="G72" s="653"/>
      <c r="H72" s="198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308"/>
      <c r="AA72" s="308"/>
      <c r="AB72" s="201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65" customFormat="1" ht="15" hidden="1" customHeight="1" x14ac:dyDescent="0.2">
      <c r="A73" s="660" t="s">
        <v>84</v>
      </c>
      <c r="B73" s="661"/>
      <c r="C73" s="661"/>
      <c r="D73" s="661"/>
      <c r="E73" s="661"/>
      <c r="F73" s="661"/>
      <c r="G73" s="661"/>
      <c r="H73" s="19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94" t="e">
        <f>#REF!</f>
        <v>#REF!</v>
      </c>
      <c r="AA73" s="191"/>
      <c r="AB73" s="195"/>
      <c r="AC73" s="507">
        <f>((R74+(R74*U76)+(R74*Q76)+(R74*M76)+(R74*I76))*Z76)</f>
        <v>0</v>
      </c>
      <c r="AD73" s="507"/>
      <c r="AE73" s="507"/>
      <c r="AF73" s="507"/>
      <c r="AG73" s="507"/>
      <c r="AH73" s="529">
        <v>75</v>
      </c>
      <c r="AI73" s="529"/>
      <c r="AJ73" s="529"/>
      <c r="AK73" s="529"/>
      <c r="AL73" s="529"/>
      <c r="AM73" s="529"/>
      <c r="AN73" s="529">
        <f>AC73/AH73</f>
        <v>0</v>
      </c>
      <c r="AO73" s="529"/>
      <c r="AP73" s="529"/>
      <c r="AQ73" s="529"/>
      <c r="AR73" s="529"/>
      <c r="AS73" s="663">
        <f t="shared" ref="AS73" si="2">U27</f>
        <v>0</v>
      </c>
      <c r="AT73" s="663"/>
      <c r="AU73" s="663"/>
      <c r="AV73" s="663"/>
      <c r="AW73" s="663"/>
      <c r="AX73" s="529">
        <f>AN73*AS73</f>
        <v>0</v>
      </c>
      <c r="AY73" s="529"/>
      <c r="AZ73" s="529"/>
      <c r="BA73" s="529"/>
      <c r="BB73" s="665"/>
    </row>
    <row r="74" spans="1:54" s="165" customFormat="1" ht="21" hidden="1" customHeight="1" thickBot="1" x14ac:dyDescent="0.25">
      <c r="A74" s="652"/>
      <c r="B74" s="653"/>
      <c r="C74" s="653"/>
      <c r="D74" s="653"/>
      <c r="E74" s="653"/>
      <c r="F74" s="653"/>
      <c r="G74" s="653"/>
      <c r="H74" s="658" t="s">
        <v>26</v>
      </c>
      <c r="I74" s="659"/>
      <c r="J74" s="659"/>
      <c r="K74" s="659"/>
      <c r="L74" s="659"/>
      <c r="M74" s="659"/>
      <c r="N74" s="650">
        <v>0</v>
      </c>
      <c r="O74" s="650"/>
      <c r="P74" s="650"/>
      <c r="Q74" s="191" t="s">
        <v>27</v>
      </c>
      <c r="R74" s="650">
        <f>$AX$19*N74</f>
        <v>0</v>
      </c>
      <c r="S74" s="650"/>
      <c r="T74" s="650"/>
      <c r="U74" s="650"/>
      <c r="V74" s="650"/>
      <c r="W74" s="191" t="s">
        <v>28</v>
      </c>
      <c r="X74" s="191" t="s">
        <v>29</v>
      </c>
      <c r="Y74" s="191"/>
      <c r="Z74" s="191"/>
      <c r="AA74" s="191"/>
      <c r="AB74" s="195"/>
      <c r="AC74" s="529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29"/>
      <c r="AS74" s="664"/>
      <c r="AT74" s="664"/>
      <c r="AU74" s="664"/>
      <c r="AV74" s="664"/>
      <c r="AW74" s="664"/>
      <c r="AX74" s="529"/>
      <c r="AY74" s="529"/>
      <c r="AZ74" s="529"/>
      <c r="BA74" s="529"/>
      <c r="BB74" s="665"/>
    </row>
    <row r="75" spans="1:54" s="165" customFormat="1" ht="12" hidden="1" customHeight="1" thickBot="1" x14ac:dyDescent="0.25">
      <c r="A75" s="652"/>
      <c r="B75" s="653"/>
      <c r="C75" s="653"/>
      <c r="D75" s="653"/>
      <c r="E75" s="653"/>
      <c r="F75" s="653"/>
      <c r="G75" s="653"/>
      <c r="H75" s="196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91"/>
      <c r="AA75" s="191"/>
      <c r="AB75" s="195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29"/>
      <c r="AS75" s="664"/>
      <c r="AT75" s="664"/>
      <c r="AU75" s="664"/>
      <c r="AV75" s="664"/>
      <c r="AW75" s="664"/>
      <c r="AX75" s="529"/>
      <c r="AY75" s="529"/>
      <c r="AZ75" s="529"/>
      <c r="BA75" s="529"/>
      <c r="BB75" s="665"/>
    </row>
    <row r="76" spans="1:54" s="165" customFormat="1" ht="15.75" hidden="1" customHeight="1" thickBot="1" x14ac:dyDescent="0.25">
      <c r="A76" s="652"/>
      <c r="B76" s="653"/>
      <c r="C76" s="653"/>
      <c r="D76" s="653"/>
      <c r="E76" s="653"/>
      <c r="F76" s="653"/>
      <c r="G76" s="653"/>
      <c r="H76" s="197" t="s">
        <v>30</v>
      </c>
      <c r="I76" s="654">
        <v>0.2</v>
      </c>
      <c r="J76" s="654"/>
      <c r="K76" s="654"/>
      <c r="L76" s="191" t="s">
        <v>28</v>
      </c>
      <c r="M76" s="654">
        <v>0.15</v>
      </c>
      <c r="N76" s="654"/>
      <c r="O76" s="654"/>
      <c r="P76" s="191" t="s">
        <v>28</v>
      </c>
      <c r="Q76" s="654">
        <v>0.5</v>
      </c>
      <c r="R76" s="654"/>
      <c r="S76" s="654"/>
      <c r="T76" s="191" t="s">
        <v>28</v>
      </c>
      <c r="U76" s="654">
        <v>0</v>
      </c>
      <c r="V76" s="654"/>
      <c r="W76" s="654"/>
      <c r="X76" s="191" t="s">
        <v>31</v>
      </c>
      <c r="Y76" s="191" t="s">
        <v>28</v>
      </c>
      <c r="Z76" s="650">
        <v>2.6</v>
      </c>
      <c r="AA76" s="650"/>
      <c r="AB76" s="651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29"/>
      <c r="AS76" s="664"/>
      <c r="AT76" s="664"/>
      <c r="AU76" s="664"/>
      <c r="AV76" s="664"/>
      <c r="AW76" s="664"/>
      <c r="AX76" s="529"/>
      <c r="AY76" s="529"/>
      <c r="AZ76" s="529"/>
      <c r="BA76" s="529"/>
      <c r="BB76" s="665"/>
    </row>
    <row r="77" spans="1:54" ht="13.5" hidden="1" customHeight="1" thickBot="1" x14ac:dyDescent="0.25">
      <c r="A77" s="652"/>
      <c r="B77" s="653"/>
      <c r="C77" s="653"/>
      <c r="D77" s="653"/>
      <c r="E77" s="653"/>
      <c r="F77" s="653"/>
      <c r="G77" s="653"/>
      <c r="H77" s="198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308"/>
      <c r="AA77" s="308"/>
      <c r="AB77" s="201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29"/>
      <c r="AS77" s="664"/>
      <c r="AT77" s="664"/>
      <c r="AU77" s="664"/>
      <c r="AV77" s="664"/>
      <c r="AW77" s="664"/>
      <c r="AX77" s="529"/>
      <c r="AY77" s="529"/>
      <c r="AZ77" s="529"/>
      <c r="BA77" s="529"/>
      <c r="BB77" s="665"/>
    </row>
    <row r="78" spans="1:54" s="165" customFormat="1" ht="8.25" hidden="1" customHeight="1" x14ac:dyDescent="0.2">
      <c r="A78" s="660" t="s">
        <v>86</v>
      </c>
      <c r="B78" s="661"/>
      <c r="C78" s="661"/>
      <c r="D78" s="661"/>
      <c r="E78" s="661"/>
      <c r="F78" s="661"/>
      <c r="G78" s="661"/>
      <c r="H78" s="19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94" t="e">
        <f>#REF!</f>
        <v>#REF!</v>
      </c>
      <c r="AA78" s="191"/>
      <c r="AB78" s="195"/>
      <c r="AC78" s="662">
        <f>((R79+(R79*U81)+(R79*Q81)+(R79*M81)+(R79*I81))*Z81)*1.15</f>
        <v>0</v>
      </c>
      <c r="AD78" s="662"/>
      <c r="AE78" s="662"/>
      <c r="AF78" s="662"/>
      <c r="AG78" s="662"/>
      <c r="AH78" s="601">
        <v>144</v>
      </c>
      <c r="AI78" s="601"/>
      <c r="AJ78" s="601"/>
      <c r="AK78" s="601"/>
      <c r="AL78" s="601"/>
      <c r="AM78" s="601"/>
      <c r="AN78" s="601">
        <f>AC78/AH78</f>
        <v>0</v>
      </c>
      <c r="AO78" s="601"/>
      <c r="AP78" s="601"/>
      <c r="AQ78" s="601"/>
      <c r="AR78" s="601"/>
      <c r="AS78" s="663">
        <v>72</v>
      </c>
      <c r="AT78" s="663"/>
      <c r="AU78" s="663"/>
      <c r="AV78" s="663"/>
      <c r="AW78" s="663"/>
      <c r="AX78" s="601">
        <f>AN78*AS78</f>
        <v>0</v>
      </c>
      <c r="AY78" s="601"/>
      <c r="AZ78" s="601"/>
      <c r="BA78" s="601"/>
      <c r="BB78" s="655"/>
    </row>
    <row r="79" spans="1:54" s="165" customFormat="1" ht="27" hidden="1" customHeight="1" thickBot="1" x14ac:dyDescent="0.25">
      <c r="A79" s="652"/>
      <c r="B79" s="653"/>
      <c r="C79" s="653"/>
      <c r="D79" s="653"/>
      <c r="E79" s="653"/>
      <c r="F79" s="653"/>
      <c r="G79" s="653"/>
      <c r="H79" s="658" t="s">
        <v>26</v>
      </c>
      <c r="I79" s="659"/>
      <c r="J79" s="659"/>
      <c r="K79" s="659"/>
      <c r="L79" s="659"/>
      <c r="M79" s="659"/>
      <c r="N79" s="650">
        <v>0</v>
      </c>
      <c r="O79" s="650"/>
      <c r="P79" s="650"/>
      <c r="Q79" s="191" t="s">
        <v>27</v>
      </c>
      <c r="R79" s="650">
        <f>$AX$19*N79</f>
        <v>0</v>
      </c>
      <c r="S79" s="650"/>
      <c r="T79" s="650"/>
      <c r="U79" s="650"/>
      <c r="V79" s="650"/>
      <c r="W79" s="191" t="s">
        <v>28</v>
      </c>
      <c r="X79" s="191" t="s">
        <v>29</v>
      </c>
      <c r="Y79" s="191"/>
      <c r="Z79" s="191"/>
      <c r="AA79" s="191"/>
      <c r="AB79" s="195"/>
      <c r="AC79" s="601"/>
      <c r="AD79" s="601"/>
      <c r="AE79" s="601"/>
      <c r="AF79" s="601"/>
      <c r="AG79" s="601"/>
      <c r="AH79" s="601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64"/>
      <c r="AT79" s="664"/>
      <c r="AU79" s="664"/>
      <c r="AV79" s="664"/>
      <c r="AW79" s="664"/>
      <c r="AX79" s="601"/>
      <c r="AY79" s="601"/>
      <c r="AZ79" s="601"/>
      <c r="BA79" s="601"/>
      <c r="BB79" s="655"/>
    </row>
    <row r="80" spans="1:54" s="165" customFormat="1" ht="6.75" hidden="1" customHeight="1" thickBot="1" x14ac:dyDescent="0.25">
      <c r="A80" s="652"/>
      <c r="B80" s="653"/>
      <c r="C80" s="653"/>
      <c r="D80" s="653"/>
      <c r="E80" s="653"/>
      <c r="F80" s="653"/>
      <c r="G80" s="653"/>
      <c r="H80" s="19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91"/>
      <c r="AA80" s="191"/>
      <c r="AB80" s="195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ht="12" hidden="1" customHeight="1" thickBot="1" x14ac:dyDescent="0.25">
      <c r="A81" s="652"/>
      <c r="B81" s="653"/>
      <c r="C81" s="653"/>
      <c r="D81" s="653"/>
      <c r="E81" s="653"/>
      <c r="F81" s="653"/>
      <c r="G81" s="653"/>
      <c r="H81" s="197" t="s">
        <v>30</v>
      </c>
      <c r="I81" s="654">
        <v>0.2</v>
      </c>
      <c r="J81" s="654"/>
      <c r="K81" s="654"/>
      <c r="L81" s="191" t="s">
        <v>28</v>
      </c>
      <c r="M81" s="654">
        <v>0</v>
      </c>
      <c r="N81" s="654"/>
      <c r="O81" s="654"/>
      <c r="P81" s="191" t="s">
        <v>28</v>
      </c>
      <c r="Q81" s="654">
        <v>0</v>
      </c>
      <c r="R81" s="654"/>
      <c r="S81" s="654"/>
      <c r="T81" s="191" t="s">
        <v>28</v>
      </c>
      <c r="U81" s="654">
        <v>0</v>
      </c>
      <c r="V81" s="654"/>
      <c r="W81" s="654"/>
      <c r="X81" s="191" t="s">
        <v>31</v>
      </c>
      <c r="Y81" s="191" t="s">
        <v>28</v>
      </c>
      <c r="Z81" s="650">
        <v>2.6</v>
      </c>
      <c r="AA81" s="650"/>
      <c r="AB81" s="651"/>
      <c r="AC81" s="601"/>
      <c r="AD81" s="601"/>
      <c r="AE81" s="601"/>
      <c r="AF81" s="601"/>
      <c r="AG81" s="601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3.5" hidden="1" customHeight="1" thickBot="1" x14ac:dyDescent="0.25">
      <c r="A82" s="652"/>
      <c r="B82" s="653"/>
      <c r="C82" s="653"/>
      <c r="D82" s="653"/>
      <c r="E82" s="653"/>
      <c r="F82" s="653"/>
      <c r="G82" s="653"/>
      <c r="H82" s="202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4"/>
      <c r="AA82" s="204"/>
      <c r="AB82" s="205"/>
      <c r="AC82" s="601"/>
      <c r="AD82" s="601"/>
      <c r="AE82" s="601"/>
      <c r="AF82" s="601"/>
      <c r="AG82" s="601"/>
      <c r="AH82" s="656"/>
      <c r="AI82" s="656"/>
      <c r="AJ82" s="656"/>
      <c r="AK82" s="656"/>
      <c r="AL82" s="656"/>
      <c r="AM82" s="656"/>
      <c r="AN82" s="656"/>
      <c r="AO82" s="656"/>
      <c r="AP82" s="656"/>
      <c r="AQ82" s="656"/>
      <c r="AR82" s="656"/>
      <c r="AS82" s="664"/>
      <c r="AT82" s="664"/>
      <c r="AU82" s="664"/>
      <c r="AV82" s="664"/>
      <c r="AW82" s="664"/>
      <c r="AX82" s="656"/>
      <c r="AY82" s="656"/>
      <c r="AZ82" s="656"/>
      <c r="BA82" s="656"/>
      <c r="BB82" s="657"/>
    </row>
    <row r="83" spans="1:54" ht="11.25" customHeight="1" x14ac:dyDescent="0.2">
      <c r="R83" s="169" t="s">
        <v>18</v>
      </c>
      <c r="S83" s="170"/>
      <c r="T83" s="170"/>
      <c r="U83" s="171"/>
      <c r="V83" s="171"/>
      <c r="W83" s="171"/>
      <c r="X83" s="171"/>
      <c r="Y83" s="171"/>
      <c r="Z83" s="171"/>
      <c r="AA83" s="171"/>
      <c r="AB83" s="171"/>
      <c r="AC83" s="171"/>
      <c r="AD83" s="171" t="s">
        <v>19</v>
      </c>
      <c r="AE83" s="171" t="s">
        <v>20</v>
      </c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2"/>
      <c r="AS83" s="453">
        <f>AX83/U12</f>
        <v>540.79999999999995</v>
      </c>
      <c r="AT83" s="453"/>
      <c r="AU83" s="453"/>
      <c r="AV83" s="453"/>
      <c r="AW83" s="453"/>
      <c r="AX83" s="453">
        <f>SUM(AX58:BB82)</f>
        <v>19468.8</v>
      </c>
      <c r="AY83" s="453"/>
      <c r="AZ83" s="453"/>
      <c r="BA83" s="453"/>
      <c r="BB83" s="454"/>
    </row>
    <row r="84" spans="1:54" ht="11.25" customHeight="1" thickBot="1" x14ac:dyDescent="0.25">
      <c r="R84" s="175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 t="s">
        <v>19</v>
      </c>
      <c r="AE84" s="176" t="s">
        <v>21</v>
      </c>
      <c r="AF84" s="176"/>
      <c r="AG84" s="176"/>
      <c r="AH84" s="176"/>
      <c r="AI84" s="176"/>
      <c r="AJ84" s="176"/>
      <c r="AK84" s="176"/>
      <c r="AL84" s="176"/>
      <c r="AM84" s="176"/>
      <c r="AN84" s="176"/>
      <c r="AO84" s="630">
        <v>0.30199999999999999</v>
      </c>
      <c r="AP84" s="631"/>
      <c r="AQ84" s="631"/>
      <c r="AR84" s="632"/>
      <c r="AS84" s="463">
        <f>AX84/U12</f>
        <v>163.32159999999999</v>
      </c>
      <c r="AT84" s="463"/>
      <c r="AU84" s="463"/>
      <c r="AV84" s="463"/>
      <c r="AW84" s="463"/>
      <c r="AX84" s="463">
        <f>AX83*AO84</f>
        <v>5879.5775999999996</v>
      </c>
      <c r="AY84" s="463"/>
      <c r="AZ84" s="463"/>
      <c r="BA84" s="463"/>
      <c r="BB84" s="633"/>
    </row>
    <row r="85" spans="1:54" ht="11.25" customHeight="1" thickBot="1" x14ac:dyDescent="0.25">
      <c r="M85" s="164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206"/>
      <c r="AP85" s="315"/>
      <c r="AQ85" s="315"/>
      <c r="AR85" s="315"/>
      <c r="AS85" s="314"/>
      <c r="AT85" s="314"/>
      <c r="AU85" s="314"/>
      <c r="AV85" s="314"/>
      <c r="AW85" s="314"/>
      <c r="AX85" s="314"/>
      <c r="AY85" s="314"/>
      <c r="AZ85" s="314"/>
      <c r="BA85" s="314"/>
      <c r="BB85" s="314"/>
    </row>
    <row r="86" spans="1:54" ht="12" customHeight="1" x14ac:dyDescent="0.2">
      <c r="A86" s="634" t="s">
        <v>32</v>
      </c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34"/>
      <c r="O86" s="635" t="s">
        <v>33</v>
      </c>
      <c r="P86" s="636"/>
      <c r="Q86" s="636"/>
      <c r="R86" s="636"/>
      <c r="S86" s="636"/>
      <c r="T86" s="636"/>
      <c r="U86" s="636"/>
      <c r="V86" s="636"/>
      <c r="W86" s="636"/>
      <c r="X86" s="636"/>
      <c r="Y86" s="636"/>
      <c r="Z86" s="636"/>
      <c r="AA86" s="636"/>
      <c r="AB86" s="636"/>
      <c r="AC86" s="636"/>
      <c r="AD86" s="636"/>
      <c r="AE86" s="636"/>
      <c r="AF86" s="636"/>
      <c r="AG86" s="636"/>
      <c r="AH86" s="636"/>
      <c r="AI86" s="636"/>
      <c r="AJ86" s="636"/>
      <c r="AK86" s="636"/>
      <c r="AL86" s="636"/>
      <c r="AM86" s="636"/>
      <c r="AN86" s="636"/>
      <c r="AO86" s="637">
        <f>AS34+AS51+AS83</f>
        <v>648.95999999999992</v>
      </c>
      <c r="AP86" s="637"/>
      <c r="AQ86" s="637"/>
      <c r="AR86" s="637"/>
      <c r="AS86" s="637"/>
      <c r="AT86" s="637"/>
      <c r="AU86" s="637"/>
      <c r="AV86" s="637">
        <f>AX34+AX51+AX83</f>
        <v>23362.559999999998</v>
      </c>
      <c r="AW86" s="637"/>
      <c r="AX86" s="637"/>
      <c r="AY86" s="637"/>
      <c r="AZ86" s="637"/>
      <c r="BA86" s="637"/>
      <c r="BB86" s="638"/>
    </row>
    <row r="87" spans="1:54" ht="12" customHeight="1" thickBot="1" x14ac:dyDescent="0.25">
      <c r="M87" s="163"/>
      <c r="O87" s="643" t="s">
        <v>34</v>
      </c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4"/>
      <c r="AI87" s="644"/>
      <c r="AJ87" s="644"/>
      <c r="AK87" s="644"/>
      <c r="AL87" s="644"/>
      <c r="AM87" s="644"/>
      <c r="AN87" s="644"/>
      <c r="AO87" s="645">
        <f>AS35+AS52+AS84</f>
        <v>195.98591999999999</v>
      </c>
      <c r="AP87" s="645"/>
      <c r="AQ87" s="645"/>
      <c r="AR87" s="645"/>
      <c r="AS87" s="645"/>
      <c r="AT87" s="645"/>
      <c r="AU87" s="645"/>
      <c r="AV87" s="645">
        <f>AX35+AX52+AX84</f>
        <v>7055.4931199999992</v>
      </c>
      <c r="AW87" s="645"/>
      <c r="AX87" s="645"/>
      <c r="AY87" s="645"/>
      <c r="AZ87" s="645"/>
      <c r="BA87" s="645"/>
      <c r="BB87" s="646"/>
    </row>
    <row r="88" spans="1:54" ht="12" customHeight="1" thickBot="1" x14ac:dyDescent="0.25">
      <c r="M88" s="208" t="s">
        <v>35</v>
      </c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10"/>
      <c r="AO88" s="647">
        <f>AO87+AO86</f>
        <v>844.94591999999989</v>
      </c>
      <c r="AP88" s="648"/>
      <c r="AQ88" s="648"/>
      <c r="AR88" s="648"/>
      <c r="AS88" s="648"/>
      <c r="AT88" s="648"/>
      <c r="AU88" s="648"/>
      <c r="AV88" s="648">
        <f>AV86+AV87</f>
        <v>30418.053119999997</v>
      </c>
      <c r="AW88" s="648"/>
      <c r="AX88" s="648"/>
      <c r="AY88" s="648"/>
      <c r="AZ88" s="648"/>
      <c r="BA88" s="648"/>
      <c r="BB88" s="649"/>
    </row>
    <row r="89" spans="1:54" ht="10.5" customHeight="1" x14ac:dyDescent="0.2"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</row>
    <row r="90" spans="1:54" s="159" customFormat="1" ht="15" customHeight="1" x14ac:dyDescent="0.2">
      <c r="A90" s="159" t="s">
        <v>36</v>
      </c>
      <c r="C90" s="159" t="s">
        <v>37</v>
      </c>
      <c r="AX90" s="160"/>
      <c r="AY90" s="160"/>
      <c r="AZ90" s="160"/>
      <c r="BA90" s="160"/>
      <c r="BB90" s="160"/>
    </row>
    <row r="91" spans="1:54" ht="12" customHeight="1" thickBot="1" x14ac:dyDescent="0.25"/>
    <row r="92" spans="1:54" s="163" customFormat="1" ht="39" customHeight="1" x14ac:dyDescent="0.2">
      <c r="A92" s="499" t="s">
        <v>38</v>
      </c>
      <c r="B92" s="500"/>
      <c r="C92" s="500"/>
      <c r="D92" s="500"/>
      <c r="E92" s="500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35" t="s">
        <v>39</v>
      </c>
      <c r="R92" s="535"/>
      <c r="S92" s="535"/>
      <c r="T92" s="535"/>
      <c r="U92" s="535"/>
      <c r="V92" s="535"/>
      <c r="W92" s="535"/>
      <c r="X92" s="535" t="s">
        <v>40</v>
      </c>
      <c r="Y92" s="535"/>
      <c r="Z92" s="535"/>
      <c r="AA92" s="535"/>
      <c r="AB92" s="535"/>
      <c r="AC92" s="535"/>
      <c r="AD92" s="535"/>
      <c r="AE92" s="535" t="s">
        <v>41</v>
      </c>
      <c r="AF92" s="535"/>
      <c r="AG92" s="535"/>
      <c r="AH92" s="535"/>
      <c r="AI92" s="535"/>
      <c r="AJ92" s="535"/>
      <c r="AK92" s="535"/>
      <c r="AL92" s="535"/>
      <c r="AM92" s="500" t="s">
        <v>42</v>
      </c>
      <c r="AN92" s="500"/>
      <c r="AO92" s="500"/>
      <c r="AP92" s="500"/>
      <c r="AQ92" s="500"/>
      <c r="AR92" s="500"/>
      <c r="AS92" s="500"/>
      <c r="AT92" s="500"/>
      <c r="AU92" s="500"/>
      <c r="AV92" s="500" t="s">
        <v>43</v>
      </c>
      <c r="AW92" s="500"/>
      <c r="AX92" s="500"/>
      <c r="AY92" s="500"/>
      <c r="AZ92" s="500"/>
      <c r="BA92" s="500"/>
      <c r="BB92" s="639"/>
    </row>
    <row r="93" spans="1:54" s="163" customFormat="1" ht="12" customHeight="1" thickBot="1" x14ac:dyDescent="0.25">
      <c r="A93" s="640">
        <v>1</v>
      </c>
      <c r="B93" s="641"/>
      <c r="C93" s="641"/>
      <c r="D93" s="641"/>
      <c r="E93" s="641"/>
      <c r="F93" s="641"/>
      <c r="G93" s="641"/>
      <c r="H93" s="641"/>
      <c r="I93" s="641"/>
      <c r="J93" s="641"/>
      <c r="K93" s="641"/>
      <c r="L93" s="641"/>
      <c r="M93" s="641"/>
      <c r="N93" s="641"/>
      <c r="O93" s="641"/>
      <c r="P93" s="641"/>
      <c r="Q93" s="641">
        <v>2</v>
      </c>
      <c r="R93" s="641"/>
      <c r="S93" s="641"/>
      <c r="T93" s="641"/>
      <c r="U93" s="641"/>
      <c r="V93" s="641"/>
      <c r="W93" s="641"/>
      <c r="X93" s="641">
        <v>3</v>
      </c>
      <c r="Y93" s="641"/>
      <c r="Z93" s="641"/>
      <c r="AA93" s="641"/>
      <c r="AB93" s="641"/>
      <c r="AC93" s="641"/>
      <c r="AD93" s="641"/>
      <c r="AE93" s="641">
        <v>4</v>
      </c>
      <c r="AF93" s="641"/>
      <c r="AG93" s="641"/>
      <c r="AH93" s="641"/>
      <c r="AI93" s="641"/>
      <c r="AJ93" s="641"/>
      <c r="AK93" s="641"/>
      <c r="AL93" s="641"/>
      <c r="AM93" s="641">
        <v>5</v>
      </c>
      <c r="AN93" s="641"/>
      <c r="AO93" s="641"/>
      <c r="AP93" s="641"/>
      <c r="AQ93" s="641"/>
      <c r="AR93" s="641"/>
      <c r="AS93" s="641"/>
      <c r="AT93" s="641"/>
      <c r="AU93" s="641"/>
      <c r="AV93" s="641">
        <v>6</v>
      </c>
      <c r="AW93" s="641"/>
      <c r="AX93" s="641"/>
      <c r="AY93" s="641"/>
      <c r="AZ93" s="641"/>
      <c r="BA93" s="641"/>
      <c r="BB93" s="642"/>
    </row>
    <row r="94" spans="1:54" ht="15" customHeight="1" x14ac:dyDescent="0.2">
      <c r="A94" s="618" t="s">
        <v>44</v>
      </c>
      <c r="B94" s="619"/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9"/>
      <c r="Q94" s="572">
        <v>5014.7</v>
      </c>
      <c r="R94" s="573"/>
      <c r="S94" s="573"/>
      <c r="T94" s="573"/>
      <c r="U94" s="573"/>
      <c r="V94" s="573"/>
      <c r="W94" s="574"/>
      <c r="X94" s="572">
        <v>53.8</v>
      </c>
      <c r="Y94" s="573"/>
      <c r="Z94" s="573"/>
      <c r="AA94" s="573"/>
      <c r="AB94" s="573"/>
      <c r="AC94" s="573"/>
      <c r="AD94" s="574"/>
      <c r="AE94" s="477">
        <v>1312893.28</v>
      </c>
      <c r="AF94" s="477"/>
      <c r="AG94" s="477"/>
      <c r="AH94" s="477"/>
      <c r="AI94" s="477"/>
      <c r="AJ94" s="477"/>
      <c r="AK94" s="477"/>
      <c r="AL94" s="477"/>
      <c r="AM94" s="620" t="s">
        <v>45</v>
      </c>
      <c r="AN94" s="621"/>
      <c r="AO94" s="621"/>
      <c r="AP94" s="621"/>
      <c r="AQ94" s="621"/>
      <c r="AR94" s="621"/>
      <c r="AS94" s="621"/>
      <c r="AT94" s="621"/>
      <c r="AU94" s="622"/>
      <c r="AV94" s="615">
        <f>AE94/$Q$94*$X$94/($AN$95*$AN$96)</f>
        <v>4.7521325403179695</v>
      </c>
      <c r="AW94" s="615"/>
      <c r="AX94" s="615"/>
      <c r="AY94" s="615"/>
      <c r="AZ94" s="615"/>
      <c r="BA94" s="615"/>
      <c r="BB94" s="616"/>
    </row>
    <row r="95" spans="1:54" ht="15" customHeight="1" x14ac:dyDescent="0.2">
      <c r="A95" s="618" t="s">
        <v>46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/>
      <c r="R95" s="573"/>
      <c r="S95" s="573"/>
      <c r="T95" s="573"/>
      <c r="U95" s="573"/>
      <c r="V95" s="573"/>
      <c r="W95" s="574"/>
      <c r="X95" s="572"/>
      <c r="Y95" s="573"/>
      <c r="Z95" s="573"/>
      <c r="AA95" s="573"/>
      <c r="AB95" s="573"/>
      <c r="AC95" s="573"/>
      <c r="AD95" s="574"/>
      <c r="AE95" s="529">
        <v>2160860.7999999998</v>
      </c>
      <c r="AF95" s="529"/>
      <c r="AG95" s="529"/>
      <c r="AH95" s="529"/>
      <c r="AI95" s="529"/>
      <c r="AJ95" s="529"/>
      <c r="AK95" s="529"/>
      <c r="AL95" s="529"/>
      <c r="AM95" s="213"/>
      <c r="AN95" s="623">
        <v>247</v>
      </c>
      <c r="AO95" s="623"/>
      <c r="AP95" s="623"/>
      <c r="AQ95" s="617" t="s">
        <v>47</v>
      </c>
      <c r="AR95" s="617"/>
      <c r="AS95" s="617"/>
      <c r="AT95" s="617"/>
      <c r="AU95" s="214"/>
      <c r="AV95" s="615">
        <f>AE95/$Q$94*$X$94/($AN$95*$AN$96)</f>
        <v>7.8214254571990187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449" t="s">
        <v>48</v>
      </c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  <c r="M96" s="450"/>
      <c r="N96" s="450"/>
      <c r="O96" s="450"/>
      <c r="P96" s="451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529">
        <v>2993420.26</v>
      </c>
      <c r="AF96" s="529"/>
      <c r="AG96" s="529"/>
      <c r="AH96" s="529"/>
      <c r="AI96" s="529"/>
      <c r="AJ96" s="529"/>
      <c r="AK96" s="529"/>
      <c r="AL96" s="529"/>
      <c r="AM96" s="213"/>
      <c r="AN96" s="562">
        <v>12</v>
      </c>
      <c r="AO96" s="562"/>
      <c r="AP96" s="562"/>
      <c r="AQ96" s="617" t="s">
        <v>49</v>
      </c>
      <c r="AR96" s="617"/>
      <c r="AS96" s="617"/>
      <c r="AT96" s="617"/>
      <c r="AU96" s="214"/>
      <c r="AV96" s="615">
        <f>AE96/$Q$94*$X$94/($AN$95*$AN$96)</f>
        <v>10.834947547597375</v>
      </c>
      <c r="AW96" s="615"/>
      <c r="AX96" s="615"/>
      <c r="AY96" s="615"/>
      <c r="AZ96" s="615"/>
      <c r="BA96" s="615"/>
      <c r="BB96" s="616"/>
    </row>
    <row r="97" spans="1:57" ht="15" customHeight="1" thickBot="1" x14ac:dyDescent="0.25">
      <c r="A97" s="624" t="s">
        <v>50</v>
      </c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6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627">
        <f>572353.29+691118.78</f>
        <v>1263472.07</v>
      </c>
      <c r="AF97" s="627"/>
      <c r="AG97" s="627"/>
      <c r="AH97" s="627"/>
      <c r="AI97" s="627"/>
      <c r="AJ97" s="627"/>
      <c r="AK97" s="627"/>
      <c r="AL97" s="627"/>
      <c r="AM97" s="213"/>
      <c r="AN97" s="186"/>
      <c r="AO97" s="186"/>
      <c r="AP97" s="186"/>
      <c r="AQ97" s="186"/>
      <c r="AR97" s="186"/>
      <c r="AS97" s="186"/>
      <c r="AT97" s="186"/>
      <c r="AU97" s="214"/>
      <c r="AV97" s="628">
        <f>AE97/$Q$94*$X$94/($AN$95*$AN$96)</f>
        <v>4.5732481299850232</v>
      </c>
      <c r="AW97" s="628"/>
      <c r="AX97" s="628"/>
      <c r="AY97" s="628"/>
      <c r="AZ97" s="628"/>
      <c r="BA97" s="628"/>
      <c r="BB97" s="629"/>
    </row>
    <row r="98" spans="1:57" s="161" customFormat="1" ht="15" customHeight="1" thickBot="1" x14ac:dyDescent="0.25">
      <c r="A98" s="610" t="s">
        <v>51</v>
      </c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531">
        <f>Q94</f>
        <v>5014.7</v>
      </c>
      <c r="R98" s="533"/>
      <c r="S98" s="533"/>
      <c r="T98" s="533"/>
      <c r="U98" s="533"/>
      <c r="V98" s="533"/>
      <c r="W98" s="534"/>
      <c r="X98" s="531">
        <f>X94</f>
        <v>53.8</v>
      </c>
      <c r="Y98" s="533"/>
      <c r="Z98" s="533"/>
      <c r="AA98" s="533"/>
      <c r="AB98" s="533"/>
      <c r="AC98" s="533"/>
      <c r="AD98" s="534"/>
      <c r="AE98" s="612">
        <f>SUM(AE94:AL97)</f>
        <v>7730646.4100000001</v>
      </c>
      <c r="AF98" s="612"/>
      <c r="AG98" s="612"/>
      <c r="AH98" s="612"/>
      <c r="AI98" s="612"/>
      <c r="AJ98" s="612"/>
      <c r="AK98" s="612"/>
      <c r="AL98" s="612"/>
      <c r="AM98" s="531" t="s">
        <v>17</v>
      </c>
      <c r="AN98" s="533"/>
      <c r="AO98" s="533"/>
      <c r="AP98" s="533"/>
      <c r="AQ98" s="533"/>
      <c r="AR98" s="533"/>
      <c r="AS98" s="533"/>
      <c r="AT98" s="533"/>
      <c r="AU98" s="534"/>
      <c r="AV98" s="613">
        <f>SUM(AV94:BB97)</f>
        <v>27.981753675099391</v>
      </c>
      <c r="AW98" s="613"/>
      <c r="AX98" s="613"/>
      <c r="AY98" s="613"/>
      <c r="AZ98" s="613"/>
      <c r="BA98" s="613"/>
      <c r="BB98" s="614"/>
    </row>
    <row r="99" spans="1:57" ht="12" customHeight="1" x14ac:dyDescent="0.2"/>
    <row r="100" spans="1:57" s="159" customFormat="1" ht="15" customHeight="1" x14ac:dyDescent="0.2">
      <c r="A100" s="159" t="s">
        <v>52</v>
      </c>
      <c r="C100" s="159" t="s">
        <v>53</v>
      </c>
      <c r="AX100" s="160"/>
      <c r="AY100" s="160"/>
      <c r="AZ100" s="160"/>
      <c r="BA100" s="160"/>
      <c r="BB100" s="160"/>
    </row>
    <row r="101" spans="1:57" ht="12" customHeight="1" thickBot="1" x14ac:dyDescent="0.25"/>
    <row r="102" spans="1:57" ht="39" customHeight="1" x14ac:dyDescent="0.2">
      <c r="A102" s="585" t="s">
        <v>54</v>
      </c>
      <c r="B102" s="586"/>
      <c r="C102" s="586"/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7"/>
      <c r="AA102" s="536" t="s">
        <v>55</v>
      </c>
      <c r="AB102" s="537"/>
      <c r="AC102" s="537"/>
      <c r="AD102" s="537"/>
      <c r="AE102" s="537"/>
      <c r="AF102" s="538"/>
      <c r="AG102" s="536" t="s">
        <v>56</v>
      </c>
      <c r="AH102" s="537"/>
      <c r="AI102" s="537"/>
      <c r="AJ102" s="537"/>
      <c r="AK102" s="537"/>
      <c r="AL102" s="538"/>
      <c r="AM102" s="588" t="s">
        <v>57</v>
      </c>
      <c r="AN102" s="586"/>
      <c r="AO102" s="586"/>
      <c r="AP102" s="586"/>
      <c r="AQ102" s="586"/>
      <c r="AR102" s="586"/>
      <c r="AS102" s="586"/>
      <c r="AT102" s="587"/>
      <c r="AU102" s="588" t="s">
        <v>43</v>
      </c>
      <c r="AV102" s="586"/>
      <c r="AW102" s="586"/>
      <c r="AX102" s="586"/>
      <c r="AY102" s="586"/>
      <c r="AZ102" s="586"/>
      <c r="BA102" s="586"/>
      <c r="BB102" s="589"/>
    </row>
    <row r="103" spans="1:57" ht="15.75" customHeight="1" thickBot="1" x14ac:dyDescent="0.25">
      <c r="A103" s="564">
        <v>1</v>
      </c>
      <c r="B103" s="475"/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5"/>
      <c r="O103" s="475"/>
      <c r="P103" s="475"/>
      <c r="Q103" s="475"/>
      <c r="R103" s="475"/>
      <c r="S103" s="475"/>
      <c r="T103" s="475"/>
      <c r="U103" s="475"/>
      <c r="V103" s="475"/>
      <c r="W103" s="475"/>
      <c r="X103" s="475"/>
      <c r="Y103" s="475"/>
      <c r="Z103" s="476"/>
      <c r="AA103" s="474">
        <v>2</v>
      </c>
      <c r="AB103" s="475"/>
      <c r="AC103" s="475"/>
      <c r="AD103" s="475"/>
      <c r="AE103" s="475"/>
      <c r="AF103" s="476"/>
      <c r="AG103" s="474">
        <v>3</v>
      </c>
      <c r="AH103" s="475"/>
      <c r="AI103" s="475"/>
      <c r="AJ103" s="475"/>
      <c r="AK103" s="475"/>
      <c r="AL103" s="476"/>
      <c r="AM103" s="474">
        <v>4</v>
      </c>
      <c r="AN103" s="475"/>
      <c r="AO103" s="475"/>
      <c r="AP103" s="475"/>
      <c r="AQ103" s="475"/>
      <c r="AR103" s="475"/>
      <c r="AS103" s="475"/>
      <c r="AT103" s="476"/>
      <c r="AU103" s="474">
        <v>5</v>
      </c>
      <c r="AV103" s="475"/>
      <c r="AW103" s="475"/>
      <c r="AX103" s="475"/>
      <c r="AY103" s="475"/>
      <c r="AZ103" s="475"/>
      <c r="BA103" s="475"/>
      <c r="BB103" s="565"/>
    </row>
    <row r="104" spans="1:57" ht="1.5" hidden="1" customHeight="1" x14ac:dyDescent="0.2">
      <c r="A104" s="566" t="s">
        <v>77</v>
      </c>
      <c r="B104" s="567"/>
      <c r="C104" s="567"/>
      <c r="D104" s="567"/>
      <c r="E104" s="567"/>
      <c r="F104" s="567"/>
      <c r="G104" s="567"/>
      <c r="H104" s="567"/>
      <c r="I104" s="567"/>
      <c r="J104" s="567"/>
      <c r="K104" s="567"/>
      <c r="L104" s="567"/>
      <c r="M104" s="567"/>
      <c r="N104" s="567"/>
      <c r="O104" s="567"/>
      <c r="P104" s="567"/>
      <c r="Q104" s="567"/>
      <c r="R104" s="567"/>
      <c r="S104" s="567"/>
      <c r="T104" s="567"/>
      <c r="U104" s="567"/>
      <c r="V104" s="567"/>
      <c r="W104" s="567"/>
      <c r="X104" s="567"/>
      <c r="Y104" s="567"/>
      <c r="Z104" s="568"/>
      <c r="AA104" s="604"/>
      <c r="AB104" s="605"/>
      <c r="AC104" s="605"/>
      <c r="AD104" s="605"/>
      <c r="AE104" s="605"/>
      <c r="AF104" s="606"/>
      <c r="AG104" s="569">
        <f>U12</f>
        <v>36</v>
      </c>
      <c r="AH104" s="570"/>
      <c r="AI104" s="570"/>
      <c r="AJ104" s="570"/>
      <c r="AK104" s="570"/>
      <c r="AL104" s="571"/>
      <c r="AM104" s="569" t="s">
        <v>58</v>
      </c>
      <c r="AN104" s="570"/>
      <c r="AO104" s="570"/>
      <c r="AP104" s="570"/>
      <c r="AQ104" s="570"/>
      <c r="AR104" s="570"/>
      <c r="AS104" s="570"/>
      <c r="AT104" s="571"/>
      <c r="AU104" s="607">
        <f>AA104/AG104</f>
        <v>0</v>
      </c>
      <c r="AV104" s="608"/>
      <c r="AW104" s="608"/>
      <c r="AX104" s="608"/>
      <c r="AY104" s="608"/>
      <c r="AZ104" s="608"/>
      <c r="BA104" s="608"/>
      <c r="BB104" s="609"/>
    </row>
    <row r="105" spans="1:57" ht="20.25" customHeight="1" x14ac:dyDescent="0.2">
      <c r="A105" s="853" t="s">
        <v>90</v>
      </c>
      <c r="B105" s="854"/>
      <c r="C105" s="854"/>
      <c r="D105" s="854"/>
      <c r="E105" s="854"/>
      <c r="F105" s="854"/>
      <c r="G105" s="854"/>
      <c r="H105" s="854"/>
      <c r="I105" s="854"/>
      <c r="J105" s="854"/>
      <c r="K105" s="854"/>
      <c r="L105" s="854"/>
      <c r="M105" s="854"/>
      <c r="N105" s="854"/>
      <c r="O105" s="854"/>
      <c r="P105" s="854"/>
      <c r="Q105" s="854"/>
      <c r="R105" s="854"/>
      <c r="S105" s="854"/>
      <c r="T105" s="854"/>
      <c r="U105" s="854"/>
      <c r="V105" s="854"/>
      <c r="W105" s="854"/>
      <c r="X105" s="854"/>
      <c r="Y105" s="854"/>
      <c r="Z105" s="855"/>
      <c r="AA105" s="596">
        <v>300</v>
      </c>
      <c r="AB105" s="597"/>
      <c r="AC105" s="597"/>
      <c r="AD105" s="597"/>
      <c r="AE105" s="597"/>
      <c r="AF105" s="59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590">
        <f>AA105/AG104</f>
        <v>8.3333333333333339</v>
      </c>
      <c r="AV105" s="591"/>
      <c r="AW105" s="591"/>
      <c r="AX105" s="591"/>
      <c r="AY105" s="591"/>
      <c r="AZ105" s="591"/>
      <c r="BA105" s="591"/>
      <c r="BB105" s="592"/>
    </row>
    <row r="106" spans="1:57" ht="20.25" customHeight="1" x14ac:dyDescent="0.2">
      <c r="A106" s="853" t="s">
        <v>138</v>
      </c>
      <c r="B106" s="854"/>
      <c r="C106" s="854"/>
      <c r="D106" s="854"/>
      <c r="E106" s="854"/>
      <c r="F106" s="854"/>
      <c r="G106" s="854"/>
      <c r="H106" s="854"/>
      <c r="I106" s="854"/>
      <c r="J106" s="854"/>
      <c r="K106" s="854"/>
      <c r="L106" s="854"/>
      <c r="M106" s="854"/>
      <c r="N106" s="854"/>
      <c r="O106" s="854"/>
      <c r="P106" s="854"/>
      <c r="Q106" s="854"/>
      <c r="R106" s="854"/>
      <c r="S106" s="854"/>
      <c r="T106" s="854"/>
      <c r="U106" s="854"/>
      <c r="V106" s="854"/>
      <c r="W106" s="854"/>
      <c r="X106" s="854"/>
      <c r="Y106" s="854"/>
      <c r="Z106" s="855"/>
      <c r="AA106" s="596">
        <v>80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AA106/AG104</f>
        <v>2.2222222222222223</v>
      </c>
      <c r="AV106" s="591"/>
      <c r="AW106" s="591"/>
      <c r="AX106" s="591"/>
      <c r="AY106" s="591"/>
      <c r="AZ106" s="591"/>
      <c r="BA106" s="591"/>
      <c r="BB106" s="592"/>
      <c r="BE106" s="117">
        <f>AU106*12*4</f>
        <v>106.66666666666667</v>
      </c>
    </row>
    <row r="107" spans="1:57" ht="22.5" customHeight="1" x14ac:dyDescent="0.2">
      <c r="A107" s="853" t="s">
        <v>102</v>
      </c>
      <c r="B107" s="854"/>
      <c r="C107" s="854"/>
      <c r="D107" s="854"/>
      <c r="E107" s="854"/>
      <c r="F107" s="854"/>
      <c r="G107" s="854"/>
      <c r="H107" s="854"/>
      <c r="I107" s="854"/>
      <c r="J107" s="854"/>
      <c r="K107" s="854"/>
      <c r="L107" s="854"/>
      <c r="M107" s="854"/>
      <c r="N107" s="854"/>
      <c r="O107" s="854"/>
      <c r="P107" s="854"/>
      <c r="Q107" s="854"/>
      <c r="R107" s="854"/>
      <c r="S107" s="854"/>
      <c r="T107" s="854"/>
      <c r="U107" s="854"/>
      <c r="V107" s="854"/>
      <c r="W107" s="854"/>
      <c r="X107" s="854"/>
      <c r="Y107" s="854"/>
      <c r="Z107" s="855"/>
      <c r="AA107" s="596">
        <v>180</v>
      </c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AA107/AG104</f>
        <v>5</v>
      </c>
      <c r="AV107" s="591"/>
      <c r="AW107" s="591"/>
      <c r="AX107" s="591"/>
      <c r="AY107" s="591"/>
      <c r="AZ107" s="591"/>
      <c r="BA107" s="591"/>
      <c r="BB107" s="592"/>
    </row>
    <row r="108" spans="1:57" ht="26.25" customHeight="1" x14ac:dyDescent="0.2">
      <c r="A108" s="833" t="s">
        <v>103</v>
      </c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3"/>
      <c r="AA108" s="596">
        <v>40</v>
      </c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>
        <f>AA108/AG104</f>
        <v>1.1111111111111112</v>
      </c>
      <c r="AV108" s="591"/>
      <c r="AW108" s="591"/>
      <c r="AX108" s="591"/>
      <c r="AY108" s="591"/>
      <c r="AZ108" s="591"/>
      <c r="BA108" s="591"/>
      <c r="BB108" s="592"/>
    </row>
    <row r="109" spans="1:57" ht="26.25" customHeight="1" x14ac:dyDescent="0.2">
      <c r="A109" s="833" t="s">
        <v>528</v>
      </c>
      <c r="B109" s="862"/>
      <c r="C109" s="862"/>
      <c r="D109" s="862"/>
      <c r="E109" s="862"/>
      <c r="F109" s="862"/>
      <c r="G109" s="862"/>
      <c r="H109" s="862"/>
      <c r="I109" s="862"/>
      <c r="J109" s="862"/>
      <c r="K109" s="862"/>
      <c r="L109" s="862"/>
      <c r="M109" s="862"/>
      <c r="N109" s="862"/>
      <c r="O109" s="862"/>
      <c r="P109" s="862"/>
      <c r="Q109" s="862"/>
      <c r="R109" s="862"/>
      <c r="S109" s="862"/>
      <c r="T109" s="862"/>
      <c r="U109" s="862"/>
      <c r="V109" s="862"/>
      <c r="W109" s="862"/>
      <c r="X109" s="862"/>
      <c r="Y109" s="862"/>
      <c r="Z109" s="863"/>
      <c r="AA109" s="596">
        <v>1500</v>
      </c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590">
        <f>AA109/AG104</f>
        <v>41.666666666666664</v>
      </c>
      <c r="AV109" s="591"/>
      <c r="AW109" s="591"/>
      <c r="AX109" s="591"/>
      <c r="AY109" s="591"/>
      <c r="AZ109" s="591"/>
      <c r="BA109" s="591"/>
      <c r="BB109" s="592"/>
    </row>
    <row r="110" spans="1:57" ht="19.5" customHeight="1" x14ac:dyDescent="0.2">
      <c r="A110" s="853" t="s">
        <v>527</v>
      </c>
      <c r="B110" s="854"/>
      <c r="C110" s="854"/>
      <c r="D110" s="854"/>
      <c r="E110" s="854"/>
      <c r="F110" s="854"/>
      <c r="G110" s="854"/>
      <c r="H110" s="854"/>
      <c r="I110" s="854"/>
      <c r="J110" s="854"/>
      <c r="K110" s="854"/>
      <c r="L110" s="854"/>
      <c r="M110" s="854"/>
      <c r="N110" s="854"/>
      <c r="O110" s="854"/>
      <c r="P110" s="854"/>
      <c r="Q110" s="854"/>
      <c r="R110" s="854"/>
      <c r="S110" s="854"/>
      <c r="T110" s="854"/>
      <c r="U110" s="854"/>
      <c r="V110" s="854"/>
      <c r="W110" s="854"/>
      <c r="X110" s="854"/>
      <c r="Y110" s="854"/>
      <c r="Z110" s="855"/>
      <c r="AA110" s="596">
        <v>1024.4849999999999</v>
      </c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590">
        <f>AA110/AG104</f>
        <v>28.457916666666662</v>
      </c>
      <c r="AV110" s="591"/>
      <c r="AW110" s="591"/>
      <c r="AX110" s="591"/>
      <c r="AY110" s="591"/>
      <c r="AZ110" s="591"/>
      <c r="BA110" s="591"/>
      <c r="BB110" s="592"/>
    </row>
    <row r="111" spans="1:57" ht="19.5" hidden="1" customHeight="1" x14ac:dyDescent="0.2">
      <c r="A111" s="593"/>
      <c r="B111" s="594"/>
      <c r="C111" s="594"/>
      <c r="D111" s="594"/>
      <c r="E111" s="594"/>
      <c r="F111" s="594"/>
      <c r="G111" s="594"/>
      <c r="H111" s="594"/>
      <c r="I111" s="594"/>
      <c r="J111" s="594"/>
      <c r="K111" s="594"/>
      <c r="L111" s="594"/>
      <c r="M111" s="594"/>
      <c r="N111" s="594"/>
      <c r="O111" s="594"/>
      <c r="P111" s="594"/>
      <c r="Q111" s="594"/>
      <c r="R111" s="594"/>
      <c r="S111" s="594"/>
      <c r="T111" s="594"/>
      <c r="U111" s="594"/>
      <c r="V111" s="594"/>
      <c r="W111" s="594"/>
      <c r="X111" s="594"/>
      <c r="Y111" s="594"/>
      <c r="Z111" s="595"/>
      <c r="AA111" s="596"/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AA111/AG104</f>
        <v>0</v>
      </c>
      <c r="AV111" s="591"/>
      <c r="AW111" s="591"/>
      <c r="AX111" s="591"/>
      <c r="AY111" s="591"/>
      <c r="AZ111" s="591"/>
      <c r="BA111" s="591"/>
      <c r="BB111" s="592"/>
    </row>
    <row r="112" spans="1:57" ht="20.25" hidden="1" customHeight="1" x14ac:dyDescent="0.2">
      <c r="A112" s="593"/>
      <c r="B112" s="594"/>
      <c r="C112" s="594"/>
      <c r="D112" s="594"/>
      <c r="E112" s="594"/>
      <c r="F112" s="594"/>
      <c r="G112" s="594"/>
      <c r="H112" s="594"/>
      <c r="I112" s="594"/>
      <c r="J112" s="594"/>
      <c r="K112" s="594"/>
      <c r="L112" s="594"/>
      <c r="M112" s="594"/>
      <c r="N112" s="594"/>
      <c r="O112" s="594"/>
      <c r="P112" s="594"/>
      <c r="Q112" s="594"/>
      <c r="R112" s="594"/>
      <c r="S112" s="594"/>
      <c r="T112" s="594"/>
      <c r="U112" s="594"/>
      <c r="V112" s="594"/>
      <c r="W112" s="594"/>
      <c r="X112" s="594"/>
      <c r="Y112" s="594"/>
      <c r="Z112" s="595"/>
      <c r="AA112" s="596"/>
      <c r="AB112" s="597"/>
      <c r="AC112" s="597"/>
      <c r="AD112" s="597"/>
      <c r="AE112" s="597"/>
      <c r="AF112" s="598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AA112/AG104</f>
        <v>0</v>
      </c>
      <c r="AV112" s="591"/>
      <c r="AW112" s="591"/>
      <c r="AX112" s="591"/>
      <c r="AY112" s="591"/>
      <c r="AZ112" s="591"/>
      <c r="BA112" s="591"/>
      <c r="BB112" s="592"/>
    </row>
    <row r="113" spans="1:54" ht="16.5" hidden="1" customHeight="1" x14ac:dyDescent="0.2">
      <c r="A113" s="593"/>
      <c r="B113" s="594"/>
      <c r="C113" s="594"/>
      <c r="D113" s="594"/>
      <c r="E113" s="594"/>
      <c r="F113" s="594"/>
      <c r="G113" s="594"/>
      <c r="H113" s="594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4"/>
      <c r="Z113" s="595"/>
      <c r="AA113" s="596"/>
      <c r="AB113" s="597"/>
      <c r="AC113" s="597"/>
      <c r="AD113" s="597"/>
      <c r="AE113" s="597"/>
      <c r="AF113" s="598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AA113/AG104</f>
        <v>0</v>
      </c>
      <c r="AV113" s="591"/>
      <c r="AW113" s="591"/>
      <c r="AX113" s="591"/>
      <c r="AY113" s="591"/>
      <c r="AZ113" s="591"/>
      <c r="BA113" s="591"/>
      <c r="BB113" s="592"/>
    </row>
    <row r="114" spans="1:54" s="161" customFormat="1" ht="19.5" hidden="1" customHeight="1" x14ac:dyDescent="0.2">
      <c r="A114" s="593"/>
      <c r="B114" s="594"/>
      <c r="C114" s="594"/>
      <c r="D114" s="594"/>
      <c r="E114" s="594"/>
      <c r="F114" s="594"/>
      <c r="G114" s="594"/>
      <c r="H114" s="594"/>
      <c r="I114" s="594"/>
      <c r="J114" s="594"/>
      <c r="K114" s="594"/>
      <c r="L114" s="594"/>
      <c r="M114" s="594"/>
      <c r="N114" s="594"/>
      <c r="O114" s="594"/>
      <c r="P114" s="594"/>
      <c r="Q114" s="594"/>
      <c r="R114" s="594"/>
      <c r="S114" s="594"/>
      <c r="T114" s="594"/>
      <c r="U114" s="594"/>
      <c r="V114" s="594"/>
      <c r="W114" s="594"/>
      <c r="X114" s="594"/>
      <c r="Y114" s="594"/>
      <c r="Z114" s="595"/>
      <c r="AA114" s="596"/>
      <c r="AB114" s="597"/>
      <c r="AC114" s="597"/>
      <c r="AD114" s="597"/>
      <c r="AE114" s="597"/>
      <c r="AF114" s="598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AA114/AG104</f>
        <v>0</v>
      </c>
      <c r="AV114" s="591"/>
      <c r="AW114" s="591"/>
      <c r="AX114" s="591"/>
      <c r="AY114" s="591"/>
      <c r="AZ114" s="591"/>
      <c r="BA114" s="591"/>
      <c r="BB114" s="592"/>
    </row>
    <row r="115" spans="1:54" ht="1.5" hidden="1" customHeight="1" x14ac:dyDescent="0.2">
      <c r="A115" s="593"/>
      <c r="B115" s="594"/>
      <c r="C115" s="594"/>
      <c r="D115" s="594"/>
      <c r="E115" s="594"/>
      <c r="F115" s="594"/>
      <c r="G115" s="594"/>
      <c r="H115" s="594"/>
      <c r="I115" s="594"/>
      <c r="J115" s="594"/>
      <c r="K115" s="594"/>
      <c r="L115" s="594"/>
      <c r="M115" s="594"/>
      <c r="N115" s="594"/>
      <c r="O115" s="594"/>
      <c r="P115" s="594"/>
      <c r="Q115" s="594"/>
      <c r="R115" s="594"/>
      <c r="S115" s="594"/>
      <c r="T115" s="594"/>
      <c r="U115" s="594"/>
      <c r="V115" s="594"/>
      <c r="W115" s="594"/>
      <c r="X115" s="594"/>
      <c r="Y115" s="594"/>
      <c r="Z115" s="595"/>
      <c r="AA115" s="596"/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AA115/AG104</f>
        <v>0</v>
      </c>
      <c r="AV115" s="591"/>
      <c r="AW115" s="591"/>
      <c r="AX115" s="591"/>
      <c r="AY115" s="591"/>
      <c r="AZ115" s="591"/>
      <c r="BA115" s="591"/>
      <c r="BB115" s="592"/>
    </row>
    <row r="116" spans="1:54" s="159" customFormat="1" ht="17.25" hidden="1" customHeight="1" x14ac:dyDescent="0.2">
      <c r="A116" s="593"/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5"/>
      <c r="AA116" s="596"/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AA116/AG104</f>
        <v>0</v>
      </c>
      <c r="AV116" s="591"/>
      <c r="AW116" s="591"/>
      <c r="AX116" s="591"/>
      <c r="AY116" s="591"/>
      <c r="AZ116" s="591"/>
      <c r="BA116" s="591"/>
      <c r="BB116" s="592"/>
    </row>
    <row r="117" spans="1:54" ht="20.25" hidden="1" customHeight="1" x14ac:dyDescent="0.2">
      <c r="A117" s="593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AA117/AG104</f>
        <v>0</v>
      </c>
      <c r="AV117" s="591"/>
      <c r="AW117" s="591"/>
      <c r="AX117" s="591"/>
      <c r="AY117" s="591"/>
      <c r="AZ117" s="591"/>
      <c r="BA117" s="591"/>
      <c r="BB117" s="592"/>
    </row>
    <row r="118" spans="1:54" ht="18.75" hidden="1" customHeight="1" x14ac:dyDescent="0.2">
      <c r="A118" s="593"/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596"/>
      <c r="AB118" s="597"/>
      <c r="AC118" s="597"/>
      <c r="AD118" s="597"/>
      <c r="AE118" s="597"/>
      <c r="AF118" s="59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AA118/AG104</f>
        <v>0</v>
      </c>
      <c r="AV118" s="591"/>
      <c r="AW118" s="591"/>
      <c r="AX118" s="591"/>
      <c r="AY118" s="591"/>
      <c r="AZ118" s="591"/>
      <c r="BA118" s="591"/>
      <c r="BB118" s="592"/>
    </row>
    <row r="119" spans="1:54" ht="37.5" hidden="1" customHeight="1" x14ac:dyDescent="0.2">
      <c r="A119" s="593"/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596"/>
      <c r="AB119" s="597"/>
      <c r="AC119" s="597"/>
      <c r="AD119" s="597"/>
      <c r="AE119" s="597"/>
      <c r="AF119" s="59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AA119/AG104</f>
        <v>0</v>
      </c>
      <c r="AV119" s="591"/>
      <c r="AW119" s="591"/>
      <c r="AX119" s="591"/>
      <c r="AY119" s="591"/>
      <c r="AZ119" s="591"/>
      <c r="BA119" s="591"/>
      <c r="BB119" s="592"/>
    </row>
    <row r="120" spans="1:54" ht="28.5" hidden="1" customHeight="1" x14ac:dyDescent="0.2">
      <c r="A120" s="593"/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5"/>
      <c r="AA120" s="596"/>
      <c r="AB120" s="597"/>
      <c r="AC120" s="597"/>
      <c r="AD120" s="597"/>
      <c r="AE120" s="597"/>
      <c r="AF120" s="598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90">
        <f>AA120/AG104</f>
        <v>0</v>
      </c>
      <c r="AV120" s="591"/>
      <c r="AW120" s="591"/>
      <c r="AX120" s="591"/>
      <c r="AY120" s="591"/>
      <c r="AZ120" s="591"/>
      <c r="BA120" s="591"/>
      <c r="BB120" s="592"/>
    </row>
    <row r="121" spans="1:54" ht="21" hidden="1" customHeight="1" x14ac:dyDescent="0.2">
      <c r="A121" s="593"/>
      <c r="B121" s="594"/>
      <c r="C121" s="594"/>
      <c r="D121" s="594"/>
      <c r="E121" s="594"/>
      <c r="F121" s="594"/>
      <c r="G121" s="594"/>
      <c r="H121" s="594"/>
      <c r="I121" s="594"/>
      <c r="J121" s="594"/>
      <c r="K121" s="594"/>
      <c r="L121" s="594"/>
      <c r="M121" s="594"/>
      <c r="N121" s="594"/>
      <c r="O121" s="594"/>
      <c r="P121" s="594"/>
      <c r="Q121" s="594"/>
      <c r="R121" s="594"/>
      <c r="S121" s="594"/>
      <c r="T121" s="594"/>
      <c r="U121" s="594"/>
      <c r="V121" s="594"/>
      <c r="W121" s="594"/>
      <c r="X121" s="594"/>
      <c r="Y121" s="594"/>
      <c r="Z121" s="595"/>
      <c r="AA121" s="596"/>
      <c r="AB121" s="597"/>
      <c r="AC121" s="597"/>
      <c r="AD121" s="597"/>
      <c r="AE121" s="597"/>
      <c r="AF121" s="598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590">
        <f>AA121/AG104</f>
        <v>0</v>
      </c>
      <c r="AV121" s="591"/>
      <c r="AW121" s="591"/>
      <c r="AX121" s="591"/>
      <c r="AY121" s="591"/>
      <c r="AZ121" s="591"/>
      <c r="BA121" s="591"/>
      <c r="BB121" s="592"/>
    </row>
    <row r="122" spans="1:54" ht="21" hidden="1" customHeight="1" x14ac:dyDescent="0.2">
      <c r="A122" s="599"/>
      <c r="B122" s="600"/>
      <c r="C122" s="600"/>
      <c r="D122" s="600"/>
      <c r="E122" s="600"/>
      <c r="F122" s="600"/>
      <c r="G122" s="600"/>
      <c r="H122" s="600"/>
      <c r="I122" s="600"/>
      <c r="J122" s="600"/>
      <c r="K122" s="600"/>
      <c r="L122" s="600"/>
      <c r="M122" s="600"/>
      <c r="N122" s="600"/>
      <c r="O122" s="600"/>
      <c r="P122" s="600"/>
      <c r="Q122" s="600"/>
      <c r="R122" s="600"/>
      <c r="S122" s="600"/>
      <c r="T122" s="600"/>
      <c r="U122" s="600"/>
      <c r="V122" s="600"/>
      <c r="W122" s="600"/>
      <c r="X122" s="600"/>
      <c r="Y122" s="600"/>
      <c r="Z122" s="600"/>
      <c r="AA122" s="601"/>
      <c r="AB122" s="601"/>
      <c r="AC122" s="601"/>
      <c r="AD122" s="601"/>
      <c r="AE122" s="601"/>
      <c r="AF122" s="601"/>
      <c r="AG122" s="572"/>
      <c r="AH122" s="573"/>
      <c r="AI122" s="573"/>
      <c r="AJ122" s="573"/>
      <c r="AK122" s="573"/>
      <c r="AL122" s="574"/>
      <c r="AM122" s="572"/>
      <c r="AN122" s="573"/>
      <c r="AO122" s="573"/>
      <c r="AP122" s="573"/>
      <c r="AQ122" s="573"/>
      <c r="AR122" s="573"/>
      <c r="AS122" s="573"/>
      <c r="AT122" s="574"/>
      <c r="AU122" s="602">
        <f>AA122/AG104</f>
        <v>0</v>
      </c>
      <c r="AV122" s="602"/>
      <c r="AW122" s="602"/>
      <c r="AX122" s="602"/>
      <c r="AY122" s="602"/>
      <c r="AZ122" s="602"/>
      <c r="BA122" s="602"/>
      <c r="BB122" s="603"/>
    </row>
    <row r="123" spans="1:54" ht="0.75" customHeight="1" thickBot="1" x14ac:dyDescent="0.25">
      <c r="A123" s="864"/>
      <c r="B123" s="865"/>
      <c r="C123" s="865"/>
      <c r="D123" s="865"/>
      <c r="E123" s="865"/>
      <c r="F123" s="865"/>
      <c r="G123" s="865"/>
      <c r="H123" s="865"/>
      <c r="I123" s="865"/>
      <c r="J123" s="865"/>
      <c r="K123" s="865"/>
      <c r="L123" s="865"/>
      <c r="M123" s="865"/>
      <c r="N123" s="865"/>
      <c r="O123" s="865"/>
      <c r="P123" s="865"/>
      <c r="Q123" s="865"/>
      <c r="R123" s="865"/>
      <c r="S123" s="865"/>
      <c r="T123" s="865"/>
      <c r="U123" s="865"/>
      <c r="V123" s="865"/>
      <c r="W123" s="865"/>
      <c r="X123" s="865"/>
      <c r="Y123" s="865"/>
      <c r="Z123" s="865"/>
      <c r="AA123" s="656"/>
      <c r="AB123" s="656"/>
      <c r="AC123" s="656"/>
      <c r="AD123" s="656"/>
      <c r="AE123" s="656"/>
      <c r="AF123" s="656"/>
      <c r="AG123" s="859"/>
      <c r="AH123" s="860"/>
      <c r="AI123" s="860"/>
      <c r="AJ123" s="860"/>
      <c r="AK123" s="860"/>
      <c r="AL123" s="861"/>
      <c r="AM123" s="859"/>
      <c r="AN123" s="860"/>
      <c r="AO123" s="860"/>
      <c r="AP123" s="860"/>
      <c r="AQ123" s="860"/>
      <c r="AR123" s="860"/>
      <c r="AS123" s="860"/>
      <c r="AT123" s="861"/>
      <c r="AU123" s="866">
        <f>AA123/AG104</f>
        <v>0</v>
      </c>
      <c r="AV123" s="866"/>
      <c r="AW123" s="866"/>
      <c r="AX123" s="866"/>
      <c r="AY123" s="866"/>
      <c r="AZ123" s="866"/>
      <c r="BA123" s="866"/>
      <c r="BB123" s="867"/>
    </row>
    <row r="124" spans="1:54" ht="16.5" customHeight="1" thickBot="1" x14ac:dyDescent="0.25">
      <c r="A124" s="545" t="s">
        <v>51</v>
      </c>
      <c r="B124" s="546"/>
      <c r="C124" s="546"/>
      <c r="D124" s="546"/>
      <c r="E124" s="546"/>
      <c r="F124" s="546"/>
      <c r="G124" s="546"/>
      <c r="H124" s="546"/>
      <c r="I124" s="546"/>
      <c r="J124" s="546"/>
      <c r="K124" s="546"/>
      <c r="L124" s="546"/>
      <c r="M124" s="546"/>
      <c r="N124" s="546"/>
      <c r="O124" s="546"/>
      <c r="P124" s="546"/>
      <c r="Q124" s="546"/>
      <c r="R124" s="546"/>
      <c r="S124" s="546"/>
      <c r="T124" s="546"/>
      <c r="U124" s="546"/>
      <c r="V124" s="546"/>
      <c r="W124" s="546"/>
      <c r="X124" s="546"/>
      <c r="Y124" s="546"/>
      <c r="Z124" s="547"/>
      <c r="AA124" s="582">
        <f>SUM(AA104:AF123)</f>
        <v>3124.4849999999997</v>
      </c>
      <c r="AB124" s="583"/>
      <c r="AC124" s="583"/>
      <c r="AD124" s="583"/>
      <c r="AE124" s="583"/>
      <c r="AF124" s="583"/>
      <c r="AG124" s="532">
        <f>AG104</f>
        <v>36</v>
      </c>
      <c r="AH124" s="533"/>
      <c r="AI124" s="533"/>
      <c r="AJ124" s="533"/>
      <c r="AK124" s="533"/>
      <c r="AL124" s="534"/>
      <c r="AM124" s="551" t="s">
        <v>17</v>
      </c>
      <c r="AN124" s="552"/>
      <c r="AO124" s="552"/>
      <c r="AP124" s="552"/>
      <c r="AQ124" s="552"/>
      <c r="AR124" s="552"/>
      <c r="AS124" s="552"/>
      <c r="AT124" s="584"/>
      <c r="AU124" s="555">
        <f>SUM(AU104:BB123)</f>
        <v>86.791249999999991</v>
      </c>
      <c r="AV124" s="555"/>
      <c r="AW124" s="555"/>
      <c r="AX124" s="555"/>
      <c r="AY124" s="555"/>
      <c r="AZ124" s="555"/>
      <c r="BA124" s="555"/>
      <c r="BB124" s="556"/>
    </row>
    <row r="125" spans="1:54" ht="83.25" customHeight="1" x14ac:dyDescent="0.2"/>
    <row r="126" spans="1:54" s="161" customFormat="1" ht="15" customHeight="1" x14ac:dyDescent="0.2">
      <c r="A126" s="159" t="s">
        <v>59</v>
      </c>
      <c r="B126" s="159"/>
      <c r="C126" s="159" t="s">
        <v>60</v>
      </c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  <c r="AU126" s="159"/>
      <c r="AV126" s="159"/>
      <c r="AW126" s="159"/>
      <c r="AX126" s="160"/>
      <c r="AY126" s="160"/>
      <c r="AZ126" s="160"/>
      <c r="BA126" s="160"/>
      <c r="BB126" s="160"/>
    </row>
    <row r="127" spans="1:54" ht="12" customHeight="1" thickBot="1" x14ac:dyDescent="0.25"/>
    <row r="128" spans="1:54" s="159" customFormat="1" ht="12" customHeight="1" x14ac:dyDescent="0.2">
      <c r="A128" s="585" t="s">
        <v>54</v>
      </c>
      <c r="B128" s="586"/>
      <c r="C128" s="586"/>
      <c r="D128" s="586"/>
      <c r="E128" s="586"/>
      <c r="F128" s="586"/>
      <c r="G128" s="586"/>
      <c r="H128" s="586"/>
      <c r="I128" s="586"/>
      <c r="J128" s="586"/>
      <c r="K128" s="586"/>
      <c r="L128" s="586"/>
      <c r="M128" s="586"/>
      <c r="N128" s="586"/>
      <c r="O128" s="586"/>
      <c r="P128" s="586"/>
      <c r="Q128" s="586"/>
      <c r="R128" s="586"/>
      <c r="S128" s="586"/>
      <c r="T128" s="586"/>
      <c r="U128" s="586"/>
      <c r="V128" s="586"/>
      <c r="W128" s="586"/>
      <c r="X128" s="586"/>
      <c r="Y128" s="586"/>
      <c r="Z128" s="587"/>
      <c r="AA128" s="536" t="s">
        <v>55</v>
      </c>
      <c r="AB128" s="537"/>
      <c r="AC128" s="537"/>
      <c r="AD128" s="537"/>
      <c r="AE128" s="537"/>
      <c r="AF128" s="538"/>
      <c r="AG128" s="536" t="s">
        <v>56</v>
      </c>
      <c r="AH128" s="537"/>
      <c r="AI128" s="537"/>
      <c r="AJ128" s="537"/>
      <c r="AK128" s="537"/>
      <c r="AL128" s="538"/>
      <c r="AM128" s="588" t="s">
        <v>57</v>
      </c>
      <c r="AN128" s="586"/>
      <c r="AO128" s="586"/>
      <c r="AP128" s="586"/>
      <c r="AQ128" s="586"/>
      <c r="AR128" s="586"/>
      <c r="AS128" s="586"/>
      <c r="AT128" s="587"/>
      <c r="AU128" s="588" t="s">
        <v>43</v>
      </c>
      <c r="AV128" s="586"/>
      <c r="AW128" s="586"/>
      <c r="AX128" s="586"/>
      <c r="AY128" s="586"/>
      <c r="AZ128" s="586"/>
      <c r="BA128" s="586"/>
      <c r="BB128" s="589"/>
    </row>
    <row r="129" spans="1:54" ht="11.25" customHeight="1" thickBot="1" x14ac:dyDescent="0.25">
      <c r="A129" s="564">
        <v>1</v>
      </c>
      <c r="B129" s="475"/>
      <c r="C129" s="475"/>
      <c r="D129" s="475"/>
      <c r="E129" s="475"/>
      <c r="F129" s="475"/>
      <c r="G129" s="475"/>
      <c r="H129" s="475"/>
      <c r="I129" s="475"/>
      <c r="J129" s="475"/>
      <c r="K129" s="475"/>
      <c r="L129" s="475"/>
      <c r="M129" s="475"/>
      <c r="N129" s="475"/>
      <c r="O129" s="475"/>
      <c r="P129" s="475"/>
      <c r="Q129" s="475"/>
      <c r="R129" s="475"/>
      <c r="S129" s="475"/>
      <c r="T129" s="475"/>
      <c r="U129" s="475"/>
      <c r="V129" s="475"/>
      <c r="W129" s="475"/>
      <c r="X129" s="475"/>
      <c r="Y129" s="475"/>
      <c r="Z129" s="476"/>
      <c r="AA129" s="474">
        <v>2</v>
      </c>
      <c r="AB129" s="475"/>
      <c r="AC129" s="475"/>
      <c r="AD129" s="475"/>
      <c r="AE129" s="475"/>
      <c r="AF129" s="476"/>
      <c r="AG129" s="474">
        <v>3</v>
      </c>
      <c r="AH129" s="475"/>
      <c r="AI129" s="475"/>
      <c r="AJ129" s="475"/>
      <c r="AK129" s="475"/>
      <c r="AL129" s="476"/>
      <c r="AM129" s="474">
        <v>4</v>
      </c>
      <c r="AN129" s="475"/>
      <c r="AO129" s="475"/>
      <c r="AP129" s="475"/>
      <c r="AQ129" s="475"/>
      <c r="AR129" s="475"/>
      <c r="AS129" s="475"/>
      <c r="AT129" s="476"/>
      <c r="AU129" s="474">
        <v>5</v>
      </c>
      <c r="AV129" s="475"/>
      <c r="AW129" s="475"/>
      <c r="AX129" s="475"/>
      <c r="AY129" s="475"/>
      <c r="AZ129" s="475"/>
      <c r="BA129" s="475"/>
      <c r="BB129" s="565"/>
    </row>
    <row r="130" spans="1:54" ht="31.5" hidden="1" customHeight="1" x14ac:dyDescent="0.2">
      <c r="A130" s="566"/>
      <c r="B130" s="567"/>
      <c r="C130" s="567"/>
      <c r="D130" s="567"/>
      <c r="E130" s="567"/>
      <c r="F130" s="567"/>
      <c r="G130" s="567"/>
      <c r="H130" s="567"/>
      <c r="I130" s="567"/>
      <c r="J130" s="567"/>
      <c r="K130" s="567"/>
      <c r="L130" s="567"/>
      <c r="M130" s="567"/>
      <c r="N130" s="567"/>
      <c r="O130" s="567"/>
      <c r="P130" s="567"/>
      <c r="Q130" s="567"/>
      <c r="R130" s="567"/>
      <c r="S130" s="567"/>
      <c r="T130" s="567"/>
      <c r="U130" s="567"/>
      <c r="V130" s="567"/>
      <c r="W130" s="567"/>
      <c r="X130" s="567"/>
      <c r="Y130" s="567"/>
      <c r="Z130" s="568"/>
      <c r="AA130" s="569">
        <v>0</v>
      </c>
      <c r="AB130" s="570"/>
      <c r="AC130" s="570"/>
      <c r="AD130" s="570"/>
      <c r="AE130" s="570"/>
      <c r="AF130" s="571"/>
      <c r="AG130" s="569">
        <f>U12</f>
        <v>36</v>
      </c>
      <c r="AH130" s="570"/>
      <c r="AI130" s="570"/>
      <c r="AJ130" s="570"/>
      <c r="AK130" s="570"/>
      <c r="AL130" s="571"/>
      <c r="AM130" s="569" t="s">
        <v>61</v>
      </c>
      <c r="AN130" s="570"/>
      <c r="AO130" s="570"/>
      <c r="AP130" s="570"/>
      <c r="AQ130" s="570"/>
      <c r="AR130" s="570"/>
      <c r="AS130" s="570"/>
      <c r="AT130" s="571"/>
      <c r="AU130" s="558">
        <f>AA130/AG130</f>
        <v>0</v>
      </c>
      <c r="AV130" s="559"/>
      <c r="AW130" s="559"/>
      <c r="AX130" s="559"/>
      <c r="AY130" s="559"/>
      <c r="AZ130" s="559"/>
      <c r="BA130" s="559"/>
      <c r="BB130" s="560"/>
    </row>
    <row r="131" spans="1:54" ht="4.5" hidden="1" customHeight="1" x14ac:dyDescent="0.2">
      <c r="A131" s="561"/>
      <c r="B131" s="562"/>
      <c r="C131" s="562"/>
      <c r="D131" s="562"/>
      <c r="E131" s="562"/>
      <c r="F131" s="562"/>
      <c r="G131" s="562"/>
      <c r="H131" s="562"/>
      <c r="I131" s="562"/>
      <c r="J131" s="562"/>
      <c r="K131" s="562"/>
      <c r="L131" s="562"/>
      <c r="M131" s="562"/>
      <c r="N131" s="562"/>
      <c r="O131" s="562"/>
      <c r="P131" s="562"/>
      <c r="Q131" s="562"/>
      <c r="R131" s="562"/>
      <c r="S131" s="562"/>
      <c r="T131" s="562"/>
      <c r="U131" s="562"/>
      <c r="V131" s="562"/>
      <c r="W131" s="562"/>
      <c r="X131" s="562"/>
      <c r="Y131" s="562"/>
      <c r="Z131" s="563"/>
      <c r="AA131" s="518"/>
      <c r="AB131" s="518"/>
      <c r="AC131" s="518"/>
      <c r="AD131" s="518"/>
      <c r="AE131" s="518"/>
      <c r="AF131" s="518"/>
      <c r="AG131" s="572"/>
      <c r="AH131" s="573"/>
      <c r="AI131" s="573"/>
      <c r="AJ131" s="573"/>
      <c r="AK131" s="573"/>
      <c r="AL131" s="574"/>
      <c r="AM131" s="572"/>
      <c r="AN131" s="573"/>
      <c r="AO131" s="573"/>
      <c r="AP131" s="573"/>
      <c r="AQ131" s="573"/>
      <c r="AR131" s="573"/>
      <c r="AS131" s="573"/>
      <c r="AT131" s="574"/>
      <c r="AU131" s="558">
        <f>AA131/AG130</f>
        <v>0</v>
      </c>
      <c r="AV131" s="559"/>
      <c r="AW131" s="559"/>
      <c r="AX131" s="559"/>
      <c r="AY131" s="559"/>
      <c r="AZ131" s="559"/>
      <c r="BA131" s="559"/>
      <c r="BB131" s="560"/>
    </row>
    <row r="132" spans="1:54" ht="21" customHeight="1" x14ac:dyDescent="0.2">
      <c r="A132" s="449"/>
      <c r="B132" s="450"/>
      <c r="C132" s="450"/>
      <c r="D132" s="450"/>
      <c r="E132" s="450"/>
      <c r="F132" s="450"/>
      <c r="G132" s="450"/>
      <c r="H132" s="450"/>
      <c r="I132" s="450"/>
      <c r="J132" s="450"/>
      <c r="K132" s="450"/>
      <c r="L132" s="450"/>
      <c r="M132" s="450"/>
      <c r="N132" s="450"/>
      <c r="O132" s="450"/>
      <c r="P132" s="450"/>
      <c r="Q132" s="450"/>
      <c r="R132" s="450"/>
      <c r="S132" s="450"/>
      <c r="T132" s="450"/>
      <c r="U132" s="450"/>
      <c r="V132" s="450"/>
      <c r="W132" s="450"/>
      <c r="X132" s="450"/>
      <c r="Y132" s="450"/>
      <c r="Z132" s="451"/>
      <c r="AA132" s="557"/>
      <c r="AB132" s="557"/>
      <c r="AC132" s="557"/>
      <c r="AD132" s="557"/>
      <c r="AE132" s="557"/>
      <c r="AF132" s="557"/>
      <c r="AG132" s="572"/>
      <c r="AH132" s="573"/>
      <c r="AI132" s="573"/>
      <c r="AJ132" s="573"/>
      <c r="AK132" s="573"/>
      <c r="AL132" s="574"/>
      <c r="AM132" s="572"/>
      <c r="AN132" s="573"/>
      <c r="AO132" s="573"/>
      <c r="AP132" s="573"/>
      <c r="AQ132" s="573"/>
      <c r="AR132" s="573"/>
      <c r="AS132" s="573"/>
      <c r="AT132" s="574"/>
      <c r="AU132" s="558">
        <f>AA132/AG130</f>
        <v>0</v>
      </c>
      <c r="AV132" s="559"/>
      <c r="AW132" s="559"/>
      <c r="AX132" s="559"/>
      <c r="AY132" s="559"/>
      <c r="AZ132" s="559"/>
      <c r="BA132" s="559"/>
      <c r="BB132" s="560"/>
    </row>
    <row r="133" spans="1:54" ht="21" customHeight="1" x14ac:dyDescent="0.2">
      <c r="A133" s="449"/>
      <c r="B133" s="450"/>
      <c r="C133" s="450"/>
      <c r="D133" s="450"/>
      <c r="E133" s="450"/>
      <c r="F133" s="450"/>
      <c r="G133" s="450"/>
      <c r="H133" s="450"/>
      <c r="I133" s="450"/>
      <c r="J133" s="450"/>
      <c r="K133" s="450"/>
      <c r="L133" s="450"/>
      <c r="M133" s="450"/>
      <c r="N133" s="450"/>
      <c r="O133" s="450"/>
      <c r="P133" s="450"/>
      <c r="Q133" s="450"/>
      <c r="R133" s="450"/>
      <c r="S133" s="450"/>
      <c r="T133" s="450"/>
      <c r="U133" s="450"/>
      <c r="V133" s="450"/>
      <c r="W133" s="450"/>
      <c r="X133" s="450"/>
      <c r="Y133" s="450"/>
      <c r="Z133" s="451"/>
      <c r="AA133" s="557"/>
      <c r="AB133" s="557"/>
      <c r="AC133" s="557"/>
      <c r="AD133" s="557"/>
      <c r="AE133" s="557"/>
      <c r="AF133" s="557"/>
      <c r="AG133" s="572"/>
      <c r="AH133" s="573"/>
      <c r="AI133" s="573"/>
      <c r="AJ133" s="573"/>
      <c r="AK133" s="573"/>
      <c r="AL133" s="574"/>
      <c r="AM133" s="572"/>
      <c r="AN133" s="573"/>
      <c r="AO133" s="573"/>
      <c r="AP133" s="573"/>
      <c r="AQ133" s="573"/>
      <c r="AR133" s="573"/>
      <c r="AS133" s="573"/>
      <c r="AT133" s="574"/>
      <c r="AU133" s="558">
        <f>AA133/AG130</f>
        <v>0</v>
      </c>
      <c r="AV133" s="559"/>
      <c r="AW133" s="559"/>
      <c r="AX133" s="559"/>
      <c r="AY133" s="559"/>
      <c r="AZ133" s="559"/>
      <c r="BA133" s="559"/>
      <c r="BB133" s="560"/>
    </row>
    <row r="134" spans="1:54" ht="6" hidden="1" customHeight="1" x14ac:dyDescent="0.2">
      <c r="A134" s="449"/>
      <c r="B134" s="450"/>
      <c r="C134" s="450"/>
      <c r="D134" s="450"/>
      <c r="E134" s="450"/>
      <c r="F134" s="450"/>
      <c r="G134" s="450"/>
      <c r="H134" s="450"/>
      <c r="I134" s="450"/>
      <c r="J134" s="450"/>
      <c r="K134" s="450"/>
      <c r="L134" s="450"/>
      <c r="M134" s="450"/>
      <c r="N134" s="450"/>
      <c r="O134" s="450"/>
      <c r="P134" s="450"/>
      <c r="Q134" s="450"/>
      <c r="R134" s="450"/>
      <c r="S134" s="450"/>
      <c r="T134" s="450"/>
      <c r="U134" s="450"/>
      <c r="V134" s="450"/>
      <c r="W134" s="450"/>
      <c r="X134" s="450"/>
      <c r="Y134" s="450"/>
      <c r="Z134" s="451"/>
      <c r="AA134" s="557"/>
      <c r="AB134" s="557"/>
      <c r="AC134" s="557"/>
      <c r="AD134" s="557"/>
      <c r="AE134" s="557"/>
      <c r="AF134" s="557"/>
      <c r="AG134" s="572"/>
      <c r="AH134" s="573"/>
      <c r="AI134" s="573"/>
      <c r="AJ134" s="573"/>
      <c r="AK134" s="573"/>
      <c r="AL134" s="574"/>
      <c r="AM134" s="572"/>
      <c r="AN134" s="573"/>
      <c r="AO134" s="573"/>
      <c r="AP134" s="573"/>
      <c r="AQ134" s="573"/>
      <c r="AR134" s="573"/>
      <c r="AS134" s="573"/>
      <c r="AT134" s="574"/>
      <c r="AU134" s="558">
        <f>AA134/AG130</f>
        <v>0</v>
      </c>
      <c r="AV134" s="559"/>
      <c r="AW134" s="559"/>
      <c r="AX134" s="559"/>
      <c r="AY134" s="559"/>
      <c r="AZ134" s="559"/>
      <c r="BA134" s="559"/>
      <c r="BB134" s="560"/>
    </row>
    <row r="135" spans="1:54" ht="0.75" customHeight="1" thickBot="1" x14ac:dyDescent="0.25">
      <c r="A135" s="575"/>
      <c r="B135" s="576"/>
      <c r="C135" s="576"/>
      <c r="D135" s="576"/>
      <c r="E135" s="576"/>
      <c r="F135" s="576"/>
      <c r="G135" s="576"/>
      <c r="H135" s="576"/>
      <c r="I135" s="576"/>
      <c r="J135" s="576"/>
      <c r="K135" s="576"/>
      <c r="L135" s="576"/>
      <c r="M135" s="576"/>
      <c r="N135" s="576"/>
      <c r="O135" s="576"/>
      <c r="P135" s="576"/>
      <c r="Q135" s="576"/>
      <c r="R135" s="576"/>
      <c r="S135" s="576"/>
      <c r="T135" s="576"/>
      <c r="U135" s="576"/>
      <c r="V135" s="576"/>
      <c r="W135" s="576"/>
      <c r="X135" s="576"/>
      <c r="Y135" s="576"/>
      <c r="Z135" s="577"/>
      <c r="AA135" s="578">
        <v>0</v>
      </c>
      <c r="AB135" s="578"/>
      <c r="AC135" s="578"/>
      <c r="AD135" s="578"/>
      <c r="AE135" s="578"/>
      <c r="AF135" s="578"/>
      <c r="AG135" s="572"/>
      <c r="AH135" s="573"/>
      <c r="AI135" s="573"/>
      <c r="AJ135" s="573"/>
      <c r="AK135" s="573"/>
      <c r="AL135" s="574"/>
      <c r="AM135" s="572"/>
      <c r="AN135" s="573"/>
      <c r="AO135" s="573"/>
      <c r="AP135" s="573"/>
      <c r="AQ135" s="573"/>
      <c r="AR135" s="573"/>
      <c r="AS135" s="573"/>
      <c r="AT135" s="574"/>
      <c r="AU135" s="579">
        <f>AA135/AG130</f>
        <v>0</v>
      </c>
      <c r="AV135" s="580"/>
      <c r="AW135" s="580"/>
      <c r="AX135" s="580"/>
      <c r="AY135" s="580"/>
      <c r="AZ135" s="580"/>
      <c r="BA135" s="580"/>
      <c r="BB135" s="581"/>
    </row>
    <row r="136" spans="1:54" ht="15" customHeight="1" thickBot="1" x14ac:dyDescent="0.25">
      <c r="A136" s="545" t="s">
        <v>51</v>
      </c>
      <c r="B136" s="546"/>
      <c r="C136" s="546"/>
      <c r="D136" s="546"/>
      <c r="E136" s="546"/>
      <c r="F136" s="546"/>
      <c r="G136" s="546"/>
      <c r="H136" s="546"/>
      <c r="I136" s="546"/>
      <c r="J136" s="546"/>
      <c r="K136" s="546"/>
      <c r="L136" s="546"/>
      <c r="M136" s="546"/>
      <c r="N136" s="546"/>
      <c r="O136" s="546"/>
      <c r="P136" s="546"/>
      <c r="Q136" s="546"/>
      <c r="R136" s="546"/>
      <c r="S136" s="546"/>
      <c r="T136" s="546"/>
      <c r="U136" s="546"/>
      <c r="V136" s="546"/>
      <c r="W136" s="546"/>
      <c r="X136" s="546"/>
      <c r="Y136" s="546"/>
      <c r="Z136" s="547"/>
      <c r="AA136" s="548">
        <f>SUM(AA130:AF133)</f>
        <v>0</v>
      </c>
      <c r="AB136" s="549"/>
      <c r="AC136" s="549"/>
      <c r="AD136" s="549"/>
      <c r="AE136" s="549"/>
      <c r="AF136" s="550"/>
      <c r="AG136" s="531">
        <f>AG130</f>
        <v>36</v>
      </c>
      <c r="AH136" s="533"/>
      <c r="AI136" s="533"/>
      <c r="AJ136" s="533"/>
      <c r="AK136" s="533"/>
      <c r="AL136" s="534"/>
      <c r="AM136" s="551" t="s">
        <v>17</v>
      </c>
      <c r="AN136" s="552"/>
      <c r="AO136" s="552"/>
      <c r="AP136" s="552"/>
      <c r="AQ136" s="552"/>
      <c r="AR136" s="552"/>
      <c r="AS136" s="552"/>
      <c r="AT136" s="553"/>
      <c r="AU136" s="554">
        <f>SUM(AU130:BB135)</f>
        <v>0</v>
      </c>
      <c r="AV136" s="555"/>
      <c r="AW136" s="555"/>
      <c r="AX136" s="555"/>
      <c r="AY136" s="555"/>
      <c r="AZ136" s="555"/>
      <c r="BA136" s="555"/>
      <c r="BB136" s="556"/>
    </row>
    <row r="137" spans="1:54" s="161" customFormat="1" ht="15" customHeight="1" x14ac:dyDescent="0.2">
      <c r="A137" s="117"/>
      <c r="B137" s="117"/>
      <c r="C137" s="117"/>
      <c r="D137" s="117"/>
      <c r="E137" s="117"/>
      <c r="F137" s="117"/>
      <c r="G137" s="117"/>
      <c r="H137" s="117"/>
      <c r="I137" s="117"/>
      <c r="J137" s="117"/>
      <c r="K137" s="117"/>
      <c r="L137" s="117"/>
      <c r="M137" s="117"/>
      <c r="N137" s="117"/>
      <c r="O137" s="117"/>
      <c r="P137" s="117"/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</row>
    <row r="138" spans="1:54" ht="27" customHeight="1" x14ac:dyDescent="0.2">
      <c r="A138" s="159" t="s">
        <v>62</v>
      </c>
      <c r="B138" s="159"/>
      <c r="C138" s="159" t="s">
        <v>63</v>
      </c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  <c r="AU138" s="159"/>
      <c r="AV138" s="159"/>
      <c r="AW138" s="159"/>
      <c r="AX138" s="160"/>
      <c r="AY138" s="160"/>
      <c r="AZ138" s="160"/>
      <c r="BA138" s="160"/>
      <c r="BB138" s="160"/>
    </row>
    <row r="139" spans="1:54" ht="21.75" customHeight="1" thickBot="1" x14ac:dyDescent="0.25"/>
    <row r="140" spans="1:54" ht="63" customHeight="1" x14ac:dyDescent="0.2">
      <c r="A140" s="499" t="s">
        <v>54</v>
      </c>
      <c r="B140" s="500"/>
      <c r="C140" s="500"/>
      <c r="D140" s="500"/>
      <c r="E140" s="500"/>
      <c r="F140" s="500"/>
      <c r="G140" s="500"/>
      <c r="H140" s="535" t="s">
        <v>64</v>
      </c>
      <c r="I140" s="535"/>
      <c r="J140" s="535"/>
      <c r="K140" s="535"/>
      <c r="L140" s="535"/>
      <c r="M140" s="535" t="s">
        <v>94</v>
      </c>
      <c r="N140" s="535"/>
      <c r="O140" s="535"/>
      <c r="P140" s="535"/>
      <c r="Q140" s="535"/>
      <c r="R140" s="535" t="s">
        <v>82</v>
      </c>
      <c r="S140" s="535"/>
      <c r="T140" s="535"/>
      <c r="U140" s="535"/>
      <c r="V140" s="535" t="s">
        <v>65</v>
      </c>
      <c r="W140" s="535"/>
      <c r="X140" s="535"/>
      <c r="Y140" s="535"/>
      <c r="Z140" s="535" t="s">
        <v>66</v>
      </c>
      <c r="AA140" s="535"/>
      <c r="AB140" s="535"/>
      <c r="AC140" s="535"/>
      <c r="AD140" s="535" t="s">
        <v>67</v>
      </c>
      <c r="AE140" s="535"/>
      <c r="AF140" s="535"/>
      <c r="AG140" s="535"/>
      <c r="AH140" s="535"/>
      <c r="AI140" s="535"/>
      <c r="AJ140" s="535"/>
      <c r="AK140" s="535"/>
      <c r="AL140" s="535"/>
      <c r="AM140" s="535"/>
      <c r="AN140" s="535"/>
      <c r="AO140" s="535"/>
      <c r="AP140" s="535"/>
      <c r="AQ140" s="535" t="s">
        <v>431</v>
      </c>
      <c r="AR140" s="535"/>
      <c r="AS140" s="535"/>
      <c r="AT140" s="535"/>
      <c r="AU140" s="536" t="s">
        <v>430</v>
      </c>
      <c r="AV140" s="537"/>
      <c r="AW140" s="537"/>
      <c r="AX140" s="538"/>
      <c r="AY140" s="536" t="s">
        <v>87</v>
      </c>
      <c r="AZ140" s="537"/>
      <c r="BA140" s="537"/>
      <c r="BB140" s="539"/>
    </row>
    <row r="141" spans="1:54" ht="71.25" customHeight="1" thickBot="1" x14ac:dyDescent="0.25">
      <c r="A141" s="888"/>
      <c r="B141" s="889"/>
      <c r="C141" s="889"/>
      <c r="D141" s="889"/>
      <c r="E141" s="889"/>
      <c r="F141" s="889"/>
      <c r="G141" s="889"/>
      <c r="H141" s="894" t="s">
        <v>68</v>
      </c>
      <c r="I141" s="894"/>
      <c r="J141" s="894"/>
      <c r="K141" s="894"/>
      <c r="L141" s="894"/>
      <c r="M141" s="894" t="s">
        <v>68</v>
      </c>
      <c r="N141" s="894"/>
      <c r="O141" s="894"/>
      <c r="P141" s="894"/>
      <c r="Q141" s="894"/>
      <c r="R141" s="894"/>
      <c r="S141" s="894"/>
      <c r="T141" s="894"/>
      <c r="U141" s="894"/>
      <c r="V141" s="894"/>
      <c r="W141" s="894"/>
      <c r="X141" s="894"/>
      <c r="Y141" s="894"/>
      <c r="Z141" s="894"/>
      <c r="AA141" s="894"/>
      <c r="AB141" s="894"/>
      <c r="AC141" s="894"/>
      <c r="AD141" s="894" t="s">
        <v>68</v>
      </c>
      <c r="AE141" s="894"/>
      <c r="AF141" s="894"/>
      <c r="AG141" s="894"/>
      <c r="AH141" s="894"/>
      <c r="AI141" s="894"/>
      <c r="AJ141" s="895" t="s">
        <v>69</v>
      </c>
      <c r="AK141" s="896"/>
      <c r="AL141" s="896"/>
      <c r="AM141" s="896"/>
      <c r="AN141" s="896"/>
      <c r="AO141" s="896"/>
      <c r="AP141" s="897"/>
      <c r="AQ141" s="894" t="s">
        <v>68</v>
      </c>
      <c r="AR141" s="894"/>
      <c r="AS141" s="894"/>
      <c r="AT141" s="894"/>
      <c r="AU141" s="894" t="s">
        <v>68</v>
      </c>
      <c r="AV141" s="894"/>
      <c r="AW141" s="894"/>
      <c r="AX141" s="894"/>
      <c r="AY141" s="894" t="s">
        <v>68</v>
      </c>
      <c r="AZ141" s="894"/>
      <c r="BA141" s="894"/>
      <c r="BB141" s="898"/>
    </row>
    <row r="142" spans="1:54" ht="22.5" customHeight="1" thickBot="1" x14ac:dyDescent="0.25">
      <c r="A142" s="530">
        <v>1</v>
      </c>
      <c r="B142" s="503"/>
      <c r="C142" s="503"/>
      <c r="D142" s="503"/>
      <c r="E142" s="503"/>
      <c r="F142" s="503"/>
      <c r="G142" s="503"/>
      <c r="H142" s="503">
        <v>2</v>
      </c>
      <c r="I142" s="503"/>
      <c r="J142" s="503"/>
      <c r="K142" s="503"/>
      <c r="L142" s="503"/>
      <c r="M142" s="503">
        <v>3</v>
      </c>
      <c r="N142" s="503"/>
      <c r="O142" s="503"/>
      <c r="P142" s="503"/>
      <c r="Q142" s="503"/>
      <c r="R142" s="503">
        <v>4</v>
      </c>
      <c r="S142" s="503"/>
      <c r="T142" s="503"/>
      <c r="U142" s="503"/>
      <c r="V142" s="503">
        <v>5</v>
      </c>
      <c r="W142" s="503"/>
      <c r="X142" s="503"/>
      <c r="Y142" s="503"/>
      <c r="Z142" s="503">
        <v>6</v>
      </c>
      <c r="AA142" s="503"/>
      <c r="AB142" s="503"/>
      <c r="AC142" s="531"/>
      <c r="AD142" s="503">
        <v>7</v>
      </c>
      <c r="AE142" s="503"/>
      <c r="AF142" s="503"/>
      <c r="AG142" s="503"/>
      <c r="AH142" s="503"/>
      <c r="AI142" s="503"/>
      <c r="AJ142" s="533">
        <v>8</v>
      </c>
      <c r="AK142" s="533"/>
      <c r="AL142" s="533"/>
      <c r="AM142" s="533"/>
      <c r="AN142" s="533"/>
      <c r="AO142" s="533"/>
      <c r="AP142" s="534"/>
      <c r="AQ142" s="503">
        <v>9</v>
      </c>
      <c r="AR142" s="503"/>
      <c r="AS142" s="503"/>
      <c r="AT142" s="503"/>
      <c r="AU142" s="503">
        <v>10</v>
      </c>
      <c r="AV142" s="503"/>
      <c r="AW142" s="503"/>
      <c r="AX142" s="503"/>
      <c r="AY142" s="503">
        <v>11</v>
      </c>
      <c r="AZ142" s="503"/>
      <c r="BA142" s="503"/>
      <c r="BB142" s="504"/>
    </row>
    <row r="143" spans="1:54" ht="24.75" customHeight="1" x14ac:dyDescent="0.2">
      <c r="A143" s="505" t="s">
        <v>70</v>
      </c>
      <c r="B143" s="506"/>
      <c r="C143" s="506"/>
      <c r="D143" s="506"/>
      <c r="E143" s="506"/>
      <c r="F143" s="506"/>
      <c r="G143" s="506"/>
      <c r="H143" s="507">
        <f>AO88/V143</f>
        <v>70.412159999999986</v>
      </c>
      <c r="I143" s="507"/>
      <c r="J143" s="507"/>
      <c r="K143" s="507"/>
      <c r="L143" s="507"/>
      <c r="M143" s="507">
        <f>H143</f>
        <v>70.412159999999986</v>
      </c>
      <c r="N143" s="507"/>
      <c r="O143" s="507"/>
      <c r="P143" s="507"/>
      <c r="Q143" s="507"/>
      <c r="R143" s="508">
        <f>U12</f>
        <v>36</v>
      </c>
      <c r="S143" s="509"/>
      <c r="T143" s="509"/>
      <c r="U143" s="510"/>
      <c r="V143" s="517">
        <f>Y16</f>
        <v>12</v>
      </c>
      <c r="W143" s="517"/>
      <c r="X143" s="517"/>
      <c r="Y143" s="517"/>
      <c r="Z143" s="517">
        <f>U16</f>
        <v>1</v>
      </c>
      <c r="AA143" s="517"/>
      <c r="AB143" s="517"/>
      <c r="AC143" s="517"/>
      <c r="AD143" s="520" t="s">
        <v>71</v>
      </c>
      <c r="AE143" s="521"/>
      <c r="AF143" s="521"/>
      <c r="AG143" s="521"/>
      <c r="AH143" s="521"/>
      <c r="AI143" s="522"/>
      <c r="AJ143" s="523"/>
      <c r="AK143" s="524"/>
      <c r="AL143" s="524"/>
      <c r="AM143" s="524"/>
      <c r="AN143" s="524"/>
      <c r="AO143" s="524"/>
      <c r="AP143" s="525"/>
      <c r="AQ143" s="507">
        <f>H143*4</f>
        <v>281.64863999999994</v>
      </c>
      <c r="AR143" s="507"/>
      <c r="AS143" s="507"/>
      <c r="AT143" s="507"/>
      <c r="AU143" s="507">
        <f>M143*1</f>
        <v>70.412159999999986</v>
      </c>
      <c r="AV143" s="507"/>
      <c r="AW143" s="507"/>
      <c r="AX143" s="507"/>
      <c r="AY143" s="507">
        <f>H143*R143</f>
        <v>2534.8377599999994</v>
      </c>
      <c r="AZ143" s="507"/>
      <c r="BA143" s="507"/>
      <c r="BB143" s="526"/>
    </row>
    <row r="144" spans="1:54" ht="21.75" customHeight="1" x14ac:dyDescent="0.2">
      <c r="A144" s="527" t="s">
        <v>72</v>
      </c>
      <c r="B144" s="528"/>
      <c r="C144" s="528"/>
      <c r="D144" s="528"/>
      <c r="E144" s="528"/>
      <c r="F144" s="528"/>
      <c r="G144" s="528"/>
      <c r="H144" s="529">
        <f>AV98</f>
        <v>27.981753675099391</v>
      </c>
      <c r="I144" s="529"/>
      <c r="J144" s="529"/>
      <c r="K144" s="529"/>
      <c r="L144" s="529"/>
      <c r="M144" s="477">
        <f t="shared" ref="M144:M146" si="3">H144</f>
        <v>27.981753675099391</v>
      </c>
      <c r="N144" s="477"/>
      <c r="O144" s="477"/>
      <c r="P144" s="477"/>
      <c r="Q144" s="477"/>
      <c r="R144" s="511"/>
      <c r="S144" s="512"/>
      <c r="T144" s="512"/>
      <c r="U144" s="513"/>
      <c r="V144" s="518"/>
      <c r="W144" s="518"/>
      <c r="X144" s="518"/>
      <c r="Y144" s="518"/>
      <c r="Z144" s="518"/>
      <c r="AA144" s="518"/>
      <c r="AB144" s="518"/>
      <c r="AC144" s="518"/>
      <c r="AD144" s="477" t="s">
        <v>71</v>
      </c>
      <c r="AE144" s="477"/>
      <c r="AF144" s="477"/>
      <c r="AG144" s="477"/>
      <c r="AH144" s="477"/>
      <c r="AI144" s="477"/>
      <c r="AJ144" s="478"/>
      <c r="AK144" s="479"/>
      <c r="AL144" s="479"/>
      <c r="AM144" s="479"/>
      <c r="AN144" s="479"/>
      <c r="AO144" s="479"/>
      <c r="AP144" s="480"/>
      <c r="AQ144" s="477">
        <f>H144*4</f>
        <v>111.92701470039756</v>
      </c>
      <c r="AR144" s="477"/>
      <c r="AS144" s="477"/>
      <c r="AT144" s="477"/>
      <c r="AU144" s="529">
        <f>M144*1</f>
        <v>27.981753675099391</v>
      </c>
      <c r="AV144" s="529"/>
      <c r="AW144" s="529"/>
      <c r="AX144" s="529"/>
      <c r="AY144" s="477">
        <f>H144*R143</f>
        <v>1007.343132303578</v>
      </c>
      <c r="AZ144" s="477"/>
      <c r="BA144" s="477"/>
      <c r="BB144" s="481"/>
    </row>
    <row r="145" spans="1:79" ht="15" customHeight="1" x14ac:dyDescent="0.2">
      <c r="A145" s="527" t="s">
        <v>73</v>
      </c>
      <c r="B145" s="528"/>
      <c r="C145" s="528"/>
      <c r="D145" s="528"/>
      <c r="E145" s="528"/>
      <c r="F145" s="528"/>
      <c r="G145" s="528"/>
      <c r="H145" s="529">
        <f>AU124</f>
        <v>86.791249999999991</v>
      </c>
      <c r="I145" s="529"/>
      <c r="J145" s="529"/>
      <c r="K145" s="529"/>
      <c r="L145" s="529"/>
      <c r="M145" s="477">
        <f t="shared" si="3"/>
        <v>86.791249999999991</v>
      </c>
      <c r="N145" s="477"/>
      <c r="O145" s="477"/>
      <c r="P145" s="477"/>
      <c r="Q145" s="477"/>
      <c r="R145" s="511"/>
      <c r="S145" s="512"/>
      <c r="T145" s="512"/>
      <c r="U145" s="513"/>
      <c r="V145" s="518"/>
      <c r="W145" s="518"/>
      <c r="X145" s="518"/>
      <c r="Y145" s="518"/>
      <c r="Z145" s="518"/>
      <c r="AA145" s="518"/>
      <c r="AB145" s="518"/>
      <c r="AC145" s="518"/>
      <c r="AD145" s="477" t="s">
        <v>71</v>
      </c>
      <c r="AE145" s="477"/>
      <c r="AF145" s="477"/>
      <c r="AG145" s="477"/>
      <c r="AH145" s="477"/>
      <c r="AI145" s="477"/>
      <c r="AJ145" s="478"/>
      <c r="AK145" s="479"/>
      <c r="AL145" s="479"/>
      <c r="AM145" s="479"/>
      <c r="AN145" s="479"/>
      <c r="AO145" s="479"/>
      <c r="AP145" s="480"/>
      <c r="AQ145" s="477">
        <f>H145*4</f>
        <v>347.16499999999996</v>
      </c>
      <c r="AR145" s="477"/>
      <c r="AS145" s="477"/>
      <c r="AT145" s="477"/>
      <c r="AU145" s="529">
        <f>M145*1</f>
        <v>86.791249999999991</v>
      </c>
      <c r="AV145" s="529"/>
      <c r="AW145" s="529"/>
      <c r="AX145" s="529"/>
      <c r="AY145" s="477">
        <f>H145*R143</f>
        <v>3124.4849999999997</v>
      </c>
      <c r="AZ145" s="477"/>
      <c r="BA145" s="477"/>
      <c r="BB145" s="481"/>
    </row>
    <row r="146" spans="1:79" ht="18" customHeight="1" thickBot="1" x14ac:dyDescent="0.25">
      <c r="A146" s="494" t="s">
        <v>74</v>
      </c>
      <c r="B146" s="495"/>
      <c r="C146" s="495"/>
      <c r="D146" s="495"/>
      <c r="E146" s="495"/>
      <c r="F146" s="495"/>
      <c r="G146" s="495"/>
      <c r="H146" s="483">
        <f>AU136</f>
        <v>0</v>
      </c>
      <c r="I146" s="483"/>
      <c r="J146" s="483"/>
      <c r="K146" s="483"/>
      <c r="L146" s="483"/>
      <c r="M146" s="482">
        <f t="shared" si="3"/>
        <v>0</v>
      </c>
      <c r="N146" s="482"/>
      <c r="O146" s="482"/>
      <c r="P146" s="482"/>
      <c r="Q146" s="482"/>
      <c r="R146" s="514"/>
      <c r="S146" s="515"/>
      <c r="T146" s="515"/>
      <c r="U146" s="516"/>
      <c r="V146" s="519"/>
      <c r="W146" s="519"/>
      <c r="X146" s="519"/>
      <c r="Y146" s="519"/>
      <c r="Z146" s="519"/>
      <c r="AA146" s="519"/>
      <c r="AB146" s="519"/>
      <c r="AC146" s="519"/>
      <c r="AD146" s="482" t="s">
        <v>71</v>
      </c>
      <c r="AE146" s="482"/>
      <c r="AF146" s="482"/>
      <c r="AG146" s="482"/>
      <c r="AH146" s="482"/>
      <c r="AI146" s="482"/>
      <c r="AJ146" s="496" t="s">
        <v>17</v>
      </c>
      <c r="AK146" s="497"/>
      <c r="AL146" s="497"/>
      <c r="AM146" s="497"/>
      <c r="AN146" s="497"/>
      <c r="AO146" s="497"/>
      <c r="AP146" s="498"/>
      <c r="AQ146" s="477">
        <f>H146*4</f>
        <v>0</v>
      </c>
      <c r="AR146" s="477"/>
      <c r="AS146" s="477"/>
      <c r="AT146" s="477"/>
      <c r="AU146" s="483">
        <f>M146*1</f>
        <v>0</v>
      </c>
      <c r="AV146" s="483"/>
      <c r="AW146" s="483"/>
      <c r="AX146" s="483"/>
      <c r="AY146" s="483">
        <f>H146*R143</f>
        <v>0</v>
      </c>
      <c r="AZ146" s="483"/>
      <c r="BA146" s="483"/>
      <c r="BB146" s="484"/>
    </row>
    <row r="147" spans="1:79" ht="25.5" customHeight="1" x14ac:dyDescent="0.2">
      <c r="A147" s="485" t="s">
        <v>80</v>
      </c>
      <c r="B147" s="486"/>
      <c r="C147" s="486"/>
      <c r="D147" s="486"/>
      <c r="E147" s="486"/>
      <c r="F147" s="486"/>
      <c r="G147" s="487"/>
      <c r="H147" s="488">
        <f>SUM(H143:L146)</f>
        <v>185.18516367509937</v>
      </c>
      <c r="I147" s="488"/>
      <c r="J147" s="488"/>
      <c r="K147" s="488"/>
      <c r="L147" s="488"/>
      <c r="M147" s="488">
        <f>SUM(M143:Q146)</f>
        <v>185.18516367509937</v>
      </c>
      <c r="N147" s="488"/>
      <c r="O147" s="488"/>
      <c r="P147" s="488"/>
      <c r="Q147" s="488"/>
      <c r="R147" s="489">
        <f>R143</f>
        <v>36</v>
      </c>
      <c r="S147" s="489"/>
      <c r="T147" s="489"/>
      <c r="U147" s="489"/>
      <c r="V147" s="490">
        <f>V143</f>
        <v>12</v>
      </c>
      <c r="W147" s="490"/>
      <c r="X147" s="490"/>
      <c r="Y147" s="490"/>
      <c r="Z147" s="490">
        <f>Z143</f>
        <v>1</v>
      </c>
      <c r="AA147" s="490"/>
      <c r="AB147" s="490"/>
      <c r="AC147" s="490"/>
      <c r="AD147" s="488" t="s">
        <v>17</v>
      </c>
      <c r="AE147" s="488"/>
      <c r="AF147" s="488"/>
      <c r="AG147" s="488"/>
      <c r="AH147" s="488"/>
      <c r="AI147" s="488"/>
      <c r="AJ147" s="491" t="s">
        <v>17</v>
      </c>
      <c r="AK147" s="492"/>
      <c r="AL147" s="492"/>
      <c r="AM147" s="492"/>
      <c r="AN147" s="492"/>
      <c r="AO147" s="492"/>
      <c r="AP147" s="493"/>
      <c r="AQ147" s="453">
        <f>SUM(AQ143:AT146)</f>
        <v>740.7406547003975</v>
      </c>
      <c r="AR147" s="453"/>
      <c r="AS147" s="453"/>
      <c r="AT147" s="453"/>
      <c r="AU147" s="453">
        <f>SUM(AU143:AX146)</f>
        <v>185.18516367509937</v>
      </c>
      <c r="AV147" s="453"/>
      <c r="AW147" s="453"/>
      <c r="AX147" s="453"/>
      <c r="AY147" s="453">
        <f>SUM(AY143:BB146)</f>
        <v>6666.6658923035775</v>
      </c>
      <c r="AZ147" s="453"/>
      <c r="BA147" s="453"/>
      <c r="BB147" s="454"/>
    </row>
    <row r="148" spans="1:79" ht="30.75" customHeight="1" x14ac:dyDescent="0.2">
      <c r="A148" s="455" t="s">
        <v>75</v>
      </c>
      <c r="B148" s="456"/>
      <c r="C148" s="456"/>
      <c r="D148" s="456"/>
      <c r="E148" s="456"/>
      <c r="F148" s="456"/>
      <c r="G148" s="215">
        <v>0.35</v>
      </c>
      <c r="H148" s="457">
        <f>H147*G148</f>
        <v>64.814807286284776</v>
      </c>
      <c r="I148" s="457"/>
      <c r="J148" s="457"/>
      <c r="K148" s="457"/>
      <c r="L148" s="457"/>
      <c r="M148" s="457">
        <f>M147*G148</f>
        <v>64.814807286284776</v>
      </c>
      <c r="N148" s="457"/>
      <c r="O148" s="457"/>
      <c r="P148" s="457"/>
      <c r="Q148" s="457"/>
      <c r="R148" s="818">
        <f>R143</f>
        <v>36</v>
      </c>
      <c r="S148" s="819"/>
      <c r="T148" s="819"/>
      <c r="U148" s="820"/>
      <c r="V148" s="821">
        <f>V143</f>
        <v>12</v>
      </c>
      <c r="W148" s="819"/>
      <c r="X148" s="819"/>
      <c r="Y148" s="820"/>
      <c r="Z148" s="821">
        <f>Z143</f>
        <v>1</v>
      </c>
      <c r="AA148" s="819"/>
      <c r="AB148" s="819"/>
      <c r="AC148" s="820"/>
      <c r="AD148" s="462" t="s">
        <v>17</v>
      </c>
      <c r="AE148" s="462"/>
      <c r="AF148" s="462"/>
      <c r="AG148" s="462"/>
      <c r="AH148" s="462"/>
      <c r="AI148" s="462"/>
      <c r="AJ148" s="462" t="s">
        <v>17</v>
      </c>
      <c r="AK148" s="462"/>
      <c r="AL148" s="462"/>
      <c r="AM148" s="462"/>
      <c r="AN148" s="462"/>
      <c r="AO148" s="462"/>
      <c r="AP148" s="462"/>
      <c r="AQ148" s="466">
        <f>AQ147*G148</f>
        <v>259.2592291451391</v>
      </c>
      <c r="AR148" s="466"/>
      <c r="AS148" s="466"/>
      <c r="AT148" s="466"/>
      <c r="AU148" s="466">
        <f>AU147*G148</f>
        <v>64.814807286284776</v>
      </c>
      <c r="AV148" s="466"/>
      <c r="AW148" s="466"/>
      <c r="AX148" s="466"/>
      <c r="AY148" s="466">
        <f>AY147*G148</f>
        <v>2333.333062306252</v>
      </c>
      <c r="AZ148" s="466"/>
      <c r="BA148" s="466"/>
      <c r="BB148" s="467"/>
    </row>
    <row r="149" spans="1:79" ht="30.75" customHeight="1" thickBot="1" x14ac:dyDescent="0.25">
      <c r="A149" s="468" t="s">
        <v>81</v>
      </c>
      <c r="B149" s="469"/>
      <c r="C149" s="469"/>
      <c r="D149" s="469"/>
      <c r="E149" s="469"/>
      <c r="F149" s="469"/>
      <c r="G149" s="470"/>
      <c r="H149" s="464">
        <f>H147+H148</f>
        <v>249.99997096138415</v>
      </c>
      <c r="I149" s="464"/>
      <c r="J149" s="464"/>
      <c r="K149" s="464"/>
      <c r="L149" s="464"/>
      <c r="M149" s="471">
        <f>M147+M148</f>
        <v>249.99997096138415</v>
      </c>
      <c r="N149" s="472"/>
      <c r="O149" s="472"/>
      <c r="P149" s="472"/>
      <c r="Q149" s="473"/>
      <c r="R149" s="825">
        <f>R143</f>
        <v>36</v>
      </c>
      <c r="S149" s="826"/>
      <c r="T149" s="826"/>
      <c r="U149" s="827"/>
      <c r="V149" s="828">
        <f>V143</f>
        <v>12</v>
      </c>
      <c r="W149" s="829"/>
      <c r="X149" s="829"/>
      <c r="Y149" s="830"/>
      <c r="Z149" s="828">
        <f>Z143</f>
        <v>1</v>
      </c>
      <c r="AA149" s="829"/>
      <c r="AB149" s="829"/>
      <c r="AC149" s="830"/>
      <c r="AD149" s="463" t="s">
        <v>17</v>
      </c>
      <c r="AE149" s="463"/>
      <c r="AF149" s="463"/>
      <c r="AG149" s="463"/>
      <c r="AH149" s="463"/>
      <c r="AI149" s="463"/>
      <c r="AJ149" s="463" t="s">
        <v>17</v>
      </c>
      <c r="AK149" s="463"/>
      <c r="AL149" s="463"/>
      <c r="AM149" s="463"/>
      <c r="AN149" s="463"/>
      <c r="AO149" s="463"/>
      <c r="AP149" s="463"/>
      <c r="AQ149" s="464">
        <f>AQ147+AQ148</f>
        <v>999.9998838455366</v>
      </c>
      <c r="AR149" s="464"/>
      <c r="AS149" s="464"/>
      <c r="AT149" s="464"/>
      <c r="AU149" s="464">
        <f>AU147+AU148</f>
        <v>249.99997096138415</v>
      </c>
      <c r="AV149" s="464"/>
      <c r="AW149" s="464"/>
      <c r="AX149" s="464"/>
      <c r="AY149" s="464">
        <f>AY147+AY148</f>
        <v>8999.9989546098295</v>
      </c>
      <c r="AZ149" s="464"/>
      <c r="BA149" s="464"/>
      <c r="BB149" s="465"/>
      <c r="BE149" s="216"/>
      <c r="BF149" s="216"/>
    </row>
    <row r="150" spans="1:79" ht="16.5" customHeight="1" x14ac:dyDescent="0.2">
      <c r="BC150" s="432"/>
      <c r="BD150" s="432"/>
      <c r="BE150" s="216"/>
      <c r="BF150" s="216"/>
      <c r="BG150" s="216"/>
      <c r="BH150" s="216"/>
      <c r="BI150" s="216"/>
    </row>
    <row r="151" spans="1:79" ht="12" customHeight="1" x14ac:dyDescent="0.2">
      <c r="BC151" s="432"/>
      <c r="BD151" s="432"/>
      <c r="BE151" s="216"/>
      <c r="BF151" s="216"/>
    </row>
    <row r="152" spans="1:79" ht="14.25" customHeight="1" x14ac:dyDescent="0.25">
      <c r="B152" s="452" t="s">
        <v>421</v>
      </c>
      <c r="C152" s="452"/>
      <c r="D152" s="452"/>
      <c r="E152" s="452"/>
      <c r="F152" s="452"/>
      <c r="G152" s="452"/>
      <c r="H152" s="452"/>
      <c r="I152" s="452"/>
      <c r="J152" s="452"/>
      <c r="K152" s="452"/>
      <c r="L152" s="452"/>
      <c r="M152" s="452"/>
      <c r="N152" s="452"/>
      <c r="O152" s="452"/>
      <c r="P152" s="452"/>
      <c r="Q152" s="452"/>
      <c r="R152" s="452"/>
      <c r="S152" s="452"/>
      <c r="U152" s="164"/>
      <c r="V152" s="164"/>
      <c r="W152" s="164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M152" s="822" t="s">
        <v>515</v>
      </c>
      <c r="AN152" s="443"/>
      <c r="AO152" s="443"/>
      <c r="AP152" s="443"/>
      <c r="AQ152" s="443"/>
      <c r="AR152" s="443"/>
      <c r="AS152" s="443"/>
      <c r="AT152" s="443"/>
      <c r="AU152" s="443"/>
      <c r="AV152" s="443"/>
      <c r="AW152" s="443"/>
      <c r="AX152" s="443"/>
      <c r="AY152" s="443"/>
      <c r="AZ152" s="443"/>
      <c r="BA152" s="443"/>
      <c r="BB152" s="443"/>
      <c r="BC152" s="432"/>
      <c r="BD152" s="432"/>
      <c r="BE152" s="216"/>
      <c r="BF152" s="216"/>
    </row>
    <row r="153" spans="1:79" ht="8.25" customHeight="1" x14ac:dyDescent="0.2">
      <c r="B153" s="452" t="s">
        <v>78</v>
      </c>
      <c r="C153" s="452"/>
      <c r="D153" s="452"/>
      <c r="E153" s="452"/>
      <c r="F153" s="452"/>
      <c r="G153" s="452"/>
      <c r="H153" s="452"/>
      <c r="I153" s="452"/>
      <c r="J153" s="452"/>
      <c r="K153" s="452"/>
      <c r="L153" s="452"/>
      <c r="M153" s="452"/>
      <c r="N153" s="452"/>
      <c r="O153" s="452"/>
      <c r="P153" s="452"/>
      <c r="Q153" s="452"/>
      <c r="R153" s="452"/>
      <c r="S153" s="452"/>
      <c r="AM153" s="822" t="s">
        <v>418</v>
      </c>
      <c r="AN153" s="822"/>
      <c r="AO153" s="822"/>
      <c r="AP153" s="822"/>
      <c r="AQ153" s="822"/>
      <c r="AR153" s="822"/>
      <c r="AS153" s="822"/>
      <c r="AT153" s="822"/>
      <c r="AU153" s="822"/>
      <c r="AV153" s="822"/>
      <c r="AW153" s="822"/>
      <c r="AX153" s="822"/>
      <c r="AY153" s="822"/>
      <c r="AZ153" s="822"/>
      <c r="BA153" s="822"/>
      <c r="BB153" s="822"/>
      <c r="BC153" s="822"/>
    </row>
    <row r="154" spans="1:79" ht="19.5" customHeight="1" x14ac:dyDescent="0.2">
      <c r="B154" s="452"/>
      <c r="C154" s="452"/>
      <c r="D154" s="452"/>
      <c r="E154" s="452"/>
      <c r="F154" s="452"/>
      <c r="G154" s="452"/>
      <c r="H154" s="452"/>
      <c r="I154" s="452"/>
      <c r="J154" s="452"/>
      <c r="K154" s="452"/>
      <c r="L154" s="452"/>
      <c r="M154" s="452"/>
      <c r="N154" s="452"/>
      <c r="O154" s="452"/>
      <c r="P154" s="452"/>
      <c r="Q154" s="452"/>
      <c r="R154" s="452"/>
      <c r="S154" s="452"/>
      <c r="U154" s="164"/>
      <c r="V154" s="164"/>
      <c r="W154" s="164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M154" s="822"/>
      <c r="AN154" s="822"/>
      <c r="AO154" s="822"/>
      <c r="AP154" s="822"/>
      <c r="AQ154" s="822"/>
      <c r="AR154" s="822"/>
      <c r="AS154" s="822"/>
      <c r="AT154" s="822"/>
      <c r="AU154" s="822"/>
      <c r="AV154" s="822"/>
      <c r="AW154" s="822"/>
      <c r="AX154" s="822"/>
      <c r="AY154" s="822"/>
      <c r="AZ154" s="822"/>
      <c r="BA154" s="822"/>
      <c r="BB154" s="822"/>
      <c r="BC154" s="822"/>
      <c r="BE154" s="432"/>
      <c r="BF154" s="432"/>
      <c r="BG154" s="432"/>
      <c r="BH154" s="432"/>
      <c r="BI154" s="432"/>
      <c r="BJ154" s="432"/>
      <c r="BK154" s="432"/>
      <c r="BL154" s="432"/>
      <c r="BM154" s="432"/>
      <c r="BN154" s="432"/>
      <c r="BO154" s="432"/>
      <c r="BP154" s="432"/>
      <c r="BQ154" s="432"/>
      <c r="BR154" s="432"/>
      <c r="BS154" s="432"/>
      <c r="BT154" s="432"/>
      <c r="BU154" s="432"/>
      <c r="BV154" s="432"/>
      <c r="BW154" s="432"/>
      <c r="BX154" s="432"/>
      <c r="BY154" s="432"/>
      <c r="BZ154" s="432"/>
      <c r="CA154" s="432"/>
    </row>
    <row r="155" spans="1:79" ht="15.75" customHeight="1" x14ac:dyDescent="0.2">
      <c r="BE155" s="432"/>
      <c r="BF155" s="432"/>
      <c r="BG155" s="432"/>
      <c r="BH155" s="433"/>
      <c r="BI155" s="433"/>
      <c r="BJ155" s="433"/>
      <c r="BK155" s="433"/>
      <c r="BL155" s="433"/>
      <c r="BM155" s="311"/>
      <c r="BN155" s="311"/>
      <c r="BO155" s="311"/>
      <c r="BP155" s="311"/>
      <c r="BQ155" s="311"/>
      <c r="BR155" s="311"/>
      <c r="BS155" s="311"/>
      <c r="BT155" s="311"/>
    </row>
    <row r="156" spans="1:79" ht="13.5" customHeight="1" x14ac:dyDescent="0.2">
      <c r="A156" s="219" t="s">
        <v>125</v>
      </c>
      <c r="B156" s="219"/>
      <c r="C156" s="219"/>
      <c r="D156" s="219"/>
      <c r="BE156" s="434"/>
      <c r="BF156" s="432"/>
      <c r="BG156" s="432"/>
      <c r="BH156" s="216"/>
      <c r="BI156" s="432"/>
      <c r="BJ156" s="432"/>
      <c r="BK156" s="432"/>
      <c r="BL156" s="432"/>
      <c r="BM156" s="432"/>
      <c r="BN156" s="432"/>
      <c r="BO156" s="432"/>
      <c r="BP156" s="432"/>
      <c r="BQ156" s="432"/>
      <c r="BR156" s="432"/>
      <c r="BS156" s="432"/>
      <c r="BT156" s="432"/>
    </row>
    <row r="157" spans="1:79" ht="20.25" hidden="1" customHeight="1" x14ac:dyDescent="0.2">
      <c r="A157" s="221"/>
      <c r="B157" s="221"/>
      <c r="C157" s="221"/>
      <c r="D157" s="221"/>
      <c r="E157" s="221"/>
      <c r="F157" s="221"/>
      <c r="G157" s="221"/>
      <c r="H157" s="221"/>
      <c r="I157" s="221"/>
      <c r="J157" s="221"/>
      <c r="K157" s="221"/>
      <c r="L157" s="221"/>
      <c r="M157" s="221"/>
      <c r="N157" s="221"/>
      <c r="BE157" s="432"/>
      <c r="BF157" s="432"/>
      <c r="BG157" s="432"/>
      <c r="BH157" s="216"/>
      <c r="BI157" s="435"/>
      <c r="BJ157" s="435"/>
      <c r="BK157" s="435"/>
      <c r="BL157" s="435"/>
      <c r="BM157" s="435"/>
      <c r="BN157" s="435"/>
      <c r="BO157" s="432"/>
      <c r="BP157" s="432"/>
      <c r="BQ157" s="432"/>
      <c r="BR157" s="432"/>
      <c r="BS157" s="432"/>
      <c r="BT157" s="432"/>
    </row>
    <row r="158" spans="1:79" ht="24" hidden="1" customHeight="1" x14ac:dyDescent="0.25">
      <c r="A158" s="222"/>
      <c r="B158" s="222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22"/>
      <c r="AD158" s="222"/>
      <c r="AE158" s="222"/>
      <c r="AF158" s="222"/>
      <c r="AG158" s="222"/>
      <c r="AH158" s="222"/>
      <c r="AI158" s="222"/>
      <c r="AJ158" s="222"/>
      <c r="AK158" s="222"/>
      <c r="AL158" s="222"/>
      <c r="AM158" s="222"/>
      <c r="AN158" s="222"/>
      <c r="AO158" s="222"/>
      <c r="AP158" s="222"/>
      <c r="AQ158" s="222"/>
      <c r="AR158" s="222"/>
      <c r="AS158" s="222"/>
      <c r="BE158" s="432"/>
      <c r="BF158" s="432"/>
      <c r="BG158" s="432"/>
      <c r="BH158" s="216"/>
      <c r="BI158" s="435"/>
      <c r="BJ158" s="435"/>
      <c r="BK158" s="435"/>
      <c r="BL158" s="435"/>
      <c r="BM158" s="435"/>
      <c r="BN158" s="435"/>
      <c r="BO158" s="435"/>
      <c r="BP158" s="435"/>
      <c r="BQ158" s="435"/>
      <c r="BR158" s="435"/>
      <c r="BS158" s="435"/>
      <c r="BT158" s="435"/>
    </row>
    <row r="159" spans="1:79" ht="8.25" hidden="1" customHeight="1" x14ac:dyDescent="0.2"/>
    <row r="160" spans="1:79" ht="8.25" hidden="1" customHeight="1" x14ac:dyDescent="0.2"/>
    <row r="161" spans="26:79" ht="6.75" hidden="1" customHeight="1" x14ac:dyDescent="0.2"/>
    <row r="162" spans="26:79" ht="21" hidden="1" customHeight="1" x14ac:dyDescent="0.2">
      <c r="Z162" s="223"/>
      <c r="AA162" s="223"/>
      <c r="AB162" s="223"/>
      <c r="AC162" s="223"/>
      <c r="AD162" s="223"/>
      <c r="AE162" s="223"/>
      <c r="AF162" s="223"/>
      <c r="AG162" s="223"/>
      <c r="BE162" s="432" t="s">
        <v>233</v>
      </c>
      <c r="BF162" s="432"/>
      <c r="BG162" s="432"/>
      <c r="BH162" s="432"/>
      <c r="BI162" s="432"/>
      <c r="BJ162" s="432"/>
      <c r="BK162" s="432"/>
      <c r="BL162" s="432"/>
      <c r="BM162" s="432"/>
      <c r="BN162" s="432"/>
      <c r="BO162" s="432"/>
      <c r="BP162" s="432"/>
      <c r="BQ162" s="432"/>
      <c r="BR162" s="432"/>
      <c r="BS162" s="432"/>
      <c r="BT162" s="432"/>
      <c r="BU162" s="432"/>
      <c r="BV162" s="432"/>
      <c r="BW162" s="432"/>
      <c r="BX162" s="432"/>
      <c r="BY162" s="432"/>
      <c r="BZ162" s="432"/>
      <c r="CA162" s="432"/>
    </row>
    <row r="163" spans="26:79" ht="16.5" hidden="1" customHeight="1" x14ac:dyDescent="0.2">
      <c r="BE163" s="432" t="s">
        <v>126</v>
      </c>
      <c r="BF163" s="432"/>
      <c r="BG163" s="432"/>
      <c r="BH163" s="433">
        <f>250*53</f>
        <v>13250</v>
      </c>
      <c r="BI163" s="433"/>
      <c r="BJ163" s="433"/>
      <c r="BK163" s="433"/>
      <c r="BL163" s="433"/>
      <c r="BM163" s="311" t="s">
        <v>127</v>
      </c>
      <c r="BN163" s="311"/>
      <c r="BO163" s="311"/>
      <c r="BP163" s="311"/>
      <c r="BQ163" s="311"/>
      <c r="BR163" s="311"/>
      <c r="BS163" s="311"/>
      <c r="BT163" s="311"/>
    </row>
    <row r="164" spans="26:79" ht="18" hidden="1" customHeight="1" x14ac:dyDescent="0.2">
      <c r="BE164" s="434">
        <v>0.6</v>
      </c>
      <c r="BF164" s="432"/>
      <c r="BG164" s="432"/>
      <c r="BH164" s="216">
        <f>BH163*BE164</f>
        <v>7950</v>
      </c>
      <c r="BI164" s="432" t="s">
        <v>128</v>
      </c>
      <c r="BJ164" s="432"/>
      <c r="BK164" s="432"/>
      <c r="BL164" s="432"/>
      <c r="BM164" s="432"/>
      <c r="BN164" s="432" t="s">
        <v>129</v>
      </c>
      <c r="BO164" s="432"/>
      <c r="BP164" s="432"/>
      <c r="BQ164" s="432"/>
      <c r="BR164" s="432"/>
      <c r="BS164" s="432"/>
      <c r="BT164" s="432"/>
    </row>
    <row r="165" spans="26:79" ht="17.25" hidden="1" customHeight="1" x14ac:dyDescent="0.2">
      <c r="BE165" s="432">
        <v>211</v>
      </c>
      <c r="BF165" s="432"/>
      <c r="BG165" s="432"/>
      <c r="BH165" s="216">
        <f>BH164-BH166</f>
        <v>6105.9907834101377</v>
      </c>
      <c r="BI165" s="435">
        <f>BH165*0.1</f>
        <v>610.59907834101375</v>
      </c>
      <c r="BJ165" s="435"/>
      <c r="BK165" s="435"/>
      <c r="BL165" s="435"/>
      <c r="BM165" s="435"/>
      <c r="BN165" s="435">
        <f>BH165-BI165</f>
        <v>5495.3917050691243</v>
      </c>
      <c r="BO165" s="432"/>
      <c r="BP165" s="432"/>
      <c r="BQ165" s="432"/>
      <c r="BR165" s="432"/>
      <c r="BS165" s="432"/>
      <c r="BT165" s="432"/>
    </row>
    <row r="166" spans="26:79" ht="15.75" hidden="1" customHeight="1" x14ac:dyDescent="0.2">
      <c r="BE166" s="432">
        <v>213</v>
      </c>
      <c r="BF166" s="432"/>
      <c r="BG166" s="432"/>
      <c r="BH166" s="216">
        <f>BH164*30.2/130.2</f>
        <v>1844.0092165898618</v>
      </c>
      <c r="BI166" s="435">
        <f>BI165*30.2%</f>
        <v>184.40092165898614</v>
      </c>
      <c r="BJ166" s="435"/>
      <c r="BK166" s="435"/>
      <c r="BL166" s="435"/>
      <c r="BM166" s="435"/>
      <c r="BN166" s="435">
        <f>BN165*30.2%</f>
        <v>1659.6082949308754</v>
      </c>
      <c r="BO166" s="435"/>
      <c r="BP166" s="435"/>
      <c r="BQ166" s="435"/>
      <c r="BR166" s="435"/>
      <c r="BS166" s="435"/>
      <c r="BT166" s="435"/>
    </row>
    <row r="167" spans="26:79" ht="8.25" hidden="1" customHeight="1" x14ac:dyDescent="0.2"/>
    <row r="168" spans="26:79" ht="8.25" hidden="1" customHeight="1" x14ac:dyDescent="0.2"/>
    <row r="169" spans="26:79" ht="18" hidden="1" customHeight="1" x14ac:dyDescent="0.2">
      <c r="BE169" s="432"/>
      <c r="BF169" s="432"/>
      <c r="BG169" s="432"/>
      <c r="BH169" s="432"/>
      <c r="BI169" s="432"/>
      <c r="BJ169" s="432"/>
      <c r="BK169" s="432"/>
      <c r="BL169" s="432"/>
      <c r="BM169" s="432"/>
      <c r="BN169" s="432"/>
      <c r="BO169" s="432"/>
      <c r="BP169" s="432"/>
      <c r="BQ169" s="432"/>
      <c r="BR169" s="432"/>
      <c r="BS169" s="432"/>
      <c r="BT169" s="432"/>
      <c r="BU169" s="432"/>
      <c r="BV169" s="432"/>
      <c r="BW169" s="432"/>
      <c r="BX169" s="432"/>
      <c r="BY169" s="432"/>
      <c r="BZ169" s="432"/>
      <c r="CA169" s="432"/>
    </row>
    <row r="170" spans="26:79" ht="19.5" hidden="1" customHeight="1" x14ac:dyDescent="0.2">
      <c r="BE170" s="432" t="s">
        <v>241</v>
      </c>
      <c r="BF170" s="432"/>
      <c r="BG170" s="432"/>
      <c r="BH170" s="432"/>
      <c r="BI170" s="432"/>
      <c r="BJ170" s="432"/>
      <c r="BK170" s="432"/>
      <c r="BL170" s="432"/>
      <c r="BM170" s="432"/>
      <c r="BN170" s="432"/>
      <c r="BO170" s="432"/>
      <c r="BP170" s="432"/>
      <c r="BQ170" s="432"/>
      <c r="BR170" s="432"/>
      <c r="BS170" s="432"/>
      <c r="BT170" s="432"/>
      <c r="BU170" s="432"/>
      <c r="BV170" s="432"/>
      <c r="BW170" s="432"/>
      <c r="BX170" s="432"/>
      <c r="BY170" s="432"/>
      <c r="BZ170" s="432"/>
      <c r="CA170" s="432"/>
    </row>
    <row r="171" spans="26:79" ht="17.25" hidden="1" customHeight="1" x14ac:dyDescent="0.2">
      <c r="BE171" s="432" t="s">
        <v>126</v>
      </c>
      <c r="BF171" s="432"/>
      <c r="BG171" s="432"/>
      <c r="BH171" s="433">
        <f>250*54</f>
        <v>13500</v>
      </c>
      <c r="BI171" s="433"/>
      <c r="BJ171" s="433"/>
      <c r="BK171" s="433"/>
      <c r="BL171" s="433"/>
      <c r="BM171" s="311" t="s">
        <v>127</v>
      </c>
      <c r="BN171" s="311"/>
      <c r="BO171" s="311"/>
      <c r="BP171" s="311"/>
      <c r="BQ171" s="311"/>
      <c r="BR171" s="311"/>
      <c r="BS171" s="311"/>
      <c r="BT171" s="311"/>
    </row>
    <row r="172" spans="26:79" ht="17.25" hidden="1" customHeight="1" x14ac:dyDescent="0.2">
      <c r="BE172" s="434">
        <v>0.6</v>
      </c>
      <c r="BF172" s="432"/>
      <c r="BG172" s="432"/>
      <c r="BH172" s="216">
        <f>BH171*BE172</f>
        <v>8100</v>
      </c>
      <c r="BI172" s="432" t="s">
        <v>128</v>
      </c>
      <c r="BJ172" s="432"/>
      <c r="BK172" s="432"/>
      <c r="BL172" s="432"/>
      <c r="BM172" s="432"/>
      <c r="BN172" s="432" t="s">
        <v>129</v>
      </c>
      <c r="BO172" s="432"/>
      <c r="BP172" s="432"/>
      <c r="BQ172" s="432"/>
      <c r="BR172" s="432"/>
      <c r="BS172" s="432"/>
      <c r="BT172" s="432"/>
    </row>
    <row r="173" spans="26:79" ht="15.75" hidden="1" customHeight="1" x14ac:dyDescent="0.2">
      <c r="BE173" s="432">
        <v>211</v>
      </c>
      <c r="BF173" s="432"/>
      <c r="BG173" s="432"/>
      <c r="BH173" s="216">
        <f>BH172-BH174</f>
        <v>6221.1981566820277</v>
      </c>
      <c r="BI173" s="435">
        <f>BH173*0.1</f>
        <v>622.11981566820282</v>
      </c>
      <c r="BJ173" s="435"/>
      <c r="BK173" s="435"/>
      <c r="BL173" s="435"/>
      <c r="BM173" s="435"/>
      <c r="BN173" s="435">
        <f>BH173-BI173</f>
        <v>5599.0783410138247</v>
      </c>
      <c r="BO173" s="432"/>
      <c r="BP173" s="432"/>
      <c r="BQ173" s="432"/>
      <c r="BR173" s="432"/>
      <c r="BS173" s="432"/>
      <c r="BT173" s="432"/>
    </row>
    <row r="174" spans="26:79" ht="13.5" hidden="1" customHeight="1" x14ac:dyDescent="0.2">
      <c r="BE174" s="432">
        <v>213</v>
      </c>
      <c r="BF174" s="432"/>
      <c r="BG174" s="432"/>
      <c r="BH174" s="216">
        <f>BH172*30.2/130.2</f>
        <v>1878.8018433179725</v>
      </c>
      <c r="BI174" s="435">
        <f>BI173*30.2%</f>
        <v>187.88018433179724</v>
      </c>
      <c r="BJ174" s="435"/>
      <c r="BK174" s="435"/>
      <c r="BL174" s="435"/>
      <c r="BM174" s="435"/>
      <c r="BN174" s="435">
        <f>BN173*30.2%</f>
        <v>1690.9216589861751</v>
      </c>
      <c r="BO174" s="435"/>
      <c r="BP174" s="435"/>
      <c r="BQ174" s="435"/>
      <c r="BR174" s="435"/>
      <c r="BS174" s="435"/>
      <c r="BT174" s="435"/>
    </row>
    <row r="175" spans="26:79" ht="8.25" hidden="1" customHeight="1" x14ac:dyDescent="0.2"/>
    <row r="176" spans="26:79" ht="8.25" hidden="1" customHeight="1" x14ac:dyDescent="0.2"/>
    <row r="177" spans="57:79" ht="15.75" hidden="1" customHeight="1" x14ac:dyDescent="0.2">
      <c r="BE177" s="432"/>
      <c r="BF177" s="432"/>
      <c r="BG177" s="432"/>
      <c r="BH177" s="432"/>
      <c r="BI177" s="432"/>
      <c r="BJ177" s="432"/>
      <c r="BK177" s="432"/>
      <c r="BL177" s="432"/>
      <c r="BM177" s="432"/>
      <c r="BN177" s="432"/>
      <c r="BO177" s="432"/>
      <c r="BP177" s="432"/>
      <c r="BQ177" s="432"/>
      <c r="BR177" s="432"/>
      <c r="BS177" s="432"/>
      <c r="BT177" s="432"/>
      <c r="BU177" s="432"/>
      <c r="BV177" s="432"/>
      <c r="BW177" s="432"/>
      <c r="BX177" s="432"/>
      <c r="BY177" s="432"/>
      <c r="BZ177" s="432"/>
      <c r="CA177" s="432"/>
    </row>
    <row r="178" spans="57:79" ht="12.75" hidden="1" customHeight="1" x14ac:dyDescent="0.2">
      <c r="BE178" s="432" t="s">
        <v>164</v>
      </c>
      <c r="BF178" s="432"/>
      <c r="BG178" s="432"/>
      <c r="BH178" s="432"/>
      <c r="BI178" s="432"/>
      <c r="BJ178" s="432"/>
      <c r="BK178" s="432"/>
      <c r="BL178" s="432"/>
      <c r="BM178" s="432"/>
      <c r="BN178" s="432"/>
      <c r="BO178" s="432"/>
      <c r="BP178" s="432"/>
      <c r="BQ178" s="432"/>
      <c r="BR178" s="432"/>
      <c r="BS178" s="432"/>
      <c r="BT178" s="432"/>
      <c r="BU178" s="432"/>
      <c r="BV178" s="432"/>
      <c r="BW178" s="432"/>
      <c r="BX178" s="432"/>
      <c r="BY178" s="432"/>
      <c r="BZ178" s="432"/>
      <c r="CA178" s="432"/>
    </row>
    <row r="179" spans="57:79" ht="16.5" hidden="1" customHeight="1" x14ac:dyDescent="0.2">
      <c r="BE179" s="432" t="s">
        <v>126</v>
      </c>
      <c r="BF179" s="432"/>
      <c r="BG179" s="432"/>
      <c r="BH179" s="433">
        <f>125*7</f>
        <v>875</v>
      </c>
      <c r="BI179" s="433"/>
      <c r="BJ179" s="433"/>
      <c r="BK179" s="433"/>
      <c r="BL179" s="433"/>
      <c r="BM179" s="311" t="s">
        <v>127</v>
      </c>
      <c r="BN179" s="311"/>
      <c r="BO179" s="311"/>
      <c r="BP179" s="311"/>
      <c r="BQ179" s="311"/>
      <c r="BR179" s="311"/>
      <c r="BS179" s="311"/>
      <c r="BT179" s="311"/>
    </row>
    <row r="180" spans="57:79" ht="16.5" hidden="1" customHeight="1" x14ac:dyDescent="0.2">
      <c r="BE180" s="434">
        <v>0.6</v>
      </c>
      <c r="BF180" s="432"/>
      <c r="BG180" s="432"/>
      <c r="BH180" s="216">
        <f>BH179*BE180</f>
        <v>525</v>
      </c>
      <c r="BI180" s="432" t="s">
        <v>128</v>
      </c>
      <c r="BJ180" s="432"/>
      <c r="BK180" s="432"/>
      <c r="BL180" s="432"/>
      <c r="BM180" s="432"/>
      <c r="BN180" s="432" t="s">
        <v>129</v>
      </c>
      <c r="BO180" s="432"/>
      <c r="BP180" s="432"/>
      <c r="BQ180" s="432"/>
      <c r="BR180" s="432"/>
      <c r="BS180" s="432"/>
      <c r="BT180" s="432"/>
    </row>
    <row r="181" spans="57:79" ht="15" hidden="1" customHeight="1" x14ac:dyDescent="0.2">
      <c r="BE181" s="432">
        <v>211</v>
      </c>
      <c r="BF181" s="432"/>
      <c r="BG181" s="432"/>
      <c r="BH181" s="216">
        <f>BH180-BH182</f>
        <v>403.22580645161293</v>
      </c>
      <c r="BI181" s="435">
        <f>BH181*0.1</f>
        <v>40.322580645161295</v>
      </c>
      <c r="BJ181" s="435"/>
      <c r="BK181" s="435"/>
      <c r="BL181" s="435"/>
      <c r="BM181" s="435"/>
      <c r="BN181" s="435">
        <f>BH181-BI181</f>
        <v>362.90322580645164</v>
      </c>
      <c r="BO181" s="432"/>
      <c r="BP181" s="432"/>
      <c r="BQ181" s="432"/>
      <c r="BR181" s="432"/>
      <c r="BS181" s="432"/>
      <c r="BT181" s="432"/>
    </row>
    <row r="182" spans="57:79" ht="16.5" hidden="1" customHeight="1" x14ac:dyDescent="0.2">
      <c r="BE182" s="432">
        <v>213</v>
      </c>
      <c r="BF182" s="432"/>
      <c r="BG182" s="432"/>
      <c r="BH182" s="216">
        <f>BH180*30.2/130.2</f>
        <v>121.7741935483871</v>
      </c>
      <c r="BI182" s="435">
        <f>BI181*30.2%</f>
        <v>12.17741935483871</v>
      </c>
      <c r="BJ182" s="435"/>
      <c r="BK182" s="435"/>
      <c r="BL182" s="435"/>
      <c r="BM182" s="435"/>
      <c r="BN182" s="435">
        <f>BN181*30.2%</f>
        <v>109.5967741935484</v>
      </c>
      <c r="BO182" s="435"/>
      <c r="BP182" s="435"/>
      <c r="BQ182" s="435"/>
      <c r="BR182" s="435"/>
      <c r="BS182" s="435"/>
      <c r="BT182" s="435"/>
    </row>
    <row r="183" spans="57:79" ht="8.25" hidden="1" customHeight="1" x14ac:dyDescent="0.2"/>
    <row r="184" spans="57:79" ht="8.25" hidden="1" customHeight="1" x14ac:dyDescent="0.2"/>
    <row r="185" spans="57:79" ht="15" hidden="1" customHeight="1" x14ac:dyDescent="0.2">
      <c r="BE185" s="432"/>
      <c r="BF185" s="432"/>
      <c r="BG185" s="432"/>
      <c r="BH185" s="432"/>
      <c r="BI185" s="432"/>
      <c r="BJ185" s="432"/>
      <c r="BK185" s="432"/>
      <c r="BL185" s="432"/>
      <c r="BM185" s="432"/>
      <c r="BN185" s="432"/>
      <c r="BO185" s="432"/>
      <c r="BP185" s="432"/>
      <c r="BQ185" s="432"/>
      <c r="BR185" s="432"/>
      <c r="BS185" s="432"/>
      <c r="BT185" s="432"/>
      <c r="BU185" s="432"/>
      <c r="BV185" s="432"/>
      <c r="BW185" s="432"/>
      <c r="BX185" s="432"/>
      <c r="BY185" s="432"/>
      <c r="BZ185" s="432"/>
      <c r="CA185" s="432"/>
    </row>
    <row r="186" spans="57:79" ht="13.5" hidden="1" customHeight="1" x14ac:dyDescent="0.2">
      <c r="BE186" s="432" t="s">
        <v>174</v>
      </c>
      <c r="BF186" s="432"/>
      <c r="BG186" s="432"/>
      <c r="BH186" s="432"/>
      <c r="BI186" s="432"/>
      <c r="BJ186" s="432"/>
      <c r="BK186" s="432"/>
      <c r="BL186" s="432"/>
      <c r="BM186" s="432"/>
      <c r="BN186" s="432"/>
      <c r="BO186" s="432"/>
      <c r="BP186" s="432"/>
      <c r="BQ186" s="432"/>
      <c r="BR186" s="432"/>
      <c r="BS186" s="432"/>
      <c r="BT186" s="432"/>
      <c r="BU186" s="432"/>
      <c r="BV186" s="432"/>
      <c r="BW186" s="432"/>
      <c r="BX186" s="432"/>
      <c r="BY186" s="432"/>
      <c r="BZ186" s="432"/>
      <c r="CA186" s="432"/>
    </row>
    <row r="187" spans="57:79" ht="15" hidden="1" customHeight="1" x14ac:dyDescent="0.2">
      <c r="BE187" s="432" t="s">
        <v>126</v>
      </c>
      <c r="BF187" s="432"/>
      <c r="BG187" s="432"/>
      <c r="BH187" s="433">
        <f>125*16</f>
        <v>2000</v>
      </c>
      <c r="BI187" s="433"/>
      <c r="BJ187" s="433"/>
      <c r="BK187" s="433"/>
      <c r="BL187" s="433"/>
      <c r="BM187" s="311" t="s">
        <v>127</v>
      </c>
      <c r="BN187" s="311"/>
      <c r="BO187" s="311"/>
      <c r="BP187" s="311"/>
      <c r="BQ187" s="311"/>
      <c r="BR187" s="311"/>
      <c r="BS187" s="311"/>
      <c r="BT187" s="311"/>
    </row>
    <row r="188" spans="57:79" ht="16.5" hidden="1" customHeight="1" x14ac:dyDescent="0.2">
      <c r="BE188" s="434">
        <v>0.6</v>
      </c>
      <c r="BF188" s="432"/>
      <c r="BG188" s="432"/>
      <c r="BH188" s="216">
        <f>BH187*BE188</f>
        <v>1200</v>
      </c>
      <c r="BI188" s="432" t="s">
        <v>128</v>
      </c>
      <c r="BJ188" s="432"/>
      <c r="BK188" s="432"/>
      <c r="BL188" s="432"/>
      <c r="BM188" s="432"/>
      <c r="BN188" s="432" t="s">
        <v>129</v>
      </c>
      <c r="BO188" s="432"/>
      <c r="BP188" s="432"/>
      <c r="BQ188" s="432"/>
      <c r="BR188" s="432"/>
      <c r="BS188" s="432"/>
      <c r="BT188" s="432"/>
    </row>
    <row r="189" spans="57:79" ht="16.5" hidden="1" customHeight="1" x14ac:dyDescent="0.2">
      <c r="BE189" s="432">
        <v>211</v>
      </c>
      <c r="BF189" s="432"/>
      <c r="BG189" s="432"/>
      <c r="BH189" s="216">
        <f>BH188-BH190</f>
        <v>921.65898617511516</v>
      </c>
      <c r="BI189" s="435">
        <f>BH189*0.1</f>
        <v>92.165898617511516</v>
      </c>
      <c r="BJ189" s="435"/>
      <c r="BK189" s="435"/>
      <c r="BL189" s="435"/>
      <c r="BM189" s="435"/>
      <c r="BN189" s="435">
        <f>BH189-BI189</f>
        <v>829.49308755760364</v>
      </c>
      <c r="BO189" s="432"/>
      <c r="BP189" s="432"/>
      <c r="BQ189" s="432"/>
      <c r="BR189" s="432"/>
      <c r="BS189" s="432"/>
      <c r="BT189" s="432"/>
    </row>
    <row r="190" spans="57:79" ht="16.5" hidden="1" customHeight="1" x14ac:dyDescent="0.2">
      <c r="BE190" s="432">
        <v>213</v>
      </c>
      <c r="BF190" s="432"/>
      <c r="BG190" s="432"/>
      <c r="BH190" s="216">
        <f>BH188*30.2/130.2</f>
        <v>278.34101382488484</v>
      </c>
      <c r="BI190" s="435">
        <f>BI189*30.2%</f>
        <v>27.834101382488477</v>
      </c>
      <c r="BJ190" s="435"/>
      <c r="BK190" s="435"/>
      <c r="BL190" s="435"/>
      <c r="BM190" s="435"/>
      <c r="BN190" s="435">
        <f>BN189*30.2%</f>
        <v>250.5069124423963</v>
      </c>
      <c r="BO190" s="435"/>
      <c r="BP190" s="435"/>
      <c r="BQ190" s="435"/>
      <c r="BR190" s="435"/>
      <c r="BS190" s="435"/>
      <c r="BT190" s="435"/>
    </row>
    <row r="191" spans="57:79" ht="8.25" hidden="1" customHeight="1" x14ac:dyDescent="0.2"/>
    <row r="192" spans="57:79" ht="8.25" hidden="1" customHeight="1" x14ac:dyDescent="0.2"/>
    <row r="193" spans="57:79" ht="16.5" hidden="1" customHeight="1" x14ac:dyDescent="0.2">
      <c r="BE193" s="432" t="s">
        <v>178</v>
      </c>
      <c r="BF193" s="432"/>
      <c r="BG193" s="432"/>
      <c r="BH193" s="432"/>
      <c r="BI193" s="432"/>
      <c r="BJ193" s="432"/>
      <c r="BK193" s="432"/>
      <c r="BL193" s="432"/>
      <c r="BM193" s="432"/>
      <c r="BN193" s="432"/>
      <c r="BO193" s="432"/>
      <c r="BP193" s="432"/>
      <c r="BQ193" s="432"/>
      <c r="BR193" s="432"/>
      <c r="BS193" s="432"/>
      <c r="BT193" s="432"/>
      <c r="BU193" s="432"/>
      <c r="BV193" s="432"/>
      <c r="BW193" s="432"/>
      <c r="BX193" s="432"/>
      <c r="BY193" s="432"/>
      <c r="BZ193" s="432"/>
      <c r="CA193" s="432"/>
    </row>
    <row r="194" spans="57:79" ht="18" hidden="1" customHeight="1" x14ac:dyDescent="0.2">
      <c r="BE194" s="432" t="s">
        <v>126</v>
      </c>
      <c r="BF194" s="432"/>
      <c r="BG194" s="432"/>
      <c r="BH194" s="433">
        <f>125*9</f>
        <v>1125</v>
      </c>
      <c r="BI194" s="433"/>
      <c r="BJ194" s="433"/>
      <c r="BK194" s="433"/>
      <c r="BL194" s="433"/>
      <c r="BM194" s="311" t="s">
        <v>127</v>
      </c>
      <c r="BN194" s="311"/>
      <c r="BO194" s="311"/>
      <c r="BP194" s="311"/>
      <c r="BQ194" s="311"/>
      <c r="BR194" s="311"/>
      <c r="BS194" s="311"/>
      <c r="BT194" s="311"/>
    </row>
    <row r="195" spans="57:79" ht="16.5" hidden="1" customHeight="1" x14ac:dyDescent="0.2">
      <c r="BE195" s="434">
        <v>0.6</v>
      </c>
      <c r="BF195" s="432"/>
      <c r="BG195" s="432"/>
      <c r="BH195" s="216">
        <f>BH194*BE195</f>
        <v>675</v>
      </c>
      <c r="BI195" s="432" t="s">
        <v>128</v>
      </c>
      <c r="BJ195" s="432"/>
      <c r="BK195" s="432"/>
      <c r="BL195" s="432"/>
      <c r="BM195" s="432"/>
      <c r="BN195" s="432" t="s">
        <v>129</v>
      </c>
      <c r="BO195" s="432"/>
      <c r="BP195" s="432"/>
      <c r="BQ195" s="432"/>
      <c r="BR195" s="432"/>
      <c r="BS195" s="432"/>
      <c r="BT195" s="432"/>
    </row>
    <row r="196" spans="57:79" ht="17.25" hidden="1" customHeight="1" x14ac:dyDescent="0.2">
      <c r="BE196" s="432">
        <v>211</v>
      </c>
      <c r="BF196" s="432"/>
      <c r="BG196" s="432"/>
      <c r="BH196" s="216">
        <f>BH195-BH197</f>
        <v>518.43317972350223</v>
      </c>
      <c r="BI196" s="435">
        <f>BH196*0.1</f>
        <v>51.843317972350228</v>
      </c>
      <c r="BJ196" s="435"/>
      <c r="BK196" s="435"/>
      <c r="BL196" s="435"/>
      <c r="BM196" s="435"/>
      <c r="BN196" s="435">
        <f>BH196-BI196</f>
        <v>466.589861751152</v>
      </c>
      <c r="BO196" s="432"/>
      <c r="BP196" s="432"/>
      <c r="BQ196" s="432"/>
      <c r="BR196" s="432"/>
      <c r="BS196" s="432"/>
      <c r="BT196" s="432"/>
    </row>
    <row r="197" spans="57:79" ht="18" hidden="1" customHeight="1" x14ac:dyDescent="0.2">
      <c r="BE197" s="432">
        <v>213</v>
      </c>
      <c r="BF197" s="432"/>
      <c r="BG197" s="432"/>
      <c r="BH197" s="216">
        <f>BH195*30.2/130.2</f>
        <v>156.56682027649771</v>
      </c>
      <c r="BI197" s="435">
        <f>BI196*30.2%</f>
        <v>15.656682027649769</v>
      </c>
      <c r="BJ197" s="435"/>
      <c r="BK197" s="435"/>
      <c r="BL197" s="435"/>
      <c r="BM197" s="435"/>
      <c r="BN197" s="435">
        <f>BN196*30.2%</f>
        <v>140.91013824884789</v>
      </c>
      <c r="BO197" s="435"/>
      <c r="BP197" s="435"/>
      <c r="BQ197" s="435"/>
      <c r="BR197" s="435"/>
      <c r="BS197" s="435"/>
      <c r="BT197" s="435"/>
    </row>
    <row r="198" spans="57:79" ht="8.25" hidden="1" customHeight="1" x14ac:dyDescent="0.2"/>
    <row r="199" spans="57:79" ht="8.25" hidden="1" customHeight="1" x14ac:dyDescent="0.2"/>
    <row r="200" spans="57:79" ht="8.25" hidden="1" customHeight="1" x14ac:dyDescent="0.2"/>
    <row r="201" spans="57:79" ht="18.75" hidden="1" customHeight="1" x14ac:dyDescent="0.2">
      <c r="BE201" s="432" t="s">
        <v>188</v>
      </c>
      <c r="BF201" s="432"/>
      <c r="BG201" s="432"/>
      <c r="BH201" s="432"/>
      <c r="BI201" s="432"/>
      <c r="BJ201" s="432"/>
      <c r="BK201" s="432"/>
      <c r="BL201" s="432"/>
      <c r="BM201" s="432"/>
      <c r="BN201" s="432"/>
      <c r="BO201" s="432"/>
      <c r="BP201" s="432"/>
      <c r="BQ201" s="432"/>
      <c r="BR201" s="432"/>
      <c r="BS201" s="432"/>
      <c r="BT201" s="432"/>
      <c r="BU201" s="432"/>
      <c r="BV201" s="432"/>
      <c r="BW201" s="432"/>
      <c r="BX201" s="432"/>
      <c r="BY201" s="432"/>
      <c r="BZ201" s="432"/>
      <c r="CA201" s="432"/>
    </row>
    <row r="202" spans="57:79" ht="18.75" hidden="1" customHeight="1" x14ac:dyDescent="0.2">
      <c r="BE202" s="432" t="s">
        <v>126</v>
      </c>
      <c r="BF202" s="432"/>
      <c r="BG202" s="432"/>
      <c r="BH202" s="433">
        <f>125*4</f>
        <v>500</v>
      </c>
      <c r="BI202" s="433"/>
      <c r="BJ202" s="433"/>
      <c r="BK202" s="433"/>
      <c r="BL202" s="433"/>
      <c r="BM202" s="311" t="s">
        <v>127</v>
      </c>
      <c r="BN202" s="311"/>
      <c r="BO202" s="311"/>
      <c r="BP202" s="311"/>
      <c r="BQ202" s="311"/>
      <c r="BR202" s="311"/>
      <c r="BS202" s="311"/>
      <c r="BT202" s="311"/>
    </row>
    <row r="203" spans="57:79" ht="20.25" hidden="1" customHeight="1" x14ac:dyDescent="0.2">
      <c r="BE203" s="434">
        <v>0.6</v>
      </c>
      <c r="BF203" s="432"/>
      <c r="BG203" s="432"/>
      <c r="BH203" s="216">
        <f>BH202*BE203</f>
        <v>300</v>
      </c>
      <c r="BI203" s="432" t="s">
        <v>128</v>
      </c>
      <c r="BJ203" s="432"/>
      <c r="BK203" s="432"/>
      <c r="BL203" s="432"/>
      <c r="BM203" s="432"/>
      <c r="BN203" s="432" t="s">
        <v>129</v>
      </c>
      <c r="BO203" s="432"/>
      <c r="BP203" s="432"/>
      <c r="BQ203" s="432"/>
      <c r="BR203" s="432"/>
      <c r="BS203" s="432"/>
      <c r="BT203" s="432"/>
    </row>
    <row r="204" spans="57:79" ht="22.5" hidden="1" customHeight="1" x14ac:dyDescent="0.2">
      <c r="BE204" s="432">
        <v>211</v>
      </c>
      <c r="BF204" s="432"/>
      <c r="BG204" s="432"/>
      <c r="BH204" s="216">
        <f>BH203-BH205</f>
        <v>230.41474654377879</v>
      </c>
      <c r="BI204" s="435">
        <f>BH204*0.1</f>
        <v>23.041474654377879</v>
      </c>
      <c r="BJ204" s="435"/>
      <c r="BK204" s="435"/>
      <c r="BL204" s="435"/>
      <c r="BM204" s="435"/>
      <c r="BN204" s="435">
        <f>BH204-BI204</f>
        <v>207.37327188940091</v>
      </c>
      <c r="BO204" s="432"/>
      <c r="BP204" s="432"/>
      <c r="BQ204" s="432"/>
      <c r="BR204" s="432"/>
      <c r="BS204" s="432"/>
      <c r="BT204" s="432"/>
    </row>
    <row r="205" spans="57:79" ht="21" hidden="1" customHeight="1" x14ac:dyDescent="0.2">
      <c r="BE205" s="432">
        <v>213</v>
      </c>
      <c r="BF205" s="432"/>
      <c r="BG205" s="432"/>
      <c r="BH205" s="216">
        <f>BH203*30.2/130.2</f>
        <v>69.58525345622121</v>
      </c>
      <c r="BI205" s="435">
        <f>BI204*30.2%</f>
        <v>6.9585253456221192</v>
      </c>
      <c r="BJ205" s="435"/>
      <c r="BK205" s="435"/>
      <c r="BL205" s="435"/>
      <c r="BM205" s="435"/>
      <c r="BN205" s="435">
        <f>BN204*30.2%</f>
        <v>62.626728110599075</v>
      </c>
      <c r="BO205" s="435"/>
      <c r="BP205" s="435"/>
      <c r="BQ205" s="435"/>
      <c r="BR205" s="435"/>
      <c r="BS205" s="435"/>
      <c r="BT205" s="435"/>
    </row>
    <row r="206" spans="57:79" ht="8.25" hidden="1" customHeight="1" x14ac:dyDescent="0.2"/>
    <row r="207" spans="57:79" ht="8.25" hidden="1" customHeight="1" x14ac:dyDescent="0.2"/>
    <row r="208" spans="57:79" ht="8.25" hidden="1" customHeight="1" x14ac:dyDescent="0.2"/>
    <row r="209" spans="57:79" ht="13.5" hidden="1" customHeight="1" x14ac:dyDescent="0.2">
      <c r="BE209" s="432" t="s">
        <v>268</v>
      </c>
      <c r="BF209" s="432"/>
      <c r="BG209" s="432"/>
      <c r="BH209" s="432"/>
      <c r="BI209" s="432"/>
      <c r="BJ209" s="432"/>
      <c r="BK209" s="432"/>
      <c r="BL209" s="432"/>
      <c r="BM209" s="432"/>
      <c r="BN209" s="432"/>
      <c r="BO209" s="432"/>
      <c r="BP209" s="432"/>
      <c r="BQ209" s="432"/>
      <c r="BR209" s="432"/>
      <c r="BS209" s="432"/>
      <c r="BT209" s="432"/>
      <c r="BU209" s="432"/>
      <c r="BV209" s="432"/>
      <c r="BW209" s="432"/>
      <c r="BX209" s="432"/>
      <c r="BY209" s="432"/>
      <c r="BZ209" s="432"/>
      <c r="CA209" s="432"/>
    </row>
    <row r="210" spans="57:79" ht="12.75" hidden="1" customHeight="1" x14ac:dyDescent="0.2">
      <c r="BE210" s="432" t="s">
        <v>126</v>
      </c>
      <c r="BF210" s="432"/>
      <c r="BG210" s="432"/>
      <c r="BH210" s="433">
        <f>250*0</f>
        <v>0</v>
      </c>
      <c r="BI210" s="433"/>
      <c r="BJ210" s="433"/>
      <c r="BK210" s="433"/>
      <c r="BL210" s="433"/>
      <c r="BM210" s="311" t="s">
        <v>127</v>
      </c>
      <c r="BN210" s="311"/>
      <c r="BO210" s="311"/>
      <c r="BP210" s="311"/>
      <c r="BQ210" s="311"/>
      <c r="BR210" s="311"/>
      <c r="BS210" s="311"/>
      <c r="BT210" s="311"/>
    </row>
    <row r="211" spans="57:79" ht="17.25" hidden="1" customHeight="1" x14ac:dyDescent="0.2">
      <c r="BE211" s="434">
        <v>0.6</v>
      </c>
      <c r="BF211" s="432"/>
      <c r="BG211" s="432"/>
      <c r="BH211" s="216">
        <f>BH210*BE211</f>
        <v>0</v>
      </c>
      <c r="BI211" s="432" t="s">
        <v>128</v>
      </c>
      <c r="BJ211" s="432"/>
      <c r="BK211" s="432"/>
      <c r="BL211" s="432"/>
      <c r="BM211" s="432"/>
      <c r="BN211" s="432" t="s">
        <v>129</v>
      </c>
      <c r="BO211" s="432"/>
      <c r="BP211" s="432"/>
      <c r="BQ211" s="432"/>
      <c r="BR211" s="432"/>
      <c r="BS211" s="432"/>
      <c r="BT211" s="432"/>
    </row>
    <row r="212" spans="57:79" ht="16.5" hidden="1" customHeight="1" x14ac:dyDescent="0.2">
      <c r="BE212" s="432">
        <v>211</v>
      </c>
      <c r="BF212" s="432"/>
      <c r="BG212" s="432"/>
      <c r="BH212" s="216">
        <f>BH211-BH213</f>
        <v>0</v>
      </c>
      <c r="BI212" s="435">
        <f>BH212*0.1</f>
        <v>0</v>
      </c>
      <c r="BJ212" s="435"/>
      <c r="BK212" s="435"/>
      <c r="BL212" s="435"/>
      <c r="BM212" s="435"/>
      <c r="BN212" s="435">
        <f>BH212-BI212</f>
        <v>0</v>
      </c>
      <c r="BO212" s="432"/>
      <c r="BP212" s="432"/>
      <c r="BQ212" s="432"/>
      <c r="BR212" s="432"/>
      <c r="BS212" s="432"/>
      <c r="BT212" s="432"/>
    </row>
    <row r="213" spans="57:79" ht="13.5" hidden="1" customHeight="1" x14ac:dyDescent="0.2">
      <c r="BE213" s="432">
        <v>213</v>
      </c>
      <c r="BF213" s="432"/>
      <c r="BG213" s="432"/>
      <c r="BH213" s="216">
        <f>BH211*30.2/130.2</f>
        <v>0</v>
      </c>
      <c r="BI213" s="435">
        <f>BI212*30.2%</f>
        <v>0</v>
      </c>
      <c r="BJ213" s="435"/>
      <c r="BK213" s="435"/>
      <c r="BL213" s="435"/>
      <c r="BM213" s="435"/>
      <c r="BN213" s="435">
        <f>BN212*30.2%</f>
        <v>0</v>
      </c>
      <c r="BO213" s="435"/>
      <c r="BP213" s="435"/>
      <c r="BQ213" s="435"/>
      <c r="BR213" s="435"/>
      <c r="BS213" s="435"/>
      <c r="BT213" s="435"/>
    </row>
    <row r="214" spans="57:79" ht="15" hidden="1" customHeight="1" x14ac:dyDescent="0.2"/>
    <row r="215" spans="57:79" ht="8.25" hidden="1" customHeight="1" x14ac:dyDescent="0.2"/>
    <row r="216" spans="57:79" ht="12.75" hidden="1" customHeight="1" x14ac:dyDescent="0.2">
      <c r="BE216" s="432" t="s">
        <v>283</v>
      </c>
      <c r="BF216" s="432"/>
      <c r="BG216" s="432"/>
      <c r="BH216" s="432"/>
      <c r="BI216" s="432"/>
      <c r="BJ216" s="432"/>
      <c r="BK216" s="432"/>
      <c r="BL216" s="432"/>
      <c r="BM216" s="432"/>
      <c r="BN216" s="432"/>
      <c r="BO216" s="432"/>
      <c r="BP216" s="432"/>
      <c r="BQ216" s="432"/>
      <c r="BR216" s="432"/>
      <c r="BS216" s="432"/>
      <c r="BT216" s="432"/>
      <c r="BU216" s="432"/>
      <c r="BV216" s="432"/>
      <c r="BW216" s="432"/>
      <c r="BX216" s="432"/>
      <c r="BY216" s="432"/>
      <c r="BZ216" s="432"/>
      <c r="CA216" s="432"/>
    </row>
    <row r="217" spans="57:79" ht="12.75" hidden="1" customHeight="1" x14ac:dyDescent="0.2">
      <c r="BE217" s="432" t="s">
        <v>126</v>
      </c>
      <c r="BF217" s="432"/>
      <c r="BG217" s="432"/>
      <c r="BH217" s="433">
        <f>250*47</f>
        <v>11750</v>
      </c>
      <c r="BI217" s="433"/>
      <c r="BJ217" s="433"/>
      <c r="BK217" s="433"/>
      <c r="BL217" s="433"/>
      <c r="BM217" s="311" t="s">
        <v>127</v>
      </c>
      <c r="BN217" s="311"/>
      <c r="BO217" s="311"/>
      <c r="BP217" s="311"/>
      <c r="BQ217" s="311"/>
      <c r="BR217" s="311"/>
      <c r="BS217" s="311"/>
      <c r="BT217" s="311"/>
    </row>
    <row r="218" spans="57:79" ht="12.75" hidden="1" customHeight="1" x14ac:dyDescent="0.2">
      <c r="BE218" s="434">
        <v>0.6</v>
      </c>
      <c r="BF218" s="432"/>
      <c r="BG218" s="432"/>
      <c r="BH218" s="216">
        <f>BH217*BE218</f>
        <v>7050</v>
      </c>
      <c r="BI218" s="432" t="s">
        <v>128</v>
      </c>
      <c r="BJ218" s="432"/>
      <c r="BK218" s="432"/>
      <c r="BL218" s="432"/>
      <c r="BM218" s="432"/>
      <c r="BN218" s="432" t="s">
        <v>129</v>
      </c>
      <c r="BO218" s="432"/>
      <c r="BP218" s="432"/>
      <c r="BQ218" s="432"/>
      <c r="BR218" s="432"/>
      <c r="BS218" s="432"/>
      <c r="BT218" s="432"/>
    </row>
    <row r="219" spans="57:79" ht="12.75" hidden="1" customHeight="1" x14ac:dyDescent="0.2">
      <c r="BE219" s="432">
        <v>211</v>
      </c>
      <c r="BF219" s="432"/>
      <c r="BG219" s="432"/>
      <c r="BH219" s="216">
        <f>BH218-BH220</f>
        <v>5414.7465437788014</v>
      </c>
      <c r="BI219" s="435">
        <f>BH219*0.1</f>
        <v>541.47465437788014</v>
      </c>
      <c r="BJ219" s="435"/>
      <c r="BK219" s="435"/>
      <c r="BL219" s="435"/>
      <c r="BM219" s="435"/>
      <c r="BN219" s="435">
        <f>BH219-BI219</f>
        <v>4873.2718894009213</v>
      </c>
      <c r="BO219" s="432"/>
      <c r="BP219" s="432"/>
      <c r="BQ219" s="432"/>
      <c r="BR219" s="432"/>
      <c r="BS219" s="432"/>
      <c r="BT219" s="432"/>
    </row>
    <row r="220" spans="57:79" ht="12.75" hidden="1" customHeight="1" x14ac:dyDescent="0.2">
      <c r="BE220" s="432">
        <v>213</v>
      </c>
      <c r="BF220" s="432"/>
      <c r="BG220" s="432"/>
      <c r="BH220" s="216">
        <f>BH218*30.2/130.2</f>
        <v>1635.2534562211983</v>
      </c>
      <c r="BI220" s="435">
        <f>BI219*30.2%</f>
        <v>163.5253456221198</v>
      </c>
      <c r="BJ220" s="435"/>
      <c r="BK220" s="435"/>
      <c r="BL220" s="435"/>
      <c r="BM220" s="435"/>
      <c r="BN220" s="435">
        <f>BN219*30.2%</f>
        <v>1471.7281105990783</v>
      </c>
      <c r="BO220" s="435"/>
      <c r="BP220" s="435"/>
      <c r="BQ220" s="435"/>
      <c r="BR220" s="435"/>
      <c r="BS220" s="435"/>
      <c r="BT220" s="435"/>
    </row>
    <row r="221" spans="57:79" ht="12.75" hidden="1" customHeight="1" x14ac:dyDescent="0.2"/>
    <row r="222" spans="57:79" ht="6" hidden="1" customHeight="1" x14ac:dyDescent="0.2"/>
    <row r="223" spans="57:79" ht="15" hidden="1" customHeight="1" x14ac:dyDescent="0.2">
      <c r="BE223" s="432" t="s">
        <v>287</v>
      </c>
      <c r="BF223" s="432"/>
      <c r="BG223" s="432"/>
      <c r="BH223" s="432"/>
      <c r="BI223" s="432"/>
      <c r="BJ223" s="432"/>
      <c r="BK223" s="432"/>
      <c r="BL223" s="432"/>
      <c r="BM223" s="432"/>
      <c r="BN223" s="432"/>
      <c r="BO223" s="432"/>
      <c r="BP223" s="432"/>
      <c r="BQ223" s="432"/>
      <c r="BR223" s="432"/>
      <c r="BS223" s="432"/>
      <c r="BT223" s="432"/>
      <c r="BU223" s="432"/>
      <c r="BV223" s="432"/>
      <c r="BW223" s="432"/>
      <c r="BX223" s="432"/>
      <c r="BY223" s="432"/>
      <c r="BZ223" s="432"/>
      <c r="CA223" s="432"/>
    </row>
    <row r="224" spans="57:79" ht="15" hidden="1" customHeight="1" x14ac:dyDescent="0.2">
      <c r="BE224" s="432" t="s">
        <v>126</v>
      </c>
      <c r="BF224" s="432"/>
      <c r="BG224" s="432"/>
      <c r="BH224" s="433">
        <f>250*38</f>
        <v>9500</v>
      </c>
      <c r="BI224" s="433"/>
      <c r="BJ224" s="433"/>
      <c r="BK224" s="433"/>
      <c r="BL224" s="433"/>
      <c r="BM224" s="311" t="s">
        <v>127</v>
      </c>
      <c r="BN224" s="311"/>
      <c r="BO224" s="311"/>
      <c r="BP224" s="311"/>
      <c r="BQ224" s="311"/>
      <c r="BR224" s="311"/>
      <c r="BS224" s="311"/>
      <c r="BT224" s="311"/>
    </row>
    <row r="225" spans="57:79" ht="15" hidden="1" customHeight="1" x14ac:dyDescent="0.2">
      <c r="BE225" s="434">
        <v>0.6</v>
      </c>
      <c r="BF225" s="432"/>
      <c r="BG225" s="432"/>
      <c r="BH225" s="216">
        <f>BH224*BE225</f>
        <v>5700</v>
      </c>
      <c r="BI225" s="432" t="s">
        <v>128</v>
      </c>
      <c r="BJ225" s="432"/>
      <c r="BK225" s="432"/>
      <c r="BL225" s="432"/>
      <c r="BM225" s="432"/>
      <c r="BN225" s="432" t="s">
        <v>129</v>
      </c>
      <c r="BO225" s="432"/>
      <c r="BP225" s="432"/>
      <c r="BQ225" s="432"/>
      <c r="BR225" s="432"/>
      <c r="BS225" s="432"/>
      <c r="BT225" s="432"/>
    </row>
    <row r="226" spans="57:79" ht="15" hidden="1" customHeight="1" x14ac:dyDescent="0.2">
      <c r="BE226" s="432">
        <v>211</v>
      </c>
      <c r="BF226" s="432"/>
      <c r="BG226" s="432"/>
      <c r="BH226" s="216">
        <f>BH225-BH227</f>
        <v>4377.880184331797</v>
      </c>
      <c r="BI226" s="435">
        <f>BH226*0.1</f>
        <v>437.78801843317973</v>
      </c>
      <c r="BJ226" s="435"/>
      <c r="BK226" s="435"/>
      <c r="BL226" s="435"/>
      <c r="BM226" s="435"/>
      <c r="BN226" s="435">
        <f>BH226-BI226</f>
        <v>3940.0921658986172</v>
      </c>
      <c r="BO226" s="432"/>
      <c r="BP226" s="432"/>
      <c r="BQ226" s="432"/>
      <c r="BR226" s="432"/>
      <c r="BS226" s="432"/>
      <c r="BT226" s="432"/>
    </row>
    <row r="227" spans="57:79" ht="15" hidden="1" customHeight="1" x14ac:dyDescent="0.2">
      <c r="BE227" s="432">
        <v>213</v>
      </c>
      <c r="BF227" s="432"/>
      <c r="BG227" s="432"/>
      <c r="BH227" s="216">
        <f>BH225*30.2/130.2</f>
        <v>1322.1198156682028</v>
      </c>
      <c r="BI227" s="435">
        <f>BI226*30.2%</f>
        <v>132.21198156682027</v>
      </c>
      <c r="BJ227" s="435"/>
      <c r="BK227" s="435"/>
      <c r="BL227" s="435"/>
      <c r="BM227" s="435"/>
      <c r="BN227" s="435">
        <f>BN226*30.2%</f>
        <v>1189.9078341013824</v>
      </c>
      <c r="BO227" s="435"/>
      <c r="BP227" s="435"/>
      <c r="BQ227" s="435"/>
      <c r="BR227" s="435"/>
      <c r="BS227" s="435"/>
      <c r="BT227" s="435"/>
    </row>
    <row r="228" spans="57:79" ht="15" hidden="1" customHeight="1" x14ac:dyDescent="0.2"/>
    <row r="229" spans="57:79" ht="8.25" hidden="1" customHeight="1" x14ac:dyDescent="0.2"/>
    <row r="230" spans="57:79" ht="15" hidden="1" customHeight="1" x14ac:dyDescent="0.2">
      <c r="BE230" s="432" t="s">
        <v>294</v>
      </c>
      <c r="BF230" s="432"/>
      <c r="BG230" s="432"/>
      <c r="BH230" s="432"/>
      <c r="BI230" s="432"/>
      <c r="BJ230" s="432"/>
      <c r="BK230" s="432"/>
      <c r="BL230" s="432"/>
      <c r="BM230" s="432"/>
      <c r="BN230" s="432"/>
      <c r="BO230" s="432"/>
      <c r="BP230" s="432"/>
      <c r="BQ230" s="432"/>
      <c r="BR230" s="432"/>
      <c r="BS230" s="432"/>
      <c r="BT230" s="432"/>
      <c r="BU230" s="432"/>
      <c r="BV230" s="432"/>
      <c r="BW230" s="432"/>
      <c r="BX230" s="432"/>
      <c r="BY230" s="432"/>
      <c r="BZ230" s="432"/>
      <c r="CA230" s="432"/>
    </row>
    <row r="231" spans="57:79" ht="15" hidden="1" customHeight="1" x14ac:dyDescent="0.2">
      <c r="BE231" s="432" t="s">
        <v>126</v>
      </c>
      <c r="BF231" s="432"/>
      <c r="BG231" s="432"/>
      <c r="BH231" s="433">
        <f>250*35</f>
        <v>8750</v>
      </c>
      <c r="BI231" s="433"/>
      <c r="BJ231" s="433"/>
      <c r="BK231" s="433"/>
      <c r="BL231" s="433"/>
      <c r="BM231" s="311" t="s">
        <v>127</v>
      </c>
      <c r="BN231" s="311"/>
      <c r="BO231" s="311"/>
      <c r="BP231" s="311"/>
      <c r="BQ231" s="311"/>
      <c r="BR231" s="311"/>
      <c r="BS231" s="311"/>
      <c r="BT231" s="311"/>
    </row>
    <row r="232" spans="57:79" ht="15" hidden="1" customHeight="1" x14ac:dyDescent="0.2">
      <c r="BE232" s="434">
        <v>0.6</v>
      </c>
      <c r="BF232" s="432"/>
      <c r="BG232" s="432"/>
      <c r="BH232" s="216">
        <f>BH231*BE232</f>
        <v>5250</v>
      </c>
      <c r="BI232" s="432" t="s">
        <v>128</v>
      </c>
      <c r="BJ232" s="432"/>
      <c r="BK232" s="432"/>
      <c r="BL232" s="432"/>
      <c r="BM232" s="432"/>
      <c r="BN232" s="432" t="s">
        <v>129</v>
      </c>
      <c r="BO232" s="432"/>
      <c r="BP232" s="432"/>
      <c r="BQ232" s="432"/>
      <c r="BR232" s="432"/>
      <c r="BS232" s="432"/>
      <c r="BT232" s="432"/>
    </row>
    <row r="233" spans="57:79" ht="15" hidden="1" customHeight="1" x14ac:dyDescent="0.2">
      <c r="BE233" s="432">
        <v>211</v>
      </c>
      <c r="BF233" s="432"/>
      <c r="BG233" s="432"/>
      <c r="BH233" s="216">
        <f>BH232-BH234</f>
        <v>4032.2580645161288</v>
      </c>
      <c r="BI233" s="435">
        <f>BH233*0.1</f>
        <v>403.22580645161293</v>
      </c>
      <c r="BJ233" s="435"/>
      <c r="BK233" s="435"/>
      <c r="BL233" s="435"/>
      <c r="BM233" s="435"/>
      <c r="BN233" s="435">
        <f>BH233-BI233</f>
        <v>3629.0322580645161</v>
      </c>
      <c r="BO233" s="432"/>
      <c r="BP233" s="432"/>
      <c r="BQ233" s="432"/>
      <c r="BR233" s="432"/>
      <c r="BS233" s="432"/>
      <c r="BT233" s="432"/>
    </row>
    <row r="234" spans="57:79" ht="15" hidden="1" customHeight="1" x14ac:dyDescent="0.2">
      <c r="BE234" s="432">
        <v>213</v>
      </c>
      <c r="BF234" s="432"/>
      <c r="BG234" s="432"/>
      <c r="BH234" s="216">
        <f>BH232*30.2/130.2</f>
        <v>1217.741935483871</v>
      </c>
      <c r="BI234" s="435">
        <f>BI233*30.2%</f>
        <v>121.7741935483871</v>
      </c>
      <c r="BJ234" s="435"/>
      <c r="BK234" s="435"/>
      <c r="BL234" s="435"/>
      <c r="BM234" s="435"/>
      <c r="BN234" s="435">
        <f>BN233*30.2%</f>
        <v>1095.9677419354839</v>
      </c>
      <c r="BO234" s="435"/>
      <c r="BP234" s="435"/>
      <c r="BQ234" s="435"/>
      <c r="BR234" s="435"/>
      <c r="BS234" s="435"/>
      <c r="BT234" s="435"/>
    </row>
    <row r="235" spans="57:79" ht="15" hidden="1" customHeight="1" x14ac:dyDescent="0.2"/>
    <row r="236" spans="57:79" ht="9" hidden="1" customHeight="1" x14ac:dyDescent="0.2"/>
    <row r="237" spans="57:79" ht="15" hidden="1" customHeight="1" x14ac:dyDescent="0.2">
      <c r="BE237" s="432" t="s">
        <v>304</v>
      </c>
      <c r="BF237" s="432"/>
      <c r="BG237" s="432"/>
      <c r="BH237" s="432"/>
      <c r="BI237" s="432"/>
      <c r="BJ237" s="432"/>
      <c r="BK237" s="432"/>
      <c r="BL237" s="432"/>
      <c r="BM237" s="432"/>
      <c r="BN237" s="432"/>
      <c r="BO237" s="432"/>
      <c r="BP237" s="432"/>
      <c r="BQ237" s="432"/>
      <c r="BR237" s="432"/>
      <c r="BS237" s="432"/>
      <c r="BT237" s="432"/>
      <c r="BU237" s="432"/>
      <c r="BV237" s="432"/>
      <c r="BW237" s="432"/>
      <c r="BX237" s="432"/>
      <c r="BY237" s="432"/>
      <c r="BZ237" s="432"/>
      <c r="CA237" s="432"/>
    </row>
    <row r="238" spans="57:79" ht="15" hidden="1" customHeight="1" x14ac:dyDescent="0.2">
      <c r="BE238" s="432" t="s">
        <v>126</v>
      </c>
      <c r="BF238" s="432"/>
      <c r="BG238" s="432"/>
      <c r="BH238" s="433">
        <f>250*32</f>
        <v>8000</v>
      </c>
      <c r="BI238" s="433"/>
      <c r="BJ238" s="433"/>
      <c r="BK238" s="433"/>
      <c r="BL238" s="433"/>
      <c r="BM238" s="311" t="s">
        <v>127</v>
      </c>
      <c r="BN238" s="311"/>
      <c r="BO238" s="311"/>
      <c r="BP238" s="311"/>
      <c r="BQ238" s="311"/>
      <c r="BR238" s="311"/>
      <c r="BS238" s="311"/>
      <c r="BT238" s="311"/>
    </row>
    <row r="239" spans="57:79" ht="15" hidden="1" customHeight="1" x14ac:dyDescent="0.2">
      <c r="BE239" s="434">
        <v>0.6</v>
      </c>
      <c r="BF239" s="432"/>
      <c r="BG239" s="432"/>
      <c r="BH239" s="216">
        <f>BH238*BE239</f>
        <v>4800</v>
      </c>
      <c r="BI239" s="432" t="s">
        <v>128</v>
      </c>
      <c r="BJ239" s="432"/>
      <c r="BK239" s="432"/>
      <c r="BL239" s="432"/>
      <c r="BM239" s="432"/>
      <c r="BN239" s="432" t="s">
        <v>129</v>
      </c>
      <c r="BO239" s="432"/>
      <c r="BP239" s="432"/>
      <c r="BQ239" s="432"/>
      <c r="BR239" s="432"/>
      <c r="BS239" s="432"/>
      <c r="BT239" s="432"/>
    </row>
    <row r="240" spans="57:79" ht="15" hidden="1" customHeight="1" x14ac:dyDescent="0.2">
      <c r="BE240" s="432">
        <v>211</v>
      </c>
      <c r="BF240" s="432"/>
      <c r="BG240" s="432"/>
      <c r="BH240" s="216">
        <f>BH239-BH241</f>
        <v>3686.6359447004606</v>
      </c>
      <c r="BI240" s="435">
        <f>BH240*0.1</f>
        <v>368.66359447004606</v>
      </c>
      <c r="BJ240" s="435"/>
      <c r="BK240" s="435"/>
      <c r="BL240" s="435"/>
      <c r="BM240" s="435"/>
      <c r="BN240" s="435">
        <f>BH240-BI240</f>
        <v>3317.9723502304146</v>
      </c>
      <c r="BO240" s="432"/>
      <c r="BP240" s="432"/>
      <c r="BQ240" s="432"/>
      <c r="BR240" s="432"/>
      <c r="BS240" s="432"/>
      <c r="BT240" s="432"/>
    </row>
    <row r="241" spans="2:79" ht="15" hidden="1" customHeight="1" x14ac:dyDescent="0.2">
      <c r="BE241" s="432">
        <v>213</v>
      </c>
      <c r="BF241" s="432"/>
      <c r="BG241" s="432"/>
      <c r="BH241" s="216">
        <f>BH239*30.2/130.2</f>
        <v>1113.3640552995394</v>
      </c>
      <c r="BI241" s="435">
        <f>BI240*30.2%</f>
        <v>111.33640552995391</v>
      </c>
      <c r="BJ241" s="435"/>
      <c r="BK241" s="435"/>
      <c r="BL241" s="435"/>
      <c r="BM241" s="435"/>
      <c r="BN241" s="435">
        <f>BN240*30.2%</f>
        <v>1002.0276497695852</v>
      </c>
      <c r="BO241" s="435"/>
      <c r="BP241" s="435"/>
      <c r="BQ241" s="435"/>
      <c r="BR241" s="435"/>
      <c r="BS241" s="435"/>
      <c r="BT241" s="435"/>
    </row>
    <row r="242" spans="2:79" ht="15" hidden="1" customHeight="1" x14ac:dyDescent="0.25">
      <c r="B242" s="444" t="s">
        <v>434</v>
      </c>
      <c r="C242" s="441"/>
      <c r="D242" s="441"/>
      <c r="E242" s="441"/>
      <c r="F242" s="441"/>
      <c r="G242" s="441"/>
    </row>
    <row r="243" spans="2:79" ht="12" hidden="1" x14ac:dyDescent="0.2">
      <c r="BE243" s="432" t="s">
        <v>335</v>
      </c>
      <c r="BF243" s="432"/>
      <c r="BG243" s="432"/>
      <c r="BH243" s="432"/>
      <c r="BI243" s="432"/>
      <c r="BJ243" s="432"/>
      <c r="BK243" s="432"/>
      <c r="BL243" s="432"/>
      <c r="BM243" s="432"/>
      <c r="BN243" s="432"/>
      <c r="BO243" s="432"/>
      <c r="BP243" s="432"/>
      <c r="BQ243" s="432"/>
      <c r="BR243" s="432"/>
      <c r="BS243" s="432"/>
      <c r="BT243" s="432"/>
      <c r="BU243" s="432"/>
      <c r="BV243" s="432"/>
      <c r="BW243" s="432"/>
      <c r="BX243" s="432"/>
      <c r="BY243" s="432"/>
      <c r="BZ243" s="432"/>
      <c r="CA243" s="432"/>
    </row>
    <row r="244" spans="2:79" ht="12" hidden="1" x14ac:dyDescent="0.2">
      <c r="BE244" s="432" t="s">
        <v>126</v>
      </c>
      <c r="BF244" s="432"/>
      <c r="BG244" s="432"/>
      <c r="BH244" s="433">
        <f>250*8</f>
        <v>2000</v>
      </c>
      <c r="BI244" s="433"/>
      <c r="BJ244" s="433"/>
      <c r="BK244" s="433"/>
      <c r="BL244" s="433"/>
      <c r="BM244" s="311" t="s">
        <v>127</v>
      </c>
      <c r="BN244" s="311"/>
      <c r="BO244" s="311"/>
      <c r="BP244" s="311"/>
      <c r="BQ244" s="311"/>
      <c r="BR244" s="311"/>
      <c r="BS244" s="311"/>
      <c r="BT244" s="311"/>
    </row>
    <row r="245" spans="2:79" ht="12" hidden="1" x14ac:dyDescent="0.2">
      <c r="BE245" s="434">
        <v>0.6</v>
      </c>
      <c r="BF245" s="432"/>
      <c r="BG245" s="432"/>
      <c r="BH245" s="216">
        <f>BH244*BE245</f>
        <v>1200</v>
      </c>
      <c r="BI245" s="432" t="s">
        <v>128</v>
      </c>
      <c r="BJ245" s="432"/>
      <c r="BK245" s="432"/>
      <c r="BL245" s="432"/>
      <c r="BM245" s="432"/>
      <c r="BN245" s="432" t="s">
        <v>129</v>
      </c>
      <c r="BO245" s="432"/>
      <c r="BP245" s="432"/>
      <c r="BQ245" s="432"/>
      <c r="BR245" s="432"/>
      <c r="BS245" s="432"/>
      <c r="BT245" s="432"/>
    </row>
    <row r="246" spans="2:79" ht="12" hidden="1" x14ac:dyDescent="0.2">
      <c r="BE246" s="432">
        <v>211</v>
      </c>
      <c r="BF246" s="432"/>
      <c r="BG246" s="432"/>
      <c r="BH246" s="216">
        <f>BH245-BH247</f>
        <v>921.65898617511516</v>
      </c>
      <c r="BI246" s="435">
        <f>BH246*0.1</f>
        <v>92.165898617511516</v>
      </c>
      <c r="BJ246" s="435"/>
      <c r="BK246" s="435"/>
      <c r="BL246" s="435"/>
      <c r="BM246" s="435"/>
      <c r="BN246" s="436">
        <f>BH246-BI246</f>
        <v>829.49308755760364</v>
      </c>
      <c r="BO246" s="445"/>
      <c r="BP246" s="445"/>
      <c r="BQ246" s="445"/>
      <c r="BR246" s="445"/>
      <c r="BS246" s="445"/>
      <c r="BT246" s="445"/>
    </row>
    <row r="247" spans="2:79" ht="12" hidden="1" x14ac:dyDescent="0.2">
      <c r="BE247" s="432">
        <v>213</v>
      </c>
      <c r="BF247" s="432"/>
      <c r="BG247" s="432"/>
      <c r="BH247" s="216">
        <f>BH245*30.2/130.2</f>
        <v>278.34101382488484</v>
      </c>
      <c r="BI247" s="435">
        <f>BI246*30.2%</f>
        <v>27.834101382488477</v>
      </c>
      <c r="BJ247" s="435"/>
      <c r="BK247" s="435"/>
      <c r="BL247" s="435"/>
      <c r="BM247" s="435"/>
      <c r="BN247" s="435">
        <f>BN246*30.2%</f>
        <v>250.5069124423963</v>
      </c>
      <c r="BO247" s="435"/>
      <c r="BP247" s="435"/>
      <c r="BQ247" s="435"/>
      <c r="BR247" s="435"/>
      <c r="BS247" s="435"/>
      <c r="BT247" s="435"/>
    </row>
    <row r="248" spans="2:79" ht="8.25" hidden="1" customHeight="1" x14ac:dyDescent="0.2"/>
    <row r="249" spans="2:79" ht="8.25" hidden="1" customHeight="1" x14ac:dyDescent="0.2"/>
    <row r="250" spans="2:79" ht="8.25" hidden="1" customHeight="1" x14ac:dyDescent="0.2"/>
    <row r="251" spans="2:79" ht="8.25" hidden="1" customHeight="1" x14ac:dyDescent="0.2"/>
    <row r="252" spans="2:79" ht="12" hidden="1" x14ac:dyDescent="0.2">
      <c r="BE252" s="432" t="s">
        <v>344</v>
      </c>
      <c r="BF252" s="432"/>
      <c r="BG252" s="432"/>
      <c r="BH252" s="432"/>
      <c r="BI252" s="432"/>
      <c r="BJ252" s="432"/>
      <c r="BK252" s="432"/>
      <c r="BL252" s="432"/>
      <c r="BM252" s="432"/>
      <c r="BN252" s="432"/>
      <c r="BO252" s="432"/>
      <c r="BP252" s="432"/>
      <c r="BQ252" s="432"/>
      <c r="BR252" s="432"/>
      <c r="BS252" s="432"/>
      <c r="BT252" s="432"/>
      <c r="BU252" s="432"/>
      <c r="BV252" s="432"/>
      <c r="BW252" s="432"/>
      <c r="BX252" s="432"/>
      <c r="BY252" s="432"/>
      <c r="BZ252" s="432"/>
      <c r="CA252" s="432"/>
    </row>
    <row r="253" spans="2:79" ht="12" hidden="1" x14ac:dyDescent="0.2">
      <c r="BE253" s="432" t="s">
        <v>126</v>
      </c>
      <c r="BF253" s="432"/>
      <c r="BG253" s="432"/>
      <c r="BH253" s="433">
        <f>250*29</f>
        <v>7250</v>
      </c>
      <c r="BI253" s="433"/>
      <c r="BJ253" s="433"/>
      <c r="BK253" s="433"/>
      <c r="BL253" s="433"/>
      <c r="BM253" s="311" t="s">
        <v>127</v>
      </c>
      <c r="BN253" s="311"/>
      <c r="BO253" s="311"/>
      <c r="BP253" s="311"/>
      <c r="BQ253" s="311"/>
      <c r="BR253" s="311"/>
      <c r="BS253" s="311"/>
      <c r="BT253" s="311"/>
    </row>
    <row r="254" spans="2:79" ht="12" hidden="1" x14ac:dyDescent="0.2">
      <c r="BE254" s="434">
        <v>0.6</v>
      </c>
      <c r="BF254" s="432"/>
      <c r="BG254" s="432"/>
      <c r="BH254" s="216">
        <f>BH253*BE254</f>
        <v>4350</v>
      </c>
      <c r="BI254" s="432" t="s">
        <v>128</v>
      </c>
      <c r="BJ254" s="432"/>
      <c r="BK254" s="432"/>
      <c r="BL254" s="432"/>
      <c r="BM254" s="432"/>
      <c r="BN254" s="432" t="s">
        <v>129</v>
      </c>
      <c r="BO254" s="432"/>
      <c r="BP254" s="432"/>
      <c r="BQ254" s="432"/>
      <c r="BR254" s="432"/>
      <c r="BS254" s="432"/>
      <c r="BT254" s="432"/>
    </row>
    <row r="255" spans="2:79" ht="12" hidden="1" x14ac:dyDescent="0.2">
      <c r="BE255" s="432">
        <v>211</v>
      </c>
      <c r="BF255" s="432"/>
      <c r="BG255" s="432"/>
      <c r="BH255" s="216">
        <f>BH254-BH256</f>
        <v>3341.0138248847925</v>
      </c>
      <c r="BI255" s="435">
        <f>BH255*0.1</f>
        <v>334.10138248847926</v>
      </c>
      <c r="BJ255" s="435"/>
      <c r="BK255" s="435"/>
      <c r="BL255" s="435"/>
      <c r="BM255" s="435"/>
      <c r="BN255" s="436">
        <f>BH255-BI255</f>
        <v>3006.9124423963131</v>
      </c>
      <c r="BO255" s="445"/>
      <c r="BP255" s="445"/>
      <c r="BQ255" s="445"/>
      <c r="BR255" s="445"/>
      <c r="BS255" s="445"/>
      <c r="BT255" s="445"/>
    </row>
    <row r="256" spans="2:79" ht="12" hidden="1" x14ac:dyDescent="0.2">
      <c r="BE256" s="432">
        <v>213</v>
      </c>
      <c r="BF256" s="432"/>
      <c r="BG256" s="432"/>
      <c r="BH256" s="216">
        <f>BH254*30.2/130.2</f>
        <v>1008.9861751152075</v>
      </c>
      <c r="BI256" s="435">
        <f>BI255*30.2%</f>
        <v>100.89861751152074</v>
      </c>
      <c r="BJ256" s="435"/>
      <c r="BK256" s="435"/>
      <c r="BL256" s="435"/>
      <c r="BM256" s="435"/>
      <c r="BN256" s="435">
        <f>BN255*30.2%</f>
        <v>908.08755760368649</v>
      </c>
      <c r="BO256" s="435"/>
      <c r="BP256" s="435"/>
      <c r="BQ256" s="435"/>
      <c r="BR256" s="435"/>
      <c r="BS256" s="435"/>
      <c r="BT256" s="435"/>
    </row>
    <row r="257" spans="57:98" ht="8.25" hidden="1" customHeight="1" x14ac:dyDescent="0.2"/>
    <row r="258" spans="57:98" ht="8.25" hidden="1" customHeight="1" x14ac:dyDescent="0.2"/>
    <row r="259" spans="57:98" ht="12" hidden="1" x14ac:dyDescent="0.2">
      <c r="BE259" s="432" t="s">
        <v>357</v>
      </c>
      <c r="BF259" s="432"/>
      <c r="BG259" s="432"/>
      <c r="BH259" s="432"/>
      <c r="BI259" s="432"/>
      <c r="BJ259" s="432"/>
      <c r="BK259" s="432"/>
      <c r="BL259" s="432"/>
      <c r="BM259" s="432"/>
      <c r="BN259" s="432"/>
      <c r="BO259" s="432"/>
      <c r="BP259" s="432"/>
      <c r="BQ259" s="432"/>
      <c r="BR259" s="432"/>
      <c r="BS259" s="432"/>
      <c r="BT259" s="432"/>
      <c r="BU259" s="432"/>
      <c r="BV259" s="432"/>
      <c r="BW259" s="432"/>
      <c r="BX259" s="432"/>
      <c r="BY259" s="432"/>
      <c r="BZ259" s="432"/>
      <c r="CA259" s="432"/>
    </row>
    <row r="260" spans="57:98" ht="12" hidden="1" x14ac:dyDescent="0.2">
      <c r="BE260" s="432" t="s">
        <v>126</v>
      </c>
      <c r="BF260" s="432"/>
      <c r="BG260" s="432"/>
      <c r="BH260" s="433">
        <f>250*0</f>
        <v>0</v>
      </c>
      <c r="BI260" s="433"/>
      <c r="BJ260" s="433"/>
      <c r="BK260" s="433"/>
      <c r="BL260" s="433"/>
      <c r="BM260" s="311" t="s">
        <v>127</v>
      </c>
      <c r="BN260" s="311"/>
      <c r="BO260" s="311"/>
      <c r="BP260" s="311"/>
      <c r="BQ260" s="311"/>
      <c r="BR260" s="311"/>
      <c r="BS260" s="311"/>
      <c r="BT260" s="311"/>
    </row>
    <row r="261" spans="57:98" ht="12" hidden="1" x14ac:dyDescent="0.2">
      <c r="BE261" s="434">
        <v>0.6</v>
      </c>
      <c r="BF261" s="432"/>
      <c r="BG261" s="432"/>
      <c r="BH261" s="216">
        <f>BH260*BE261</f>
        <v>0</v>
      </c>
      <c r="BI261" s="432" t="s">
        <v>128</v>
      </c>
      <c r="BJ261" s="432"/>
      <c r="BK261" s="432"/>
      <c r="BL261" s="432"/>
      <c r="BM261" s="432"/>
      <c r="BN261" s="432" t="s">
        <v>129</v>
      </c>
      <c r="BO261" s="432"/>
      <c r="BP261" s="432"/>
      <c r="BQ261" s="432"/>
      <c r="BR261" s="432"/>
      <c r="BS261" s="432"/>
      <c r="BT261" s="432"/>
    </row>
    <row r="262" spans="57:98" ht="12" hidden="1" x14ac:dyDescent="0.2">
      <c r="BE262" s="432">
        <v>211</v>
      </c>
      <c r="BF262" s="432"/>
      <c r="BG262" s="432"/>
      <c r="BH262" s="216">
        <f>BH261-BH263</f>
        <v>0</v>
      </c>
      <c r="BI262" s="435">
        <f>BH262*0.1</f>
        <v>0</v>
      </c>
      <c r="BJ262" s="435"/>
      <c r="BK262" s="435"/>
      <c r="BL262" s="435"/>
      <c r="BM262" s="435"/>
      <c r="BN262" s="436">
        <f>BH262-BI262</f>
        <v>0</v>
      </c>
      <c r="BO262" s="445"/>
      <c r="BP262" s="445"/>
      <c r="BQ262" s="445"/>
      <c r="BR262" s="445"/>
      <c r="BS262" s="445"/>
      <c r="BT262" s="445"/>
    </row>
    <row r="263" spans="57:98" ht="12" hidden="1" x14ac:dyDescent="0.2">
      <c r="BE263" s="432">
        <v>213</v>
      </c>
      <c r="BF263" s="432"/>
      <c r="BG263" s="432"/>
      <c r="BH263" s="216">
        <f>BH261*30.2/130.2</f>
        <v>0</v>
      </c>
      <c r="BI263" s="435">
        <f>BI262*30.2%</f>
        <v>0</v>
      </c>
      <c r="BJ263" s="435"/>
      <c r="BK263" s="435"/>
      <c r="BL263" s="435"/>
      <c r="BM263" s="435"/>
      <c r="BN263" s="435">
        <f>BN262*30.2%</f>
        <v>0</v>
      </c>
      <c r="BO263" s="435"/>
      <c r="BP263" s="435"/>
      <c r="BQ263" s="435"/>
      <c r="BR263" s="435"/>
      <c r="BS263" s="435"/>
      <c r="BT263" s="435"/>
    </row>
    <row r="264" spans="57:98" ht="8.25" hidden="1" customHeight="1" x14ac:dyDescent="0.2"/>
    <row r="265" spans="57:98" ht="8.25" hidden="1" customHeight="1" x14ac:dyDescent="0.2"/>
    <row r="266" spans="57:98" ht="12" hidden="1" x14ac:dyDescent="0.2">
      <c r="BE266" s="432" t="s">
        <v>387</v>
      </c>
      <c r="BF266" s="432"/>
      <c r="BG266" s="432"/>
      <c r="BH266" s="432"/>
      <c r="BI266" s="432"/>
      <c r="BJ266" s="432"/>
      <c r="BK266" s="432"/>
      <c r="BL266" s="432"/>
      <c r="BM266" s="432"/>
      <c r="BN266" s="432"/>
      <c r="BO266" s="432"/>
      <c r="BP266" s="432"/>
      <c r="BQ266" s="432"/>
      <c r="BR266" s="432"/>
      <c r="BS266" s="432"/>
      <c r="BT266" s="432"/>
      <c r="BU266" s="432"/>
      <c r="BV266" s="432"/>
      <c r="BW266" s="432"/>
      <c r="BX266" s="432"/>
      <c r="BY266" s="432"/>
      <c r="BZ266" s="432"/>
      <c r="CA266" s="432"/>
    </row>
    <row r="267" spans="57:98" ht="12" hidden="1" x14ac:dyDescent="0.2">
      <c r="BE267" s="432" t="s">
        <v>126</v>
      </c>
      <c r="BF267" s="432"/>
      <c r="BG267" s="432"/>
      <c r="BH267" s="433">
        <f>250*13</f>
        <v>3250</v>
      </c>
      <c r="BI267" s="433"/>
      <c r="BJ267" s="433"/>
      <c r="BK267" s="433"/>
      <c r="BL267" s="433"/>
      <c r="BM267" s="311" t="s">
        <v>127</v>
      </c>
      <c r="BN267" s="311"/>
      <c r="BO267" s="311"/>
      <c r="BP267" s="311"/>
      <c r="BQ267" s="311"/>
      <c r="BR267" s="311"/>
      <c r="BS267" s="311"/>
      <c r="BT267" s="311"/>
    </row>
    <row r="268" spans="57:98" ht="15" hidden="1" x14ac:dyDescent="0.25">
      <c r="BE268" s="434">
        <v>0.6</v>
      </c>
      <c r="BF268" s="432"/>
      <c r="BG268" s="432"/>
      <c r="BH268" s="216">
        <f>BH267*BE268</f>
        <v>1950</v>
      </c>
      <c r="BI268" s="432" t="s">
        <v>128</v>
      </c>
      <c r="BJ268" s="432"/>
      <c r="BK268" s="432"/>
      <c r="BL268" s="432"/>
      <c r="BM268" s="432"/>
      <c r="BN268" s="432" t="s">
        <v>129</v>
      </c>
      <c r="BO268" s="432"/>
      <c r="BP268" s="432"/>
      <c r="BQ268" s="432"/>
      <c r="BR268" s="432"/>
      <c r="BS268" s="432"/>
      <c r="BT268" s="432"/>
      <c r="CE268" s="432" t="s">
        <v>368</v>
      </c>
      <c r="CF268" s="443"/>
      <c r="CG268" s="443"/>
      <c r="CH268" s="443"/>
      <c r="CI268" s="443"/>
      <c r="CJ268" s="443"/>
      <c r="CM268" s="432" t="s">
        <v>366</v>
      </c>
      <c r="CN268" s="443"/>
      <c r="CO268" s="443"/>
      <c r="CP268" s="443"/>
      <c r="CQ268" s="443"/>
      <c r="CR268" s="443"/>
      <c r="CS268" s="443"/>
      <c r="CT268" s="443"/>
    </row>
    <row r="269" spans="57:98" ht="15" hidden="1" x14ac:dyDescent="0.25">
      <c r="BE269" s="432">
        <v>211</v>
      </c>
      <c r="BF269" s="432"/>
      <c r="BG269" s="432"/>
      <c r="BH269" s="216">
        <f>BH268-BH270</f>
        <v>1497.6958525345622</v>
      </c>
      <c r="BI269" s="435">
        <f>BH269*0.1</f>
        <v>149.76958525345623</v>
      </c>
      <c r="BJ269" s="435"/>
      <c r="BK269" s="435"/>
      <c r="BL269" s="435"/>
      <c r="BM269" s="435"/>
      <c r="BN269" s="436">
        <f>BH269-BI269</f>
        <v>1347.926267281106</v>
      </c>
      <c r="BO269" s="445"/>
      <c r="BP269" s="445"/>
      <c r="BQ269" s="445"/>
      <c r="BR269" s="445"/>
      <c r="BS269" s="445"/>
      <c r="BT269" s="445"/>
      <c r="CE269" s="437">
        <f>BI269*15/20</f>
        <v>112.32718894009217</v>
      </c>
      <c r="CF269" s="446"/>
      <c r="CG269" s="446"/>
      <c r="CH269" s="446"/>
      <c r="CI269" s="446"/>
      <c r="CJ269" s="446"/>
      <c r="CM269" s="437">
        <f>BI269*5/20</f>
        <v>37.442396313364057</v>
      </c>
      <c r="CN269" s="446"/>
      <c r="CO269" s="446"/>
      <c r="CP269" s="446"/>
      <c r="CQ269" s="446"/>
      <c r="CR269" s="446"/>
      <c r="CS269" s="446"/>
      <c r="CT269" s="446"/>
    </row>
    <row r="270" spans="57:98" ht="12" hidden="1" x14ac:dyDescent="0.2">
      <c r="BE270" s="432">
        <v>213</v>
      </c>
      <c r="BF270" s="432"/>
      <c r="BG270" s="432"/>
      <c r="BH270" s="216">
        <f>BH268*30.2/130.2</f>
        <v>452.30414746543784</v>
      </c>
      <c r="BI270" s="435">
        <f>BI269*30.2%</f>
        <v>45.230414746543779</v>
      </c>
      <c r="BJ270" s="435"/>
      <c r="BK270" s="435"/>
      <c r="BL270" s="435"/>
      <c r="BM270" s="435"/>
      <c r="BN270" s="435">
        <f>BN269*30.2%</f>
        <v>407.07373271889401</v>
      </c>
      <c r="BO270" s="435"/>
      <c r="BP270" s="435"/>
      <c r="BQ270" s="435"/>
      <c r="BR270" s="435"/>
      <c r="BS270" s="435"/>
      <c r="BT270" s="435"/>
    </row>
    <row r="271" spans="57:98" ht="8.25" hidden="1" customHeight="1" x14ac:dyDescent="0.2"/>
    <row r="272" spans="57:98" ht="8.25" hidden="1" customHeight="1" x14ac:dyDescent="0.2"/>
    <row r="273" spans="57:98" ht="8.25" hidden="1" customHeight="1" x14ac:dyDescent="0.2"/>
    <row r="274" spans="57:98" ht="12" hidden="1" x14ac:dyDescent="0.2">
      <c r="BE274" s="432" t="s">
        <v>391</v>
      </c>
      <c r="BF274" s="432"/>
      <c r="BG274" s="432"/>
      <c r="BH274" s="432"/>
      <c r="BI274" s="432"/>
      <c r="BJ274" s="432"/>
      <c r="BK274" s="432"/>
      <c r="BL274" s="432"/>
      <c r="BM274" s="432"/>
      <c r="BN274" s="432"/>
      <c r="BO274" s="432"/>
      <c r="BP274" s="432"/>
      <c r="BQ274" s="432"/>
      <c r="BR274" s="432"/>
      <c r="BS274" s="432"/>
      <c r="BT274" s="432"/>
      <c r="BU274" s="432"/>
      <c r="BV274" s="432"/>
      <c r="BW274" s="432"/>
      <c r="BX274" s="432"/>
      <c r="BY274" s="432"/>
      <c r="BZ274" s="432"/>
      <c r="CA274" s="432"/>
    </row>
    <row r="275" spans="57:98" ht="12" hidden="1" x14ac:dyDescent="0.2">
      <c r="BE275" s="432" t="s">
        <v>126</v>
      </c>
      <c r="BF275" s="432"/>
      <c r="BG275" s="432"/>
      <c r="BH275" s="433">
        <f>250*19</f>
        <v>4750</v>
      </c>
      <c r="BI275" s="433"/>
      <c r="BJ275" s="433"/>
      <c r="BK275" s="433"/>
      <c r="BL275" s="433"/>
      <c r="BM275" s="311" t="s">
        <v>127</v>
      </c>
      <c r="BN275" s="311"/>
      <c r="BO275" s="311"/>
      <c r="BP275" s="311"/>
      <c r="BQ275" s="311"/>
      <c r="BR275" s="311"/>
      <c r="BS275" s="311"/>
      <c r="BT275" s="311"/>
    </row>
    <row r="276" spans="57:98" ht="15" hidden="1" x14ac:dyDescent="0.25">
      <c r="BE276" s="434">
        <v>0.6</v>
      </c>
      <c r="BF276" s="432"/>
      <c r="BG276" s="432"/>
      <c r="BH276" s="216">
        <f>BH275*BE276</f>
        <v>2850</v>
      </c>
      <c r="BI276" s="432" t="s">
        <v>128</v>
      </c>
      <c r="BJ276" s="432"/>
      <c r="BK276" s="432"/>
      <c r="BL276" s="432"/>
      <c r="BM276" s="432"/>
      <c r="BN276" s="432" t="s">
        <v>129</v>
      </c>
      <c r="BO276" s="432"/>
      <c r="BP276" s="432"/>
      <c r="BQ276" s="432"/>
      <c r="BR276" s="432"/>
      <c r="BS276" s="432"/>
      <c r="BT276" s="432"/>
      <c r="CE276" s="432" t="s">
        <v>368</v>
      </c>
      <c r="CF276" s="443"/>
      <c r="CG276" s="443"/>
      <c r="CH276" s="443"/>
      <c r="CI276" s="443"/>
      <c r="CJ276" s="443"/>
      <c r="CM276" s="432" t="s">
        <v>366</v>
      </c>
      <c r="CN276" s="443"/>
      <c r="CO276" s="443"/>
      <c r="CP276" s="443"/>
      <c r="CQ276" s="443"/>
      <c r="CR276" s="443"/>
      <c r="CS276" s="443"/>
      <c r="CT276" s="443"/>
    </row>
    <row r="277" spans="57:98" ht="15" hidden="1" x14ac:dyDescent="0.25">
      <c r="BE277" s="432">
        <v>211</v>
      </c>
      <c r="BF277" s="432"/>
      <c r="BG277" s="432"/>
      <c r="BH277" s="216">
        <f>BH276-BH278</f>
        <v>2188.9400921658985</v>
      </c>
      <c r="BI277" s="435">
        <f>BH277*0.1</f>
        <v>218.89400921658986</v>
      </c>
      <c r="BJ277" s="435"/>
      <c r="BK277" s="435"/>
      <c r="BL277" s="435"/>
      <c r="BM277" s="435"/>
      <c r="BN277" s="436">
        <f>BH277-BI277</f>
        <v>1970.0460829493086</v>
      </c>
      <c r="BO277" s="445"/>
      <c r="BP277" s="445"/>
      <c r="BQ277" s="445"/>
      <c r="BR277" s="445"/>
      <c r="BS277" s="445"/>
      <c r="BT277" s="445"/>
      <c r="CE277" s="437">
        <f>BI277*15/20</f>
        <v>164.17050691244239</v>
      </c>
      <c r="CF277" s="446"/>
      <c r="CG277" s="446"/>
      <c r="CH277" s="446"/>
      <c r="CI277" s="446"/>
      <c r="CJ277" s="446"/>
      <c r="CM277" s="437">
        <f>BI277*5/20</f>
        <v>54.723502304147459</v>
      </c>
      <c r="CN277" s="446"/>
      <c r="CO277" s="446"/>
      <c r="CP277" s="446"/>
      <c r="CQ277" s="446"/>
      <c r="CR277" s="446"/>
      <c r="CS277" s="446"/>
      <c r="CT277" s="446"/>
    </row>
    <row r="278" spans="57:98" ht="12" hidden="1" x14ac:dyDescent="0.2">
      <c r="BE278" s="432">
        <v>213</v>
      </c>
      <c r="BF278" s="432"/>
      <c r="BG278" s="432"/>
      <c r="BH278" s="216">
        <f>BH276*30.2/130.2</f>
        <v>661.05990783410141</v>
      </c>
      <c r="BI278" s="435">
        <f>BI277*30.2%</f>
        <v>66.105990783410135</v>
      </c>
      <c r="BJ278" s="435"/>
      <c r="BK278" s="435"/>
      <c r="BL278" s="435"/>
      <c r="BM278" s="435"/>
      <c r="BN278" s="435">
        <f>BN277*30.2%</f>
        <v>594.95391705069119</v>
      </c>
      <c r="BO278" s="435"/>
      <c r="BP278" s="435"/>
      <c r="BQ278" s="435"/>
      <c r="BR278" s="435"/>
      <c r="BS278" s="435"/>
      <c r="BT278" s="435"/>
    </row>
    <row r="279" spans="57:98" ht="8.25" hidden="1" customHeight="1" x14ac:dyDescent="0.2"/>
    <row r="280" spans="57:98" ht="8.25" hidden="1" customHeight="1" x14ac:dyDescent="0.2"/>
    <row r="281" spans="57:98" ht="8.25" hidden="1" customHeight="1" x14ac:dyDescent="0.2"/>
    <row r="282" spans="57:98" ht="8.25" hidden="1" customHeight="1" x14ac:dyDescent="0.2"/>
    <row r="283" spans="57:98" ht="12" hidden="1" x14ac:dyDescent="0.2">
      <c r="BE283" s="432" t="s">
        <v>402</v>
      </c>
      <c r="BF283" s="432"/>
      <c r="BG283" s="432"/>
      <c r="BH283" s="432"/>
      <c r="BI283" s="432"/>
      <c r="BJ283" s="432"/>
      <c r="BK283" s="432"/>
      <c r="BL283" s="432"/>
      <c r="BM283" s="432"/>
      <c r="BN283" s="432"/>
      <c r="BO283" s="432"/>
      <c r="BP283" s="432"/>
      <c r="BQ283" s="432"/>
      <c r="BR283" s="432"/>
      <c r="BS283" s="432"/>
      <c r="BT283" s="432"/>
      <c r="BU283" s="432"/>
      <c r="BV283" s="432"/>
      <c r="BW283" s="432"/>
      <c r="BX283" s="432"/>
      <c r="BY283" s="432"/>
      <c r="BZ283" s="432"/>
      <c r="CA283" s="432"/>
    </row>
    <row r="284" spans="57:98" ht="12" hidden="1" x14ac:dyDescent="0.2">
      <c r="BE284" s="432" t="s">
        <v>126</v>
      </c>
      <c r="BF284" s="432"/>
      <c r="BG284" s="432"/>
      <c r="BH284" s="433">
        <f>250*6</f>
        <v>1500</v>
      </c>
      <c r="BI284" s="433"/>
      <c r="BJ284" s="433"/>
      <c r="BK284" s="433"/>
      <c r="BL284" s="433"/>
      <c r="BM284" s="311" t="s">
        <v>127</v>
      </c>
      <c r="BN284" s="311"/>
      <c r="BO284" s="311"/>
      <c r="BP284" s="311"/>
      <c r="BQ284" s="311"/>
      <c r="BR284" s="311"/>
      <c r="BS284" s="311"/>
      <c r="BT284" s="311"/>
    </row>
    <row r="285" spans="57:98" ht="15" hidden="1" x14ac:dyDescent="0.25">
      <c r="BE285" s="434">
        <v>0.6</v>
      </c>
      <c r="BF285" s="432"/>
      <c r="BG285" s="432"/>
      <c r="BH285" s="216">
        <f>BH284*BE285</f>
        <v>900</v>
      </c>
      <c r="BI285" s="432" t="s">
        <v>128</v>
      </c>
      <c r="BJ285" s="432"/>
      <c r="BK285" s="432"/>
      <c r="BL285" s="432"/>
      <c r="BM285" s="432"/>
      <c r="BN285" s="432" t="s">
        <v>129</v>
      </c>
      <c r="BO285" s="432"/>
      <c r="BP285" s="432"/>
      <c r="BQ285" s="432"/>
      <c r="BR285" s="432"/>
      <c r="BS285" s="432"/>
      <c r="BT285" s="432"/>
      <c r="CE285" s="432" t="s">
        <v>368</v>
      </c>
      <c r="CF285" s="443"/>
      <c r="CG285" s="443"/>
      <c r="CH285" s="443"/>
      <c r="CI285" s="443"/>
      <c r="CJ285" s="443"/>
      <c r="CM285" s="432" t="s">
        <v>366</v>
      </c>
      <c r="CN285" s="443"/>
      <c r="CO285" s="443"/>
      <c r="CP285" s="443"/>
      <c r="CQ285" s="443"/>
      <c r="CR285" s="443"/>
      <c r="CS285" s="443"/>
      <c r="CT285" s="443"/>
    </row>
    <row r="286" spans="57:98" ht="15" hidden="1" x14ac:dyDescent="0.25">
      <c r="BE286" s="432">
        <v>211</v>
      </c>
      <c r="BF286" s="432"/>
      <c r="BG286" s="432"/>
      <c r="BH286" s="216">
        <f>BH285-BH287</f>
        <v>691.24423963133643</v>
      </c>
      <c r="BI286" s="435">
        <f>BH286*0.1</f>
        <v>69.124423963133651</v>
      </c>
      <c r="BJ286" s="435"/>
      <c r="BK286" s="435"/>
      <c r="BL286" s="435"/>
      <c r="BM286" s="435"/>
      <c r="BN286" s="436">
        <f>BH286-BI286</f>
        <v>622.11981566820282</v>
      </c>
      <c r="BO286" s="445"/>
      <c r="BP286" s="445"/>
      <c r="BQ286" s="445"/>
      <c r="BR286" s="445"/>
      <c r="BS286" s="445"/>
      <c r="BT286" s="445"/>
      <c r="CE286" s="437">
        <f>BI286*15/20</f>
        <v>51.843317972350235</v>
      </c>
      <c r="CF286" s="446"/>
      <c r="CG286" s="446"/>
      <c r="CH286" s="446"/>
      <c r="CI286" s="446"/>
      <c r="CJ286" s="446"/>
      <c r="CM286" s="437">
        <f>BI286*5/20</f>
        <v>17.281105990783413</v>
      </c>
      <c r="CN286" s="446"/>
      <c r="CO286" s="446"/>
      <c r="CP286" s="446"/>
      <c r="CQ286" s="446"/>
      <c r="CR286" s="446"/>
      <c r="CS286" s="446"/>
      <c r="CT286" s="446"/>
    </row>
    <row r="287" spans="57:98" ht="12" hidden="1" x14ac:dyDescent="0.2">
      <c r="BE287" s="432">
        <v>213</v>
      </c>
      <c r="BF287" s="432"/>
      <c r="BG287" s="432"/>
      <c r="BH287" s="216">
        <f>BH285*30.2/130.2</f>
        <v>208.7557603686636</v>
      </c>
      <c r="BI287" s="435">
        <f>BI286*30.2%</f>
        <v>20.875576036866363</v>
      </c>
      <c r="BJ287" s="435"/>
      <c r="BK287" s="435"/>
      <c r="BL287" s="435"/>
      <c r="BM287" s="435"/>
      <c r="BN287" s="435">
        <f>BN286*30.2%</f>
        <v>187.88018433179724</v>
      </c>
      <c r="BO287" s="435"/>
      <c r="BP287" s="435"/>
      <c r="BQ287" s="435"/>
      <c r="BR287" s="435"/>
      <c r="BS287" s="435"/>
      <c r="BT287" s="435"/>
    </row>
    <row r="288" spans="57:98" ht="8.25" hidden="1" customHeight="1" x14ac:dyDescent="0.2"/>
    <row r="289" spans="57:98" ht="8.25" hidden="1" customHeight="1" x14ac:dyDescent="0.2"/>
    <row r="290" spans="57:98" ht="8.25" hidden="1" customHeight="1" x14ac:dyDescent="0.2"/>
    <row r="291" spans="57:98" ht="8.25" hidden="1" customHeight="1" x14ac:dyDescent="0.2"/>
    <row r="292" spans="57:98" ht="8.25" hidden="1" customHeight="1" x14ac:dyDescent="0.2"/>
    <row r="293" spans="57:98" ht="15" hidden="1" x14ac:dyDescent="0.25">
      <c r="BH293" s="253">
        <f>BI246+BI255+BI262+CM269+CM277+CM286</f>
        <v>535.71428571428567</v>
      </c>
    </row>
    <row r="294" spans="57:98" ht="8.25" hidden="1" customHeight="1" x14ac:dyDescent="0.2"/>
    <row r="295" spans="57:98" ht="12" hidden="1" x14ac:dyDescent="0.2"/>
    <row r="296" spans="57:98" ht="12" hidden="1" x14ac:dyDescent="0.2">
      <c r="BE296" s="432" t="s">
        <v>448</v>
      </c>
      <c r="BF296" s="432"/>
      <c r="BG296" s="432"/>
      <c r="BH296" s="432"/>
      <c r="BI296" s="432"/>
      <c r="BJ296" s="432"/>
      <c r="BK296" s="432"/>
      <c r="BL296" s="432"/>
      <c r="BM296" s="432"/>
      <c r="BN296" s="432"/>
      <c r="BO296" s="432"/>
      <c r="BP296" s="432"/>
      <c r="BQ296" s="432"/>
      <c r="BR296" s="432"/>
      <c r="BS296" s="432"/>
      <c r="BT296" s="432"/>
      <c r="BU296" s="432"/>
      <c r="BV296" s="432"/>
      <c r="BW296" s="432"/>
      <c r="BX296" s="432"/>
      <c r="BY296" s="432"/>
      <c r="BZ296" s="432"/>
      <c r="CA296" s="432"/>
    </row>
    <row r="297" spans="57:98" ht="12" hidden="1" x14ac:dyDescent="0.2">
      <c r="BE297" s="432" t="s">
        <v>126</v>
      </c>
      <c r="BF297" s="432"/>
      <c r="BG297" s="432"/>
      <c r="BH297" s="433">
        <f>250*30</f>
        <v>7500</v>
      </c>
      <c r="BI297" s="433"/>
      <c r="BJ297" s="433"/>
      <c r="BK297" s="433"/>
      <c r="BL297" s="433"/>
      <c r="BM297" s="311" t="s">
        <v>127</v>
      </c>
      <c r="BN297" s="311"/>
      <c r="BO297" s="311"/>
      <c r="BP297" s="311"/>
      <c r="BQ297" s="311"/>
      <c r="BR297" s="311"/>
      <c r="BS297" s="311"/>
      <c r="BT297" s="311"/>
    </row>
    <row r="298" spans="57:98" ht="15" hidden="1" x14ac:dyDescent="0.25">
      <c r="BE298" s="434">
        <v>0.6</v>
      </c>
      <c r="BF298" s="432"/>
      <c r="BG298" s="432"/>
      <c r="BH298" s="216">
        <f>BH297*BE298</f>
        <v>4500</v>
      </c>
      <c r="BI298" s="432" t="s">
        <v>128</v>
      </c>
      <c r="BJ298" s="432"/>
      <c r="BK298" s="432"/>
      <c r="BL298" s="432"/>
      <c r="BM298" s="432"/>
      <c r="BN298" s="432" t="s">
        <v>129</v>
      </c>
      <c r="BO298" s="432"/>
      <c r="BP298" s="432"/>
      <c r="BQ298" s="432"/>
      <c r="BR298" s="432"/>
      <c r="BS298" s="432"/>
      <c r="BT298" s="432"/>
      <c r="CE298" s="432" t="s">
        <v>368</v>
      </c>
      <c r="CF298" s="443"/>
      <c r="CG298" s="443"/>
      <c r="CH298" s="443"/>
      <c r="CI298" s="443"/>
      <c r="CJ298" s="443"/>
      <c r="CM298" s="432" t="s">
        <v>366</v>
      </c>
      <c r="CN298" s="443"/>
      <c r="CO298" s="443"/>
      <c r="CP298" s="443"/>
      <c r="CQ298" s="443"/>
      <c r="CR298" s="443"/>
      <c r="CS298" s="443"/>
      <c r="CT298" s="443"/>
    </row>
    <row r="299" spans="57:98" ht="15" hidden="1" x14ac:dyDescent="0.25">
      <c r="BE299" s="432">
        <v>211</v>
      </c>
      <c r="BF299" s="432"/>
      <c r="BG299" s="432"/>
      <c r="BH299" s="216">
        <f>BH298-BH300</f>
        <v>3456.221198156682</v>
      </c>
      <c r="BI299" s="435">
        <f>BH299*0.1</f>
        <v>345.62211981566821</v>
      </c>
      <c r="BJ299" s="435"/>
      <c r="BK299" s="435"/>
      <c r="BL299" s="435"/>
      <c r="BM299" s="435"/>
      <c r="BN299" s="436">
        <f>BH299-BI299</f>
        <v>3110.5990783410139</v>
      </c>
      <c r="BO299" s="445"/>
      <c r="BP299" s="445"/>
      <c r="BQ299" s="445"/>
      <c r="BR299" s="445"/>
      <c r="BS299" s="445"/>
      <c r="BT299" s="445"/>
      <c r="CE299" s="437">
        <f>BI299*15/20</f>
        <v>259.21658986175117</v>
      </c>
      <c r="CF299" s="446"/>
      <c r="CG299" s="446"/>
      <c r="CH299" s="446"/>
      <c r="CI299" s="446"/>
      <c r="CJ299" s="446"/>
      <c r="CM299" s="437">
        <f>BI299*5/20</f>
        <v>86.405529953917053</v>
      </c>
      <c r="CN299" s="446"/>
      <c r="CO299" s="446"/>
      <c r="CP299" s="446"/>
      <c r="CQ299" s="446"/>
      <c r="CR299" s="446"/>
      <c r="CS299" s="446"/>
      <c r="CT299" s="446"/>
    </row>
    <row r="300" spans="57:98" ht="12" hidden="1" x14ac:dyDescent="0.2">
      <c r="BE300" s="432">
        <v>213</v>
      </c>
      <c r="BF300" s="432"/>
      <c r="BG300" s="432"/>
      <c r="BH300" s="216">
        <f>BH298*30.2/130.2</f>
        <v>1043.778801843318</v>
      </c>
      <c r="BI300" s="435">
        <f>BI299*30.2%</f>
        <v>104.3778801843318</v>
      </c>
      <c r="BJ300" s="435"/>
      <c r="BK300" s="435"/>
      <c r="BL300" s="435"/>
      <c r="BM300" s="435"/>
      <c r="BN300" s="435">
        <f>BN299*30.2%</f>
        <v>939.40092165898614</v>
      </c>
      <c r="BO300" s="435"/>
      <c r="BP300" s="435"/>
      <c r="BQ300" s="435"/>
      <c r="BR300" s="435"/>
      <c r="BS300" s="435"/>
      <c r="BT300" s="435"/>
    </row>
    <row r="301" spans="57:98" ht="8.25" hidden="1" customHeight="1" x14ac:dyDescent="0.2"/>
    <row r="302" spans="57:98" ht="8.25" hidden="1" customHeight="1" x14ac:dyDescent="0.2"/>
    <row r="303" spans="57:98" ht="8.25" hidden="1" customHeight="1" x14ac:dyDescent="0.2"/>
    <row r="304" spans="57:98" ht="12" hidden="1" x14ac:dyDescent="0.2">
      <c r="BE304" s="432" t="s">
        <v>453</v>
      </c>
      <c r="BF304" s="432"/>
      <c r="BG304" s="432"/>
      <c r="BH304" s="432"/>
      <c r="BI304" s="432"/>
      <c r="BJ304" s="432"/>
      <c r="BK304" s="432"/>
      <c r="BL304" s="432"/>
      <c r="BM304" s="432"/>
      <c r="BN304" s="432"/>
      <c r="BO304" s="432"/>
      <c r="BP304" s="432"/>
      <c r="BQ304" s="432"/>
      <c r="BR304" s="432"/>
      <c r="BS304" s="432"/>
      <c r="BT304" s="432"/>
      <c r="BU304" s="432"/>
      <c r="BV304" s="432"/>
      <c r="BW304" s="432"/>
      <c r="BX304" s="432"/>
      <c r="BY304" s="432"/>
      <c r="BZ304" s="432"/>
      <c r="CA304" s="432"/>
    </row>
    <row r="305" spans="57:98" ht="12" hidden="1" x14ac:dyDescent="0.2">
      <c r="BE305" s="432" t="s">
        <v>126</v>
      </c>
      <c r="BF305" s="432"/>
      <c r="BG305" s="432"/>
      <c r="BH305" s="433">
        <f>250*22</f>
        <v>5500</v>
      </c>
      <c r="BI305" s="433"/>
      <c r="BJ305" s="433"/>
      <c r="BK305" s="433"/>
      <c r="BL305" s="433"/>
      <c r="BM305" s="311" t="s">
        <v>127</v>
      </c>
      <c r="BN305" s="311"/>
      <c r="BO305" s="311"/>
      <c r="BP305" s="311"/>
      <c r="BQ305" s="311"/>
      <c r="BR305" s="311"/>
      <c r="BS305" s="311"/>
      <c r="BT305" s="311"/>
    </row>
    <row r="306" spans="57:98" ht="15" hidden="1" x14ac:dyDescent="0.25">
      <c r="BE306" s="434">
        <v>0.6</v>
      </c>
      <c r="BF306" s="432"/>
      <c r="BG306" s="432"/>
      <c r="BH306" s="216">
        <f>BH305*BE306</f>
        <v>3300</v>
      </c>
      <c r="BI306" s="432" t="s">
        <v>128</v>
      </c>
      <c r="BJ306" s="432"/>
      <c r="BK306" s="432"/>
      <c r="BL306" s="432"/>
      <c r="BM306" s="432"/>
      <c r="BN306" s="432" t="s">
        <v>129</v>
      </c>
      <c r="BO306" s="432"/>
      <c r="BP306" s="432"/>
      <c r="BQ306" s="432"/>
      <c r="BR306" s="432"/>
      <c r="BS306" s="432"/>
      <c r="BT306" s="432"/>
      <c r="CE306" s="432" t="s">
        <v>368</v>
      </c>
      <c r="CF306" s="443"/>
      <c r="CG306" s="443"/>
      <c r="CH306" s="443"/>
      <c r="CI306" s="443"/>
      <c r="CJ306" s="443"/>
      <c r="CM306" s="432" t="s">
        <v>366</v>
      </c>
      <c r="CN306" s="443"/>
      <c r="CO306" s="443"/>
      <c r="CP306" s="443"/>
      <c r="CQ306" s="443"/>
      <c r="CR306" s="443"/>
      <c r="CS306" s="443"/>
      <c r="CT306" s="443"/>
    </row>
    <row r="307" spans="57:98" ht="15" hidden="1" x14ac:dyDescent="0.25">
      <c r="BE307" s="432">
        <v>211</v>
      </c>
      <c r="BF307" s="432"/>
      <c r="BG307" s="432"/>
      <c r="BH307" s="216">
        <f>BH306-BH308</f>
        <v>2534.5622119815666</v>
      </c>
      <c r="BI307" s="435">
        <f>BH307*0.1</f>
        <v>253.45622119815667</v>
      </c>
      <c r="BJ307" s="435"/>
      <c r="BK307" s="435"/>
      <c r="BL307" s="435"/>
      <c r="BM307" s="435"/>
      <c r="BN307" s="436">
        <f>BH307-BI307</f>
        <v>2281.1059907834101</v>
      </c>
      <c r="BO307" s="445"/>
      <c r="BP307" s="445"/>
      <c r="BQ307" s="445"/>
      <c r="BR307" s="445"/>
      <c r="BS307" s="445"/>
      <c r="BT307" s="445"/>
      <c r="CE307" s="437">
        <f>BI307*15/20</f>
        <v>190.09216589861751</v>
      </c>
      <c r="CF307" s="446"/>
      <c r="CG307" s="446"/>
      <c r="CH307" s="446"/>
      <c r="CI307" s="446"/>
      <c r="CJ307" s="446"/>
      <c r="CM307" s="437">
        <f>BI307*5/20</f>
        <v>63.364055299539167</v>
      </c>
      <c r="CN307" s="446"/>
      <c r="CO307" s="446"/>
      <c r="CP307" s="446"/>
      <c r="CQ307" s="446"/>
      <c r="CR307" s="446"/>
      <c r="CS307" s="446"/>
      <c r="CT307" s="446"/>
    </row>
    <row r="308" spans="57:98" ht="12" hidden="1" x14ac:dyDescent="0.2">
      <c r="BE308" s="432">
        <v>213</v>
      </c>
      <c r="BF308" s="432"/>
      <c r="BG308" s="432"/>
      <c r="BH308" s="216">
        <f>BH306*30.2/130.2</f>
        <v>765.43778801843325</v>
      </c>
      <c r="BI308" s="435">
        <f>BI307*30.2%</f>
        <v>76.543778801843317</v>
      </c>
      <c r="BJ308" s="435"/>
      <c r="BK308" s="435"/>
      <c r="BL308" s="435"/>
      <c r="BM308" s="435"/>
      <c r="BN308" s="435">
        <f>BN307*30.2%</f>
        <v>688.89400921658978</v>
      </c>
      <c r="BO308" s="435"/>
      <c r="BP308" s="435"/>
      <c r="BQ308" s="435"/>
      <c r="BR308" s="435"/>
      <c r="BS308" s="435"/>
      <c r="BT308" s="435"/>
    </row>
    <row r="309" spans="57:98" ht="8.25" hidden="1" customHeight="1" x14ac:dyDescent="0.2"/>
    <row r="310" spans="57:98" ht="8.25" hidden="1" customHeight="1" x14ac:dyDescent="0.2"/>
    <row r="311" spans="57:98" ht="12" hidden="1" x14ac:dyDescent="0.2">
      <c r="BE311" s="432" t="s">
        <v>466</v>
      </c>
      <c r="BF311" s="432"/>
      <c r="BG311" s="432"/>
      <c r="BH311" s="432"/>
      <c r="BI311" s="432"/>
      <c r="BJ311" s="432"/>
      <c r="BK311" s="432"/>
      <c r="BL311" s="432"/>
      <c r="BM311" s="432"/>
      <c r="BN311" s="432"/>
      <c r="BO311" s="432"/>
      <c r="BP311" s="432"/>
      <c r="BQ311" s="432"/>
      <c r="BR311" s="432"/>
      <c r="BS311" s="432"/>
      <c r="BT311" s="432"/>
      <c r="BU311" s="432"/>
      <c r="BV311" s="432"/>
      <c r="BW311" s="432"/>
      <c r="BX311" s="432"/>
      <c r="BY311" s="432"/>
      <c r="BZ311" s="432"/>
      <c r="CA311" s="432"/>
    </row>
    <row r="312" spans="57:98" ht="12" hidden="1" x14ac:dyDescent="0.2">
      <c r="BE312" s="432" t="s">
        <v>126</v>
      </c>
      <c r="BF312" s="432"/>
      <c r="BG312" s="432"/>
      <c r="BH312" s="433">
        <f>250*28</f>
        <v>7000</v>
      </c>
      <c r="BI312" s="433"/>
      <c r="BJ312" s="433"/>
      <c r="BK312" s="433"/>
      <c r="BL312" s="433"/>
      <c r="BM312" s="311" t="s">
        <v>127</v>
      </c>
      <c r="BN312" s="311"/>
      <c r="BO312" s="311"/>
      <c r="BP312" s="311"/>
      <c r="BQ312" s="311"/>
      <c r="BR312" s="311"/>
      <c r="BS312" s="311"/>
      <c r="BT312" s="311"/>
    </row>
    <row r="313" spans="57:98" ht="15" hidden="1" x14ac:dyDescent="0.25">
      <c r="BE313" s="434">
        <v>0.6</v>
      </c>
      <c r="BF313" s="432"/>
      <c r="BG313" s="432"/>
      <c r="BH313" s="216">
        <f>BH312*BE313</f>
        <v>4200</v>
      </c>
      <c r="BI313" s="432" t="s">
        <v>128</v>
      </c>
      <c r="BJ313" s="432"/>
      <c r="BK313" s="432"/>
      <c r="BL313" s="432"/>
      <c r="BM313" s="432"/>
      <c r="BN313" s="432" t="s">
        <v>129</v>
      </c>
      <c r="BO313" s="432"/>
      <c r="BP313" s="432"/>
      <c r="BQ313" s="432"/>
      <c r="BR313" s="432"/>
      <c r="BS313" s="432"/>
      <c r="BT313" s="432"/>
      <c r="CE313" s="432" t="s">
        <v>368</v>
      </c>
      <c r="CF313" s="443"/>
      <c r="CG313" s="443"/>
      <c r="CH313" s="443"/>
      <c r="CI313" s="443"/>
      <c r="CJ313" s="443"/>
      <c r="CM313" s="432" t="s">
        <v>366</v>
      </c>
      <c r="CN313" s="443"/>
      <c r="CO313" s="443"/>
      <c r="CP313" s="443"/>
      <c r="CQ313" s="443"/>
      <c r="CR313" s="443"/>
      <c r="CS313" s="443"/>
      <c r="CT313" s="443"/>
    </row>
    <row r="314" spans="57:98" ht="15" hidden="1" x14ac:dyDescent="0.25">
      <c r="BE314" s="432">
        <v>211</v>
      </c>
      <c r="BF314" s="432"/>
      <c r="BG314" s="432"/>
      <c r="BH314" s="216">
        <f>BH313-BH315</f>
        <v>3225.8064516129034</v>
      </c>
      <c r="BI314" s="435">
        <f>BH314*0.1</f>
        <v>322.58064516129036</v>
      </c>
      <c r="BJ314" s="435"/>
      <c r="BK314" s="435"/>
      <c r="BL314" s="435"/>
      <c r="BM314" s="435"/>
      <c r="BN314" s="436">
        <f>BH314-BI314</f>
        <v>2903.2258064516132</v>
      </c>
      <c r="BO314" s="445"/>
      <c r="BP314" s="445"/>
      <c r="BQ314" s="445"/>
      <c r="BR314" s="445"/>
      <c r="BS314" s="445"/>
      <c r="BT314" s="445"/>
      <c r="CE314" s="437">
        <f>BI314*15/20</f>
        <v>241.93548387096774</v>
      </c>
      <c r="CF314" s="446"/>
      <c r="CG314" s="446"/>
      <c r="CH314" s="446"/>
      <c r="CI314" s="446"/>
      <c r="CJ314" s="446"/>
      <c r="CM314" s="437">
        <f>BI314*5/20</f>
        <v>80.645161290322591</v>
      </c>
      <c r="CN314" s="446"/>
      <c r="CO314" s="446"/>
      <c r="CP314" s="446"/>
      <c r="CQ314" s="446"/>
      <c r="CR314" s="446"/>
      <c r="CS314" s="446"/>
      <c r="CT314" s="446"/>
    </row>
    <row r="315" spans="57:98" ht="12" hidden="1" x14ac:dyDescent="0.2">
      <c r="BE315" s="432">
        <v>213</v>
      </c>
      <c r="BF315" s="432"/>
      <c r="BG315" s="432"/>
      <c r="BH315" s="216">
        <f>BH313*30.2/130.2</f>
        <v>974.19354838709683</v>
      </c>
      <c r="BI315" s="435">
        <f>BI314*30.2%</f>
        <v>97.41935483870968</v>
      </c>
      <c r="BJ315" s="435"/>
      <c r="BK315" s="435"/>
      <c r="BL315" s="435"/>
      <c r="BM315" s="435"/>
      <c r="BN315" s="435">
        <f>BN314*30.2%</f>
        <v>876.77419354838719</v>
      </c>
      <c r="BO315" s="435"/>
      <c r="BP315" s="435"/>
      <c r="BQ315" s="435"/>
      <c r="BR315" s="435"/>
      <c r="BS315" s="435"/>
      <c r="BT315" s="435"/>
    </row>
    <row r="316" spans="57:98" ht="8.25" hidden="1" customHeight="1" x14ac:dyDescent="0.2"/>
    <row r="317" spans="57:98" ht="8.25" hidden="1" customHeight="1" x14ac:dyDescent="0.2"/>
    <row r="318" spans="57:98" ht="12" hidden="1" x14ac:dyDescent="0.2"/>
    <row r="319" spans="57:98" ht="12" hidden="1" x14ac:dyDescent="0.2">
      <c r="BE319" s="432" t="s">
        <v>475</v>
      </c>
      <c r="BF319" s="432"/>
      <c r="BG319" s="432"/>
      <c r="BH319" s="432"/>
      <c r="BI319" s="432"/>
      <c r="BJ319" s="432"/>
      <c r="BK319" s="432"/>
      <c r="BL319" s="432"/>
      <c r="BM319" s="432"/>
      <c r="BN319" s="432"/>
      <c r="BO319" s="432"/>
      <c r="BP319" s="432"/>
      <c r="BQ319" s="432"/>
      <c r="BR319" s="432"/>
      <c r="BS319" s="432"/>
      <c r="BT319" s="432"/>
      <c r="BU319" s="432"/>
      <c r="BV319" s="432"/>
      <c r="BW319" s="432"/>
      <c r="BX319" s="432"/>
      <c r="BY319" s="432"/>
      <c r="BZ319" s="432"/>
      <c r="CA319" s="432"/>
    </row>
    <row r="320" spans="57:98" ht="12" hidden="1" x14ac:dyDescent="0.2">
      <c r="BE320" s="432" t="s">
        <v>126</v>
      </c>
      <c r="BF320" s="432"/>
      <c r="BG320" s="432"/>
      <c r="BH320" s="433">
        <f>250*12</f>
        <v>3000</v>
      </c>
      <c r="BI320" s="433"/>
      <c r="BJ320" s="433"/>
      <c r="BK320" s="433"/>
      <c r="BL320" s="433"/>
      <c r="BM320" s="311" t="s">
        <v>127</v>
      </c>
      <c r="BN320" s="311"/>
      <c r="BO320" s="311"/>
      <c r="BP320" s="311"/>
      <c r="BQ320" s="311"/>
      <c r="BR320" s="311"/>
      <c r="BS320" s="311"/>
      <c r="BT320" s="311"/>
    </row>
    <row r="321" spans="57:98" ht="15" hidden="1" x14ac:dyDescent="0.25">
      <c r="BE321" s="434">
        <v>0.6</v>
      </c>
      <c r="BF321" s="432"/>
      <c r="BG321" s="432"/>
      <c r="BH321" s="216">
        <f>BH320*BE321</f>
        <v>1800</v>
      </c>
      <c r="BI321" s="432" t="s">
        <v>128</v>
      </c>
      <c r="BJ321" s="432"/>
      <c r="BK321" s="432"/>
      <c r="BL321" s="432"/>
      <c r="BM321" s="432"/>
      <c r="BN321" s="432" t="s">
        <v>129</v>
      </c>
      <c r="BO321" s="432"/>
      <c r="BP321" s="432"/>
      <c r="BQ321" s="432"/>
      <c r="BR321" s="432"/>
      <c r="BS321" s="432"/>
      <c r="BT321" s="432"/>
      <c r="CE321" s="432" t="s">
        <v>368</v>
      </c>
      <c r="CF321" s="443"/>
      <c r="CG321" s="443"/>
      <c r="CH321" s="443"/>
      <c r="CI321" s="443"/>
      <c r="CJ321" s="443"/>
      <c r="CM321" s="432" t="s">
        <v>366</v>
      </c>
      <c r="CN321" s="443"/>
      <c r="CO321" s="443"/>
      <c r="CP321" s="443"/>
      <c r="CQ321" s="443"/>
      <c r="CR321" s="443"/>
      <c r="CS321" s="443"/>
      <c r="CT321" s="443"/>
    </row>
    <row r="322" spans="57:98" ht="15" hidden="1" x14ac:dyDescent="0.25">
      <c r="BE322" s="432">
        <v>211</v>
      </c>
      <c r="BF322" s="432"/>
      <c r="BG322" s="432"/>
      <c r="BH322" s="216">
        <f>BH321-BH323</f>
        <v>1382.4884792626729</v>
      </c>
      <c r="BI322" s="435">
        <f>BH322*0.1</f>
        <v>138.2488479262673</v>
      </c>
      <c r="BJ322" s="435"/>
      <c r="BK322" s="435"/>
      <c r="BL322" s="435"/>
      <c r="BM322" s="435"/>
      <c r="BN322" s="436">
        <f>BH322-BI322</f>
        <v>1244.2396313364056</v>
      </c>
      <c r="BO322" s="445"/>
      <c r="BP322" s="445"/>
      <c r="BQ322" s="445"/>
      <c r="BR322" s="445"/>
      <c r="BS322" s="445"/>
      <c r="BT322" s="445"/>
      <c r="CE322" s="437">
        <f>BI322*15/20</f>
        <v>103.68663594470047</v>
      </c>
      <c r="CF322" s="446"/>
      <c r="CG322" s="446"/>
      <c r="CH322" s="446"/>
      <c r="CI322" s="446"/>
      <c r="CJ322" s="446"/>
      <c r="CM322" s="437">
        <f>BI322*5/20</f>
        <v>34.562211981566826</v>
      </c>
      <c r="CN322" s="446"/>
      <c r="CO322" s="446"/>
      <c r="CP322" s="446"/>
      <c r="CQ322" s="446"/>
      <c r="CR322" s="446"/>
      <c r="CS322" s="446"/>
      <c r="CT322" s="446"/>
    </row>
    <row r="323" spans="57:98" ht="12" hidden="1" x14ac:dyDescent="0.2">
      <c r="BE323" s="432">
        <v>213</v>
      </c>
      <c r="BF323" s="432"/>
      <c r="BG323" s="432"/>
      <c r="BH323" s="216">
        <f>BH321*30.2/130.2</f>
        <v>417.5115207373272</v>
      </c>
      <c r="BI323" s="435">
        <f>BI322*30.2%</f>
        <v>41.751152073732726</v>
      </c>
      <c r="BJ323" s="435"/>
      <c r="BK323" s="435"/>
      <c r="BL323" s="435"/>
      <c r="BM323" s="435"/>
      <c r="BN323" s="435">
        <f>BN322*30.2%</f>
        <v>375.76036866359448</v>
      </c>
      <c r="BO323" s="435"/>
      <c r="BP323" s="435"/>
      <c r="BQ323" s="435"/>
      <c r="BR323" s="435"/>
      <c r="BS323" s="435"/>
      <c r="BT323" s="435"/>
    </row>
    <row r="324" spans="57:98" ht="8.25" hidden="1" customHeight="1" x14ac:dyDescent="0.2"/>
    <row r="325" spans="57:98" ht="8.25" hidden="1" customHeight="1" x14ac:dyDescent="0.2"/>
    <row r="326" spans="57:98" ht="8.25" hidden="1" customHeight="1" x14ac:dyDescent="0.2"/>
    <row r="327" spans="57:98" ht="12" hidden="1" x14ac:dyDescent="0.2">
      <c r="BE327" s="432" t="s">
        <v>485</v>
      </c>
      <c r="BF327" s="432"/>
      <c r="BG327" s="432"/>
      <c r="BH327" s="432"/>
      <c r="BI327" s="432"/>
      <c r="BJ327" s="432"/>
      <c r="BK327" s="432"/>
      <c r="BL327" s="432"/>
      <c r="BM327" s="432"/>
      <c r="BN327" s="432"/>
      <c r="BO327" s="432"/>
      <c r="BP327" s="432"/>
      <c r="BQ327" s="432"/>
      <c r="BR327" s="432"/>
      <c r="BS327" s="432"/>
      <c r="BT327" s="432"/>
      <c r="BU327" s="432"/>
      <c r="BV327" s="432"/>
      <c r="BW327" s="432"/>
      <c r="BX327" s="432"/>
      <c r="BY327" s="432"/>
      <c r="BZ327" s="432"/>
      <c r="CA327" s="432"/>
    </row>
    <row r="328" spans="57:98" ht="12" hidden="1" x14ac:dyDescent="0.2">
      <c r="BE328" s="432" t="s">
        <v>126</v>
      </c>
      <c r="BF328" s="432"/>
      <c r="BG328" s="432"/>
      <c r="BH328" s="433">
        <f>250*5</f>
        <v>1250</v>
      </c>
      <c r="BI328" s="433"/>
      <c r="BJ328" s="433"/>
      <c r="BK328" s="433"/>
      <c r="BL328" s="433"/>
      <c r="BM328" s="311" t="s">
        <v>127</v>
      </c>
      <c r="BN328" s="311"/>
      <c r="BO328" s="311"/>
      <c r="BP328" s="311"/>
      <c r="BQ328" s="311"/>
      <c r="BR328" s="311"/>
      <c r="BS328" s="311"/>
      <c r="BT328" s="311"/>
    </row>
    <row r="329" spans="57:98" ht="15" hidden="1" x14ac:dyDescent="0.25">
      <c r="BE329" s="434">
        <v>0.6</v>
      </c>
      <c r="BF329" s="432"/>
      <c r="BG329" s="432"/>
      <c r="BH329" s="216">
        <f>BH328*BE329</f>
        <v>750</v>
      </c>
      <c r="BI329" s="432" t="s">
        <v>128</v>
      </c>
      <c r="BJ329" s="432"/>
      <c r="BK329" s="432"/>
      <c r="BL329" s="432"/>
      <c r="BM329" s="432"/>
      <c r="BN329" s="432" t="s">
        <v>129</v>
      </c>
      <c r="BO329" s="432"/>
      <c r="BP329" s="432"/>
      <c r="BQ329" s="432"/>
      <c r="BR329" s="432"/>
      <c r="BS329" s="432"/>
      <c r="BT329" s="432"/>
      <c r="CE329" s="432" t="s">
        <v>368</v>
      </c>
      <c r="CF329" s="443"/>
      <c r="CG329" s="443"/>
      <c r="CH329" s="443"/>
      <c r="CI329" s="443"/>
      <c r="CJ329" s="443"/>
      <c r="CM329" s="432" t="s">
        <v>366</v>
      </c>
      <c r="CN329" s="443"/>
      <c r="CO329" s="443"/>
      <c r="CP329" s="443"/>
      <c r="CQ329" s="443"/>
      <c r="CR329" s="443"/>
      <c r="CS329" s="443"/>
      <c r="CT329" s="443"/>
    </row>
    <row r="330" spans="57:98" ht="15" hidden="1" x14ac:dyDescent="0.25">
      <c r="BE330" s="432">
        <v>211</v>
      </c>
      <c r="BF330" s="432"/>
      <c r="BG330" s="432"/>
      <c r="BH330" s="216">
        <f>BH329-BH331</f>
        <v>576.036866359447</v>
      </c>
      <c r="BI330" s="435">
        <f>BH330*0.1</f>
        <v>57.603686635944705</v>
      </c>
      <c r="BJ330" s="435"/>
      <c r="BK330" s="435"/>
      <c r="BL330" s="435"/>
      <c r="BM330" s="435"/>
      <c r="BN330" s="436">
        <f>BH330-BI330</f>
        <v>518.43317972350235</v>
      </c>
      <c r="BO330" s="445"/>
      <c r="BP330" s="445"/>
      <c r="BQ330" s="445"/>
      <c r="BR330" s="445"/>
      <c r="BS330" s="445"/>
      <c r="BT330" s="445"/>
      <c r="CE330" s="437">
        <f>BI330*15/20</f>
        <v>43.202764976958534</v>
      </c>
      <c r="CF330" s="446"/>
      <c r="CG330" s="446"/>
      <c r="CH330" s="446"/>
      <c r="CI330" s="446"/>
      <c r="CJ330" s="446"/>
      <c r="CM330" s="437">
        <f>BI330*5/20</f>
        <v>14.400921658986174</v>
      </c>
      <c r="CN330" s="446"/>
      <c r="CO330" s="446"/>
      <c r="CP330" s="446"/>
      <c r="CQ330" s="446"/>
      <c r="CR330" s="446"/>
      <c r="CS330" s="446"/>
      <c r="CT330" s="446"/>
    </row>
    <row r="331" spans="57:98" ht="12" hidden="1" x14ac:dyDescent="0.2">
      <c r="BE331" s="432">
        <v>213</v>
      </c>
      <c r="BF331" s="432"/>
      <c r="BG331" s="432"/>
      <c r="BH331" s="216">
        <f>BH329*30.2/130.2</f>
        <v>173.963133640553</v>
      </c>
      <c r="BI331" s="435">
        <f>BI330*30.2%</f>
        <v>17.396313364055299</v>
      </c>
      <c r="BJ331" s="435"/>
      <c r="BK331" s="435"/>
      <c r="BL331" s="435"/>
      <c r="BM331" s="435"/>
      <c r="BN331" s="435">
        <f>BN330*30.2%</f>
        <v>156.56682027649771</v>
      </c>
      <c r="BO331" s="435"/>
      <c r="BP331" s="435"/>
      <c r="BQ331" s="435"/>
      <c r="BR331" s="435"/>
      <c r="BS331" s="435"/>
      <c r="BT331" s="435"/>
    </row>
    <row r="332" spans="57:98" ht="8.25" hidden="1" customHeight="1" x14ac:dyDescent="0.2"/>
    <row r="333" spans="57:98" ht="8.25" hidden="1" customHeight="1" x14ac:dyDescent="0.2"/>
    <row r="334" spans="57:98" ht="8.25" hidden="1" customHeight="1" x14ac:dyDescent="0.2"/>
    <row r="335" spans="57:98" ht="12" hidden="1" x14ac:dyDescent="0.2">
      <c r="BE335" s="432" t="s">
        <v>491</v>
      </c>
      <c r="BF335" s="432"/>
      <c r="BG335" s="432"/>
      <c r="BH335" s="432"/>
      <c r="BI335" s="432"/>
      <c r="BJ335" s="432"/>
      <c r="BK335" s="432"/>
      <c r="BL335" s="432"/>
      <c r="BM335" s="432"/>
      <c r="BN335" s="432"/>
      <c r="BO335" s="432"/>
      <c r="BP335" s="432"/>
      <c r="BQ335" s="432"/>
      <c r="BR335" s="432"/>
      <c r="BS335" s="432"/>
      <c r="BT335" s="432"/>
      <c r="BU335" s="432"/>
      <c r="BV335" s="432"/>
      <c r="BW335" s="432"/>
      <c r="BX335" s="432"/>
      <c r="BY335" s="432"/>
      <c r="BZ335" s="432"/>
      <c r="CA335" s="432"/>
    </row>
    <row r="336" spans="57:98" ht="12" hidden="1" x14ac:dyDescent="0.2">
      <c r="BE336" s="432" t="s">
        <v>126</v>
      </c>
      <c r="BF336" s="432"/>
      <c r="BG336" s="432"/>
      <c r="BH336" s="433">
        <f>250*10</f>
        <v>2500</v>
      </c>
      <c r="BI336" s="433"/>
      <c r="BJ336" s="433"/>
      <c r="BK336" s="433"/>
      <c r="BL336" s="433"/>
      <c r="BM336" s="311" t="s">
        <v>127</v>
      </c>
      <c r="BN336" s="311"/>
      <c r="BO336" s="311"/>
      <c r="BP336" s="311"/>
      <c r="BQ336" s="311"/>
      <c r="BR336" s="311"/>
      <c r="BS336" s="311"/>
      <c r="BT336" s="311"/>
    </row>
    <row r="337" spans="57:98" ht="15" hidden="1" x14ac:dyDescent="0.25">
      <c r="BE337" s="434">
        <v>0.6</v>
      </c>
      <c r="BF337" s="432"/>
      <c r="BG337" s="432"/>
      <c r="BH337" s="216">
        <f>BH336*BE337</f>
        <v>1500</v>
      </c>
      <c r="BI337" s="432" t="s">
        <v>128</v>
      </c>
      <c r="BJ337" s="432"/>
      <c r="BK337" s="432"/>
      <c r="BL337" s="432"/>
      <c r="BM337" s="432"/>
      <c r="BN337" s="432" t="s">
        <v>129</v>
      </c>
      <c r="BO337" s="432"/>
      <c r="BP337" s="432"/>
      <c r="BQ337" s="432"/>
      <c r="BR337" s="432"/>
      <c r="BS337" s="432"/>
      <c r="BT337" s="432"/>
      <c r="CE337" s="432" t="s">
        <v>368</v>
      </c>
      <c r="CF337" s="443"/>
      <c r="CG337" s="443"/>
      <c r="CH337" s="443"/>
      <c r="CI337" s="443"/>
      <c r="CJ337" s="443"/>
      <c r="CM337" s="432" t="s">
        <v>366</v>
      </c>
      <c r="CN337" s="443"/>
      <c r="CO337" s="443"/>
      <c r="CP337" s="443"/>
      <c r="CQ337" s="443"/>
      <c r="CR337" s="443"/>
      <c r="CS337" s="443"/>
      <c r="CT337" s="443"/>
    </row>
    <row r="338" spans="57:98" ht="15" hidden="1" x14ac:dyDescent="0.25">
      <c r="BE338" s="432">
        <v>211</v>
      </c>
      <c r="BF338" s="432"/>
      <c r="BG338" s="432"/>
      <c r="BH338" s="216">
        <f>BH337-BH339</f>
        <v>1152.073732718894</v>
      </c>
      <c r="BI338" s="435">
        <f>BH338*0.1</f>
        <v>115.20737327188941</v>
      </c>
      <c r="BJ338" s="435"/>
      <c r="BK338" s="435"/>
      <c r="BL338" s="435"/>
      <c r="BM338" s="435"/>
      <c r="BN338" s="436">
        <f>BH338-BI338</f>
        <v>1036.8663594470047</v>
      </c>
      <c r="BO338" s="445"/>
      <c r="BP338" s="445"/>
      <c r="BQ338" s="445"/>
      <c r="BR338" s="445"/>
      <c r="BS338" s="445"/>
      <c r="BT338" s="445"/>
      <c r="CE338" s="437">
        <f>BI338*15/20</f>
        <v>86.405529953917068</v>
      </c>
      <c r="CF338" s="446"/>
      <c r="CG338" s="446"/>
      <c r="CH338" s="446"/>
      <c r="CI338" s="446"/>
      <c r="CJ338" s="446"/>
      <c r="CM338" s="437">
        <f>BI338*5/20</f>
        <v>28.801843317972349</v>
      </c>
      <c r="CN338" s="446"/>
      <c r="CO338" s="446"/>
      <c r="CP338" s="446"/>
      <c r="CQ338" s="446"/>
      <c r="CR338" s="446"/>
      <c r="CS338" s="446"/>
      <c r="CT338" s="446"/>
    </row>
    <row r="339" spans="57:98" ht="12" hidden="1" x14ac:dyDescent="0.2">
      <c r="BE339" s="432">
        <v>213</v>
      </c>
      <c r="BF339" s="432"/>
      <c r="BG339" s="432"/>
      <c r="BH339" s="216">
        <f>BH337*30.2/130.2</f>
        <v>347.92626728110599</v>
      </c>
      <c r="BI339" s="435">
        <f>BI338*30.2%</f>
        <v>34.792626728110598</v>
      </c>
      <c r="BJ339" s="435"/>
      <c r="BK339" s="435"/>
      <c r="BL339" s="435"/>
      <c r="BM339" s="435"/>
      <c r="BN339" s="435">
        <f>BN338*30.2%</f>
        <v>313.13364055299542</v>
      </c>
      <c r="BO339" s="435"/>
      <c r="BP339" s="435"/>
      <c r="BQ339" s="435"/>
      <c r="BR339" s="435"/>
      <c r="BS339" s="435"/>
      <c r="BT339" s="435"/>
    </row>
    <row r="340" spans="57:98" ht="8.25" hidden="1" customHeight="1" x14ac:dyDescent="0.2"/>
    <row r="341" spans="57:98" ht="8.25" hidden="1" customHeight="1" x14ac:dyDescent="0.2"/>
    <row r="342" spans="57:98" ht="8.25" hidden="1" customHeight="1" x14ac:dyDescent="0.2"/>
    <row r="343" spans="57:98" ht="12" hidden="1" x14ac:dyDescent="0.2">
      <c r="BE343" s="432" t="s">
        <v>501</v>
      </c>
      <c r="BF343" s="432"/>
      <c r="BG343" s="432"/>
      <c r="BH343" s="432"/>
      <c r="BI343" s="432"/>
      <c r="BJ343" s="432"/>
      <c r="BK343" s="432"/>
      <c r="BL343" s="432"/>
      <c r="BM343" s="432"/>
      <c r="BN343" s="432"/>
      <c r="BO343" s="432"/>
      <c r="BP343" s="432"/>
      <c r="BQ343" s="432"/>
      <c r="BR343" s="432"/>
      <c r="BS343" s="432"/>
      <c r="BT343" s="432"/>
      <c r="BU343" s="432"/>
      <c r="BV343" s="432"/>
      <c r="BW343" s="432"/>
      <c r="BX343" s="432"/>
      <c r="BY343" s="432"/>
      <c r="BZ343" s="432"/>
      <c r="CA343" s="432"/>
    </row>
    <row r="344" spans="57:98" ht="12" hidden="1" x14ac:dyDescent="0.2">
      <c r="BE344" s="432" t="s">
        <v>126</v>
      </c>
      <c r="BF344" s="432"/>
      <c r="BG344" s="432"/>
      <c r="BH344" s="433">
        <f>250*4</f>
        <v>1000</v>
      </c>
      <c r="BI344" s="433"/>
      <c r="BJ344" s="433"/>
      <c r="BK344" s="433"/>
      <c r="BL344" s="433"/>
      <c r="BM344" s="311" t="s">
        <v>127</v>
      </c>
      <c r="BN344" s="311"/>
      <c r="BO344" s="311"/>
      <c r="BP344" s="311"/>
      <c r="BQ344" s="311"/>
      <c r="BR344" s="311"/>
      <c r="BS344" s="311"/>
      <c r="BT344" s="311"/>
    </row>
    <row r="345" spans="57:98" ht="15" hidden="1" x14ac:dyDescent="0.25">
      <c r="BE345" s="434">
        <v>0.6</v>
      </c>
      <c r="BF345" s="432"/>
      <c r="BG345" s="432"/>
      <c r="BH345" s="216">
        <f>BH344*BE345</f>
        <v>600</v>
      </c>
      <c r="BI345" s="432" t="s">
        <v>128</v>
      </c>
      <c r="BJ345" s="432"/>
      <c r="BK345" s="432"/>
      <c r="BL345" s="432"/>
      <c r="BM345" s="432"/>
      <c r="BN345" s="432" t="s">
        <v>129</v>
      </c>
      <c r="BO345" s="432"/>
      <c r="BP345" s="432"/>
      <c r="BQ345" s="432"/>
      <c r="BR345" s="432"/>
      <c r="BS345" s="432"/>
      <c r="BT345" s="432"/>
      <c r="CE345" s="432" t="s">
        <v>368</v>
      </c>
      <c r="CF345" s="443"/>
      <c r="CG345" s="443"/>
      <c r="CH345" s="443"/>
      <c r="CI345" s="443"/>
      <c r="CJ345" s="443"/>
      <c r="CM345" s="432" t="s">
        <v>366</v>
      </c>
      <c r="CN345" s="443"/>
      <c r="CO345" s="443"/>
      <c r="CP345" s="443"/>
      <c r="CQ345" s="443"/>
      <c r="CR345" s="443"/>
      <c r="CS345" s="443"/>
      <c r="CT345" s="443"/>
    </row>
    <row r="346" spans="57:98" ht="15" hidden="1" x14ac:dyDescent="0.25">
      <c r="BE346" s="432">
        <v>211</v>
      </c>
      <c r="BF346" s="432"/>
      <c r="BG346" s="432"/>
      <c r="BH346" s="216">
        <f>BH345-BH347</f>
        <v>460.82949308755758</v>
      </c>
      <c r="BI346" s="435">
        <f>BH346*0.1</f>
        <v>46.082949308755758</v>
      </c>
      <c r="BJ346" s="435"/>
      <c r="BK346" s="435"/>
      <c r="BL346" s="435"/>
      <c r="BM346" s="435"/>
      <c r="BN346" s="436">
        <f>BH346-BI346</f>
        <v>414.74654377880182</v>
      </c>
      <c r="BO346" s="445"/>
      <c r="BP346" s="445"/>
      <c r="BQ346" s="445"/>
      <c r="BR346" s="445"/>
      <c r="BS346" s="445"/>
      <c r="BT346" s="445"/>
      <c r="CE346" s="437">
        <f>BI346*15/20</f>
        <v>34.562211981566819</v>
      </c>
      <c r="CF346" s="446"/>
      <c r="CG346" s="446"/>
      <c r="CH346" s="446"/>
      <c r="CI346" s="446"/>
      <c r="CJ346" s="446"/>
      <c r="CM346" s="437">
        <f>BI346*5/20</f>
        <v>11.52073732718894</v>
      </c>
      <c r="CN346" s="446"/>
      <c r="CO346" s="446"/>
      <c r="CP346" s="446"/>
      <c r="CQ346" s="446"/>
      <c r="CR346" s="446"/>
      <c r="CS346" s="446"/>
      <c r="CT346" s="446"/>
    </row>
    <row r="347" spans="57:98" ht="12" hidden="1" x14ac:dyDescent="0.2">
      <c r="BE347" s="432">
        <v>213</v>
      </c>
      <c r="BF347" s="432"/>
      <c r="BG347" s="432"/>
      <c r="BH347" s="216">
        <f>BH345*30.2/130.2</f>
        <v>139.17050691244242</v>
      </c>
      <c r="BI347" s="435">
        <f>BI346*30.2%</f>
        <v>13.917050691244238</v>
      </c>
      <c r="BJ347" s="435"/>
      <c r="BK347" s="435"/>
      <c r="BL347" s="435"/>
      <c r="BM347" s="435"/>
      <c r="BN347" s="435">
        <f>BN346*30.2%</f>
        <v>125.25345622119815</v>
      </c>
      <c r="BO347" s="435"/>
      <c r="BP347" s="435"/>
      <c r="BQ347" s="435"/>
      <c r="BR347" s="435"/>
      <c r="BS347" s="435"/>
      <c r="BT347" s="435"/>
    </row>
    <row r="348" spans="57:98" ht="8.25" hidden="1" customHeight="1" x14ac:dyDescent="0.2"/>
    <row r="349" spans="57:98" ht="8.25" hidden="1" customHeight="1" x14ac:dyDescent="0.2"/>
    <row r="350" spans="57:98" ht="12" x14ac:dyDescent="0.2">
      <c r="BE350" s="432" t="s">
        <v>539</v>
      </c>
      <c r="BF350" s="432"/>
      <c r="BG350" s="432"/>
      <c r="BH350" s="432"/>
      <c r="BI350" s="432"/>
      <c r="BJ350" s="432"/>
      <c r="BK350" s="432"/>
      <c r="BL350" s="432"/>
      <c r="BM350" s="432"/>
      <c r="BN350" s="432"/>
      <c r="BO350" s="432"/>
      <c r="BP350" s="432"/>
      <c r="BQ350" s="432"/>
      <c r="BR350" s="432"/>
      <c r="BS350" s="432"/>
      <c r="BT350" s="432"/>
      <c r="BU350" s="432"/>
      <c r="BV350" s="432"/>
      <c r="BW350" s="432"/>
      <c r="BX350" s="432"/>
      <c r="BY350" s="432"/>
      <c r="BZ350" s="432"/>
      <c r="CA350" s="432"/>
    </row>
    <row r="351" spans="57:98" ht="12" x14ac:dyDescent="0.2">
      <c r="BE351" s="432" t="s">
        <v>126</v>
      </c>
      <c r="BF351" s="432"/>
      <c r="BG351" s="432"/>
      <c r="BH351" s="433">
        <f>250*10</f>
        <v>2500</v>
      </c>
      <c r="BI351" s="433"/>
      <c r="BJ351" s="433"/>
      <c r="BK351" s="433"/>
      <c r="BL351" s="433"/>
      <c r="BM351" s="311" t="s">
        <v>127</v>
      </c>
      <c r="BN351" s="311"/>
      <c r="BO351" s="311"/>
      <c r="BP351" s="311"/>
      <c r="BQ351" s="311"/>
      <c r="BR351" s="311"/>
      <c r="BS351" s="311"/>
      <c r="BT351" s="311"/>
    </row>
    <row r="352" spans="57:98" ht="15" x14ac:dyDescent="0.25">
      <c r="BE352" s="434">
        <v>0.6</v>
      </c>
      <c r="BF352" s="432"/>
      <c r="BG352" s="432"/>
      <c r="BH352" s="216">
        <f>BH351*BE352</f>
        <v>1500</v>
      </c>
      <c r="BI352" s="432" t="s">
        <v>128</v>
      </c>
      <c r="BJ352" s="432"/>
      <c r="BK352" s="432"/>
      <c r="BL352" s="432"/>
      <c r="BM352" s="432"/>
      <c r="BN352" s="432" t="s">
        <v>129</v>
      </c>
      <c r="BO352" s="432"/>
      <c r="BP352" s="432"/>
      <c r="BQ352" s="432"/>
      <c r="BR352" s="432"/>
      <c r="BS352" s="432"/>
      <c r="BT352" s="432"/>
      <c r="CE352" s="432" t="s">
        <v>368</v>
      </c>
      <c r="CF352" s="443"/>
      <c r="CG352" s="443"/>
      <c r="CH352" s="443"/>
      <c r="CI352" s="443"/>
      <c r="CJ352" s="443"/>
      <c r="CM352" s="432" t="s">
        <v>366</v>
      </c>
      <c r="CN352" s="443"/>
      <c r="CO352" s="443"/>
      <c r="CP352" s="443"/>
      <c r="CQ352" s="443"/>
      <c r="CR352" s="443"/>
      <c r="CS352" s="443"/>
      <c r="CT352" s="443"/>
    </row>
    <row r="353" spans="57:98" ht="15" x14ac:dyDescent="0.25">
      <c r="BE353" s="432">
        <v>211</v>
      </c>
      <c r="BF353" s="432"/>
      <c r="BG353" s="432"/>
      <c r="BH353" s="216">
        <f>BH352-BH354</f>
        <v>1152.073732718894</v>
      </c>
      <c r="BI353" s="435">
        <f>BH353*0.2</f>
        <v>230.41474654377882</v>
      </c>
      <c r="BJ353" s="435"/>
      <c r="BK353" s="435"/>
      <c r="BL353" s="435"/>
      <c r="BM353" s="435"/>
      <c r="BN353" s="436">
        <f>BH353-BI353</f>
        <v>921.65898617511516</v>
      </c>
      <c r="BO353" s="445"/>
      <c r="BP353" s="445"/>
      <c r="BQ353" s="445"/>
      <c r="BR353" s="445"/>
      <c r="BS353" s="445"/>
      <c r="BT353" s="445"/>
      <c r="CE353" s="437">
        <f>BI353*15/20</f>
        <v>172.81105990783414</v>
      </c>
      <c r="CF353" s="446"/>
      <c r="CG353" s="446"/>
      <c r="CH353" s="446"/>
      <c r="CI353" s="446"/>
      <c r="CJ353" s="446"/>
      <c r="CM353" s="437">
        <f>BI353*5/20</f>
        <v>57.603686635944698</v>
      </c>
      <c r="CN353" s="446"/>
      <c r="CO353" s="446"/>
      <c r="CP353" s="446"/>
      <c r="CQ353" s="446"/>
      <c r="CR353" s="446"/>
      <c r="CS353" s="446"/>
      <c r="CT353" s="446"/>
    </row>
    <row r="354" spans="57:98" ht="12" x14ac:dyDescent="0.2">
      <c r="BE354" s="432">
        <v>213</v>
      </c>
      <c r="BF354" s="432"/>
      <c r="BG354" s="432"/>
      <c r="BH354" s="216">
        <f>BH352*30.2/130.2</f>
        <v>347.92626728110599</v>
      </c>
      <c r="BI354" s="435">
        <f>BI353*30.2%</f>
        <v>69.585253456221196</v>
      </c>
      <c r="BJ354" s="435"/>
      <c r="BK354" s="435"/>
      <c r="BL354" s="435"/>
      <c r="BM354" s="435"/>
      <c r="BN354" s="435">
        <f>BN353*30.2%</f>
        <v>278.34101382488478</v>
      </c>
      <c r="BO354" s="435"/>
      <c r="BP354" s="435"/>
      <c r="BQ354" s="435"/>
      <c r="BR354" s="435"/>
      <c r="BS354" s="435"/>
      <c r="BT354" s="435"/>
    </row>
    <row r="357" spans="57:98" ht="15" hidden="1" x14ac:dyDescent="0.25">
      <c r="CM357" s="778">
        <f>CM299+CM307+CM314+CM322+CM330+CM338+CM346+CM353</f>
        <v>377.30414746543784</v>
      </c>
      <c r="CN357" s="779"/>
      <c r="CO357" s="779"/>
      <c r="CP357" s="779"/>
      <c r="CQ357" s="779"/>
      <c r="CR357" s="779"/>
      <c r="CS357" s="779"/>
      <c r="CT357" s="779"/>
    </row>
    <row r="359" spans="57:98" ht="12" x14ac:dyDescent="0.2">
      <c r="BE359" s="432" t="s">
        <v>554</v>
      </c>
      <c r="BF359" s="432"/>
      <c r="BG359" s="432"/>
      <c r="BH359" s="432"/>
      <c r="BI359" s="432"/>
      <c r="BJ359" s="432"/>
      <c r="BK359" s="432"/>
      <c r="BL359" s="432"/>
      <c r="BM359" s="432"/>
      <c r="BN359" s="432"/>
      <c r="BO359" s="432"/>
      <c r="BP359" s="432"/>
      <c r="BQ359" s="432"/>
      <c r="BR359" s="432"/>
      <c r="BS359" s="432"/>
      <c r="BT359" s="432"/>
      <c r="BU359" s="432"/>
      <c r="BV359" s="432"/>
      <c r="BW359" s="432"/>
      <c r="BX359" s="432"/>
      <c r="BY359" s="432"/>
      <c r="BZ359" s="432"/>
      <c r="CA359" s="432"/>
    </row>
    <row r="360" spans="57:98" ht="12" x14ac:dyDescent="0.2">
      <c r="BE360" s="432" t="s">
        <v>126</v>
      </c>
      <c r="BF360" s="432"/>
      <c r="BG360" s="432"/>
      <c r="BH360" s="433">
        <f>250*19</f>
        <v>4750</v>
      </c>
      <c r="BI360" s="433"/>
      <c r="BJ360" s="433"/>
      <c r="BK360" s="433"/>
      <c r="BL360" s="433"/>
      <c r="BM360" s="320" t="s">
        <v>127</v>
      </c>
      <c r="BN360" s="320"/>
      <c r="BO360" s="320"/>
      <c r="BP360" s="320"/>
      <c r="BQ360" s="320"/>
      <c r="BR360" s="320"/>
      <c r="BS360" s="320"/>
      <c r="BT360" s="320"/>
    </row>
    <row r="361" spans="57:98" ht="15" x14ac:dyDescent="0.25">
      <c r="BE361" s="434">
        <v>0.6</v>
      </c>
      <c r="BF361" s="432"/>
      <c r="BG361" s="432"/>
      <c r="BH361" s="216">
        <f>BH360*BE361</f>
        <v>2850</v>
      </c>
      <c r="BI361" s="432" t="s">
        <v>128</v>
      </c>
      <c r="BJ361" s="432"/>
      <c r="BK361" s="432"/>
      <c r="BL361" s="432"/>
      <c r="BM361" s="432"/>
      <c r="BN361" s="432" t="s">
        <v>129</v>
      </c>
      <c r="BO361" s="432"/>
      <c r="BP361" s="432"/>
      <c r="BQ361" s="432"/>
      <c r="BR361" s="432"/>
      <c r="BS361" s="432"/>
      <c r="BT361" s="432"/>
      <c r="CE361" s="432" t="s">
        <v>368</v>
      </c>
      <c r="CF361" s="443"/>
      <c r="CG361" s="443"/>
      <c r="CH361" s="443"/>
      <c r="CI361" s="443"/>
      <c r="CJ361" s="443"/>
      <c r="CM361" s="432" t="s">
        <v>366</v>
      </c>
      <c r="CN361" s="443"/>
      <c r="CO361" s="443"/>
      <c r="CP361" s="443"/>
      <c r="CQ361" s="443"/>
      <c r="CR361" s="443"/>
      <c r="CS361" s="443"/>
      <c r="CT361" s="443"/>
    </row>
    <row r="362" spans="57:98" ht="15" x14ac:dyDescent="0.25">
      <c r="BE362" s="432">
        <v>211</v>
      </c>
      <c r="BF362" s="432"/>
      <c r="BG362" s="432"/>
      <c r="BH362" s="216">
        <f>BH361-BH363</f>
        <v>2188.9400921658985</v>
      </c>
      <c r="BI362" s="435">
        <f>BH362*0.2</f>
        <v>437.78801843317973</v>
      </c>
      <c r="BJ362" s="435"/>
      <c r="BK362" s="435"/>
      <c r="BL362" s="435"/>
      <c r="BM362" s="435"/>
      <c r="BN362" s="436">
        <f>BH362-BI362</f>
        <v>1751.1520737327187</v>
      </c>
      <c r="BO362" s="445"/>
      <c r="BP362" s="445"/>
      <c r="BQ362" s="445"/>
      <c r="BR362" s="445"/>
      <c r="BS362" s="445"/>
      <c r="BT362" s="445"/>
      <c r="CE362" s="437">
        <f>BI362*15/20</f>
        <v>328.34101382488478</v>
      </c>
      <c r="CF362" s="446"/>
      <c r="CG362" s="446"/>
      <c r="CH362" s="446"/>
      <c r="CI362" s="446"/>
      <c r="CJ362" s="446"/>
      <c r="CM362" s="437">
        <f>BI362*5/20</f>
        <v>109.44700460829492</v>
      </c>
      <c r="CN362" s="446"/>
      <c r="CO362" s="446"/>
      <c r="CP362" s="446"/>
      <c r="CQ362" s="446"/>
      <c r="CR362" s="446"/>
      <c r="CS362" s="446"/>
      <c r="CT362" s="446"/>
    </row>
    <row r="363" spans="57:98" ht="12" x14ac:dyDescent="0.2">
      <c r="BE363" s="432">
        <v>213</v>
      </c>
      <c r="BF363" s="432"/>
      <c r="BG363" s="432"/>
      <c r="BH363" s="216">
        <f>BH361*30.2/130.2</f>
        <v>661.05990783410141</v>
      </c>
      <c r="BI363" s="435">
        <f>BI362*30.2%</f>
        <v>132.21198156682027</v>
      </c>
      <c r="BJ363" s="435"/>
      <c r="BK363" s="435"/>
      <c r="BL363" s="435"/>
      <c r="BM363" s="435"/>
      <c r="BN363" s="435">
        <f>BN362*30.2%</f>
        <v>528.84792626728108</v>
      </c>
      <c r="BO363" s="435"/>
      <c r="BP363" s="435"/>
      <c r="BQ363" s="435"/>
      <c r="BR363" s="435"/>
      <c r="BS363" s="435"/>
      <c r="BT363" s="435"/>
    </row>
    <row r="366" spans="57:98" ht="12" x14ac:dyDescent="0.2">
      <c r="BE366" s="432" t="s">
        <v>567</v>
      </c>
      <c r="BF366" s="432"/>
      <c r="BG366" s="432"/>
      <c r="BH366" s="432"/>
      <c r="BI366" s="432"/>
      <c r="BJ366" s="432"/>
      <c r="BK366" s="432"/>
      <c r="BL366" s="432"/>
      <c r="BM366" s="432"/>
      <c r="BN366" s="432"/>
      <c r="BO366" s="432"/>
      <c r="BP366" s="432"/>
      <c r="BQ366" s="432"/>
      <c r="BR366" s="432"/>
      <c r="BS366" s="432"/>
      <c r="BT366" s="432"/>
      <c r="BU366" s="432"/>
      <c r="BV366" s="432"/>
      <c r="BW366" s="432"/>
      <c r="BX366" s="432"/>
      <c r="BY366" s="432"/>
      <c r="BZ366" s="432"/>
      <c r="CA366" s="432"/>
    </row>
    <row r="367" spans="57:98" ht="12" x14ac:dyDescent="0.2">
      <c r="BE367" s="432" t="s">
        <v>126</v>
      </c>
      <c r="BF367" s="432"/>
      <c r="BG367" s="432"/>
      <c r="BH367" s="433">
        <f>250*13</f>
        <v>3250</v>
      </c>
      <c r="BI367" s="433"/>
      <c r="BJ367" s="433"/>
      <c r="BK367" s="433"/>
      <c r="BL367" s="433"/>
      <c r="BM367" s="324" t="s">
        <v>127</v>
      </c>
      <c r="BN367" s="324"/>
      <c r="BO367" s="324"/>
      <c r="BP367" s="324"/>
      <c r="BQ367" s="324"/>
      <c r="BR367" s="324"/>
      <c r="BS367" s="324"/>
      <c r="BT367" s="324"/>
    </row>
    <row r="368" spans="57:98" ht="15" x14ac:dyDescent="0.25">
      <c r="BE368" s="434">
        <v>0.6</v>
      </c>
      <c r="BF368" s="432"/>
      <c r="BG368" s="432"/>
      <c r="BH368" s="216">
        <f>BH367*BE368</f>
        <v>1950</v>
      </c>
      <c r="BI368" s="432" t="s">
        <v>128</v>
      </c>
      <c r="BJ368" s="432"/>
      <c r="BK368" s="432"/>
      <c r="BL368" s="432"/>
      <c r="BM368" s="432"/>
      <c r="BN368" s="432" t="s">
        <v>129</v>
      </c>
      <c r="BO368" s="432"/>
      <c r="BP368" s="432"/>
      <c r="BQ368" s="432"/>
      <c r="BR368" s="432"/>
      <c r="BS368" s="432"/>
      <c r="BT368" s="432"/>
      <c r="CE368" s="432" t="s">
        <v>368</v>
      </c>
      <c r="CF368" s="443"/>
      <c r="CG368" s="443"/>
      <c r="CH368" s="443"/>
      <c r="CI368" s="443"/>
      <c r="CJ368" s="443"/>
      <c r="CM368" s="432" t="s">
        <v>366</v>
      </c>
      <c r="CN368" s="443"/>
      <c r="CO368" s="443"/>
      <c r="CP368" s="443"/>
      <c r="CQ368" s="443"/>
      <c r="CR368" s="443"/>
      <c r="CS368" s="443"/>
      <c r="CT368" s="443"/>
    </row>
    <row r="369" spans="57:98" ht="15" x14ac:dyDescent="0.25">
      <c r="BE369" s="432">
        <v>211</v>
      </c>
      <c r="BF369" s="432"/>
      <c r="BG369" s="432"/>
      <c r="BH369" s="216">
        <f>BH368-BH370</f>
        <v>1497.6958525345622</v>
      </c>
      <c r="BI369" s="435">
        <f>BH369*0.2</f>
        <v>299.53917050691246</v>
      </c>
      <c r="BJ369" s="435"/>
      <c r="BK369" s="435"/>
      <c r="BL369" s="435"/>
      <c r="BM369" s="435"/>
      <c r="BN369" s="436">
        <f>BH369-BI369</f>
        <v>1198.1566820276498</v>
      </c>
      <c r="BO369" s="445"/>
      <c r="BP369" s="445"/>
      <c r="BQ369" s="445"/>
      <c r="BR369" s="445"/>
      <c r="BS369" s="445"/>
      <c r="BT369" s="445"/>
      <c r="CE369" s="437">
        <f>BI369*15/20</f>
        <v>224.65437788018434</v>
      </c>
      <c r="CF369" s="446"/>
      <c r="CG369" s="446"/>
      <c r="CH369" s="446"/>
      <c r="CI369" s="446"/>
      <c r="CJ369" s="446"/>
      <c r="CM369" s="437">
        <f>BI369*5/20</f>
        <v>74.884792626728114</v>
      </c>
      <c r="CN369" s="446"/>
      <c r="CO369" s="446"/>
      <c r="CP369" s="446"/>
      <c r="CQ369" s="446"/>
      <c r="CR369" s="446"/>
      <c r="CS369" s="446"/>
      <c r="CT369" s="446"/>
    </row>
    <row r="370" spans="57:98" ht="12" x14ac:dyDescent="0.2">
      <c r="BE370" s="432">
        <v>213</v>
      </c>
      <c r="BF370" s="432"/>
      <c r="BG370" s="432"/>
      <c r="BH370" s="216">
        <f>BH368*30.2/130.2</f>
        <v>452.30414746543784</v>
      </c>
      <c r="BI370" s="435">
        <f>BI369*30.2%</f>
        <v>90.460829493087559</v>
      </c>
      <c r="BJ370" s="435"/>
      <c r="BK370" s="435"/>
      <c r="BL370" s="435"/>
      <c r="BM370" s="435"/>
      <c r="BN370" s="435">
        <f>BN369*30.2%</f>
        <v>361.84331797235023</v>
      </c>
      <c r="BO370" s="435"/>
      <c r="BP370" s="435"/>
      <c r="BQ370" s="435"/>
      <c r="BR370" s="435"/>
      <c r="BS370" s="435"/>
      <c r="BT370" s="435"/>
    </row>
    <row r="373" spans="57:98" ht="12" x14ac:dyDescent="0.2">
      <c r="BE373" s="432" t="s">
        <v>590</v>
      </c>
      <c r="BF373" s="432"/>
      <c r="BG373" s="432"/>
      <c r="BH373" s="432"/>
      <c r="BI373" s="432"/>
      <c r="BJ373" s="432"/>
      <c r="BK373" s="432"/>
      <c r="BL373" s="432"/>
      <c r="BM373" s="432"/>
      <c r="BN373" s="432"/>
      <c r="BO373" s="432"/>
      <c r="BP373" s="432"/>
      <c r="BQ373" s="432"/>
      <c r="BR373" s="432"/>
      <c r="BS373" s="432"/>
      <c r="BT373" s="432"/>
      <c r="BU373" s="432"/>
      <c r="BV373" s="432"/>
      <c r="BW373" s="432"/>
      <c r="BX373" s="432"/>
      <c r="BY373" s="432"/>
      <c r="BZ373" s="432"/>
      <c r="CA373" s="432"/>
    </row>
    <row r="374" spans="57:98" ht="12" x14ac:dyDescent="0.2">
      <c r="BE374" s="432" t="s">
        <v>126</v>
      </c>
      <c r="BF374" s="432"/>
      <c r="BG374" s="432"/>
      <c r="BH374" s="433">
        <f>250*4</f>
        <v>1000</v>
      </c>
      <c r="BI374" s="433"/>
      <c r="BJ374" s="433"/>
      <c r="BK374" s="433"/>
      <c r="BL374" s="433"/>
      <c r="BM374" s="340" t="s">
        <v>127</v>
      </c>
      <c r="BN374" s="340"/>
      <c r="BO374" s="340"/>
      <c r="BP374" s="340"/>
      <c r="BQ374" s="340"/>
      <c r="BR374" s="340"/>
      <c r="BS374" s="340"/>
      <c r="BT374" s="340"/>
    </row>
    <row r="375" spans="57:98" ht="15" x14ac:dyDescent="0.25">
      <c r="BE375" s="434">
        <v>0.6</v>
      </c>
      <c r="BF375" s="432"/>
      <c r="BG375" s="432"/>
      <c r="BH375" s="216">
        <f>BH374*BE375</f>
        <v>600</v>
      </c>
      <c r="BI375" s="432" t="s">
        <v>128</v>
      </c>
      <c r="BJ375" s="432"/>
      <c r="BK375" s="432"/>
      <c r="BL375" s="432"/>
      <c r="BM375" s="432"/>
      <c r="BN375" s="432" t="s">
        <v>129</v>
      </c>
      <c r="BO375" s="432"/>
      <c r="BP375" s="432"/>
      <c r="BQ375" s="432"/>
      <c r="BR375" s="432"/>
      <c r="BS375" s="432"/>
      <c r="BT375" s="432"/>
      <c r="CE375" s="432" t="s">
        <v>368</v>
      </c>
      <c r="CF375" s="443"/>
      <c r="CG375" s="443"/>
      <c r="CH375" s="443"/>
      <c r="CI375" s="443"/>
      <c r="CJ375" s="443"/>
      <c r="CM375" s="432" t="s">
        <v>366</v>
      </c>
      <c r="CN375" s="443"/>
      <c r="CO375" s="443"/>
      <c r="CP375" s="443"/>
      <c r="CQ375" s="443"/>
      <c r="CR375" s="443"/>
      <c r="CS375" s="443"/>
      <c r="CT375" s="443"/>
    </row>
    <row r="376" spans="57:98" ht="15" x14ac:dyDescent="0.25">
      <c r="BE376" s="432">
        <v>211</v>
      </c>
      <c r="BF376" s="432"/>
      <c r="BG376" s="432"/>
      <c r="BH376" s="216">
        <f>BH375-BH377</f>
        <v>460.82949308755758</v>
      </c>
      <c r="BI376" s="435">
        <f>BH376*0.2</f>
        <v>92.165898617511516</v>
      </c>
      <c r="BJ376" s="435"/>
      <c r="BK376" s="435"/>
      <c r="BL376" s="435"/>
      <c r="BM376" s="435"/>
      <c r="BN376" s="436">
        <f>BH376-BI376</f>
        <v>368.66359447004606</v>
      </c>
      <c r="BO376" s="445"/>
      <c r="BP376" s="445"/>
      <c r="BQ376" s="445"/>
      <c r="BR376" s="445"/>
      <c r="BS376" s="445"/>
      <c r="BT376" s="445"/>
      <c r="CE376" s="437">
        <f>BI376*15/20</f>
        <v>69.124423963133637</v>
      </c>
      <c r="CF376" s="446"/>
      <c r="CG376" s="446"/>
      <c r="CH376" s="446"/>
      <c r="CI376" s="446"/>
      <c r="CJ376" s="446"/>
      <c r="CM376" s="437">
        <f>BI376*5/20</f>
        <v>23.041474654377879</v>
      </c>
      <c r="CN376" s="446"/>
      <c r="CO376" s="446"/>
      <c r="CP376" s="446"/>
      <c r="CQ376" s="446"/>
      <c r="CR376" s="446"/>
      <c r="CS376" s="446"/>
      <c r="CT376" s="446"/>
    </row>
    <row r="377" spans="57:98" ht="12" x14ac:dyDescent="0.2">
      <c r="BE377" s="432">
        <v>213</v>
      </c>
      <c r="BF377" s="432"/>
      <c r="BG377" s="432"/>
      <c r="BH377" s="216">
        <f>BH375*30.2/130.2</f>
        <v>139.17050691244242</v>
      </c>
      <c r="BI377" s="435">
        <f>BI376*30.2%</f>
        <v>27.834101382488477</v>
      </c>
      <c r="BJ377" s="435"/>
      <c r="BK377" s="435"/>
      <c r="BL377" s="435"/>
      <c r="BM377" s="435"/>
      <c r="BN377" s="435">
        <f>BN376*30.2%</f>
        <v>111.33640552995391</v>
      </c>
      <c r="BO377" s="435"/>
      <c r="BP377" s="435"/>
      <c r="BQ377" s="435"/>
      <c r="BR377" s="435"/>
      <c r="BS377" s="435"/>
      <c r="BT377" s="435"/>
    </row>
  </sheetData>
  <mergeCells count="817">
    <mergeCell ref="BE377:BG377"/>
    <mergeCell ref="BI377:BM377"/>
    <mergeCell ref="BN377:BT377"/>
    <mergeCell ref="BE373:CA373"/>
    <mergeCell ref="BE374:BG374"/>
    <mergeCell ref="BH374:BL374"/>
    <mergeCell ref="BE375:BG375"/>
    <mergeCell ref="BI375:BM375"/>
    <mergeCell ref="BN375:BT375"/>
    <mergeCell ref="CE375:CJ375"/>
    <mergeCell ref="CM375:CT375"/>
    <mergeCell ref="BE376:BG376"/>
    <mergeCell ref="BI376:BM376"/>
    <mergeCell ref="BN376:BT376"/>
    <mergeCell ref="CE376:CJ376"/>
    <mergeCell ref="CM376:CT376"/>
    <mergeCell ref="AV5:BC5"/>
    <mergeCell ref="A7:BA7"/>
    <mergeCell ref="A8:BA8"/>
    <mergeCell ref="C10:E10"/>
    <mergeCell ref="G10:L10"/>
    <mergeCell ref="N10:Q10"/>
    <mergeCell ref="U10:AG10"/>
    <mergeCell ref="AH10:AI10"/>
    <mergeCell ref="AJ10:AL10"/>
    <mergeCell ref="AN10:AT10"/>
    <mergeCell ref="AX19:BB19"/>
    <mergeCell ref="A20:G22"/>
    <mergeCell ref="H20:AB22"/>
    <mergeCell ref="AC20:AG22"/>
    <mergeCell ref="AH20:AM22"/>
    <mergeCell ref="AN20:AR22"/>
    <mergeCell ref="AS20:AW22"/>
    <mergeCell ref="AX20:BB22"/>
    <mergeCell ref="AV10:AY10"/>
    <mergeCell ref="A12:S12"/>
    <mergeCell ref="U12:W12"/>
    <mergeCell ref="A14:S14"/>
    <mergeCell ref="U14:W14"/>
    <mergeCell ref="A16:S16"/>
    <mergeCell ref="U16:W16"/>
    <mergeCell ref="Y16:AA16"/>
    <mergeCell ref="H34:M34"/>
    <mergeCell ref="AS34:AW34"/>
    <mergeCell ref="AX34:BB34"/>
    <mergeCell ref="AO35:AR35"/>
    <mergeCell ref="AS35:AW35"/>
    <mergeCell ref="AX35:BB35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H51:K51"/>
    <mergeCell ref="AS51:AW51"/>
    <mergeCell ref="AX51:BB51"/>
    <mergeCell ref="AO52:AR52"/>
    <mergeCell ref="AS52:AW52"/>
    <mergeCell ref="AX52:BB52"/>
    <mergeCell ref="AX37:BB39"/>
    <mergeCell ref="A40:BB4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37:G39"/>
    <mergeCell ref="H37:AB39"/>
    <mergeCell ref="AC37:AG39"/>
    <mergeCell ref="AH37:AM39"/>
    <mergeCell ref="AN37:AR39"/>
    <mergeCell ref="AS37:AW39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AX63:BB67"/>
    <mergeCell ref="H64:M64"/>
    <mergeCell ref="N64:P64"/>
    <mergeCell ref="R64:V64"/>
    <mergeCell ref="I66:K66"/>
    <mergeCell ref="R59:V59"/>
    <mergeCell ref="I61:K61"/>
    <mergeCell ref="M61:O61"/>
    <mergeCell ref="Q61:S61"/>
    <mergeCell ref="U61:W61"/>
    <mergeCell ref="Z61:AB61"/>
    <mergeCell ref="M66:O66"/>
    <mergeCell ref="Q66:S66"/>
    <mergeCell ref="U66:W66"/>
    <mergeCell ref="Z66:AB66"/>
    <mergeCell ref="A68:G72"/>
    <mergeCell ref="AC68:AG72"/>
    <mergeCell ref="U71:W71"/>
    <mergeCell ref="Z71:AB71"/>
    <mergeCell ref="A63:G67"/>
    <mergeCell ref="AC63:AG67"/>
    <mergeCell ref="AH73:AM77"/>
    <mergeCell ref="AN73:AR77"/>
    <mergeCell ref="AS73:AW77"/>
    <mergeCell ref="AH63:AM67"/>
    <mergeCell ref="AN63:AR67"/>
    <mergeCell ref="AS63:AW67"/>
    <mergeCell ref="AX73:BB77"/>
    <mergeCell ref="H74:M74"/>
    <mergeCell ref="N74:P74"/>
    <mergeCell ref="R74:V74"/>
    <mergeCell ref="I76:K76"/>
    <mergeCell ref="AH68:AM72"/>
    <mergeCell ref="AN68:AR72"/>
    <mergeCell ref="AS68:AW72"/>
    <mergeCell ref="AX68:BB72"/>
    <mergeCell ref="H69:M69"/>
    <mergeCell ref="N69:P69"/>
    <mergeCell ref="R69:V69"/>
    <mergeCell ref="I71:K71"/>
    <mergeCell ref="M71:O71"/>
    <mergeCell ref="Q71:S71"/>
    <mergeCell ref="M76:O76"/>
    <mergeCell ref="Q76:S76"/>
    <mergeCell ref="U76:W76"/>
    <mergeCell ref="Z76:AB76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AX78:BB82"/>
    <mergeCell ref="H79:M79"/>
    <mergeCell ref="N79:P79"/>
    <mergeCell ref="R79:V79"/>
    <mergeCell ref="I81:K81"/>
    <mergeCell ref="M81:O81"/>
    <mergeCell ref="Q81:S81"/>
    <mergeCell ref="AS83:AW83"/>
    <mergeCell ref="AX83:BB83"/>
    <mergeCell ref="AO84:AR84"/>
    <mergeCell ref="AS84:AW84"/>
    <mergeCell ref="AX84:BB84"/>
    <mergeCell ref="A86:N86"/>
    <mergeCell ref="O86:AN86"/>
    <mergeCell ref="AO86:AU86"/>
    <mergeCell ref="AV86:BB86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103:Z103"/>
    <mergeCell ref="AA103:AF103"/>
    <mergeCell ref="AG103:AL103"/>
    <mergeCell ref="AM103:AT103"/>
    <mergeCell ref="AU103:BB103"/>
    <mergeCell ref="A104:Z104"/>
    <mergeCell ref="AA104:AF104"/>
    <mergeCell ref="AG104:AL123"/>
    <mergeCell ref="AM104:AT123"/>
    <mergeCell ref="AU104:BB104"/>
    <mergeCell ref="A105:Z105"/>
    <mergeCell ref="AA105:AF105"/>
    <mergeCell ref="AU105:BB105"/>
    <mergeCell ref="A106:Z106"/>
    <mergeCell ref="AA106:AF106"/>
    <mergeCell ref="A110:Z110"/>
    <mergeCell ref="AA110:AF110"/>
    <mergeCell ref="AU110:BB110"/>
    <mergeCell ref="A111:Z111"/>
    <mergeCell ref="AA111:AF111"/>
    <mergeCell ref="AU111:BB111"/>
    <mergeCell ref="AU106:BB106"/>
    <mergeCell ref="A107:Z107"/>
    <mergeCell ref="AA107:AF107"/>
    <mergeCell ref="AU107:BB107"/>
    <mergeCell ref="A108:Z108"/>
    <mergeCell ref="AA108:AF108"/>
    <mergeCell ref="AU108:BB108"/>
    <mergeCell ref="A114:Z114"/>
    <mergeCell ref="AA114:AF114"/>
    <mergeCell ref="AU114:BB114"/>
    <mergeCell ref="A115:Z115"/>
    <mergeCell ref="AA115:AF115"/>
    <mergeCell ref="AU115:BB115"/>
    <mergeCell ref="A112:Z112"/>
    <mergeCell ref="AA112:AF112"/>
    <mergeCell ref="AU112:BB112"/>
    <mergeCell ref="A113:Z113"/>
    <mergeCell ref="AA113:AF113"/>
    <mergeCell ref="AU113:BB113"/>
    <mergeCell ref="A109:Z109"/>
    <mergeCell ref="AA109:AF109"/>
    <mergeCell ref="AU109:BB109"/>
    <mergeCell ref="A118:Z118"/>
    <mergeCell ref="AA118:AF118"/>
    <mergeCell ref="AU118:BB118"/>
    <mergeCell ref="A119:Z119"/>
    <mergeCell ref="AA119:AF119"/>
    <mergeCell ref="AU119:BB119"/>
    <mergeCell ref="A116:Z116"/>
    <mergeCell ref="AA116:AF116"/>
    <mergeCell ref="AU116:BB116"/>
    <mergeCell ref="A117:Z117"/>
    <mergeCell ref="AA117:AF117"/>
    <mergeCell ref="AU117:BB117"/>
    <mergeCell ref="A122:Z122"/>
    <mergeCell ref="AA122:AF122"/>
    <mergeCell ref="AU122:BB122"/>
    <mergeCell ref="A123:Z123"/>
    <mergeCell ref="AA123:AF123"/>
    <mergeCell ref="AU123:BB123"/>
    <mergeCell ref="A120:Z120"/>
    <mergeCell ref="AA120:AF120"/>
    <mergeCell ref="AU120:BB120"/>
    <mergeCell ref="A121:Z121"/>
    <mergeCell ref="AA121:AF121"/>
    <mergeCell ref="AU121:BB121"/>
    <mergeCell ref="A124:Z124"/>
    <mergeCell ref="AA124:AF124"/>
    <mergeCell ref="AG124:AL124"/>
    <mergeCell ref="AM124:AT124"/>
    <mergeCell ref="AU124:BB124"/>
    <mergeCell ref="A128:Z128"/>
    <mergeCell ref="AA128:AF128"/>
    <mergeCell ref="AG128:AL128"/>
    <mergeCell ref="AM128:AT128"/>
    <mergeCell ref="AU128:BB128"/>
    <mergeCell ref="A131:Z131"/>
    <mergeCell ref="AA131:AF131"/>
    <mergeCell ref="AU131:BB131"/>
    <mergeCell ref="A132:Z132"/>
    <mergeCell ref="AA132:AF132"/>
    <mergeCell ref="AU132:BB132"/>
    <mergeCell ref="A129:Z129"/>
    <mergeCell ref="AA129:AF129"/>
    <mergeCell ref="AG129:AL129"/>
    <mergeCell ref="AM129:AT129"/>
    <mergeCell ref="AU129:BB129"/>
    <mergeCell ref="A130:Z130"/>
    <mergeCell ref="AA130:AF130"/>
    <mergeCell ref="AG130:AL135"/>
    <mergeCell ref="AM130:AT135"/>
    <mergeCell ref="AU130:BB130"/>
    <mergeCell ref="A135:Z135"/>
    <mergeCell ref="AA135:AF135"/>
    <mergeCell ref="AU135:BB135"/>
    <mergeCell ref="A136:Z136"/>
    <mergeCell ref="AA136:AF136"/>
    <mergeCell ref="AG136:AL136"/>
    <mergeCell ref="AM136:AT136"/>
    <mergeCell ref="AU136:BB136"/>
    <mergeCell ref="A133:Z133"/>
    <mergeCell ref="AA133:AF133"/>
    <mergeCell ref="AU133:BB133"/>
    <mergeCell ref="A134:Z134"/>
    <mergeCell ref="AA134:AF134"/>
    <mergeCell ref="AU134:BB134"/>
    <mergeCell ref="AD140:AP140"/>
    <mergeCell ref="AQ140:AT140"/>
    <mergeCell ref="AU140:AX140"/>
    <mergeCell ref="AY140:BB140"/>
    <mergeCell ref="H141:L141"/>
    <mergeCell ref="M141:Q141"/>
    <mergeCell ref="AD141:AI141"/>
    <mergeCell ref="AJ141:AP141"/>
    <mergeCell ref="AQ141:AT141"/>
    <mergeCell ref="AU141:AX141"/>
    <mergeCell ref="H140:L140"/>
    <mergeCell ref="M140:Q140"/>
    <mergeCell ref="R140:U141"/>
    <mergeCell ref="V140:Y141"/>
    <mergeCell ref="Z140:AC141"/>
    <mergeCell ref="AY141:BB141"/>
    <mergeCell ref="A142:G142"/>
    <mergeCell ref="H142:L142"/>
    <mergeCell ref="M142:Q142"/>
    <mergeCell ref="R142:U142"/>
    <mergeCell ref="V142:Y142"/>
    <mergeCell ref="Z142:AC142"/>
    <mergeCell ref="AD142:AI142"/>
    <mergeCell ref="AJ142:AP142"/>
    <mergeCell ref="AQ142:AT142"/>
    <mergeCell ref="A140:G141"/>
    <mergeCell ref="AU142:AX142"/>
    <mergeCell ref="AY142:BB142"/>
    <mergeCell ref="A143:G143"/>
    <mergeCell ref="H143:L143"/>
    <mergeCell ref="M143:Q143"/>
    <mergeCell ref="R143:U146"/>
    <mergeCell ref="V143:Y146"/>
    <mergeCell ref="Z143:AC146"/>
    <mergeCell ref="AD143:AI143"/>
    <mergeCell ref="AJ143:AP143"/>
    <mergeCell ref="AQ143:AT143"/>
    <mergeCell ref="AU143:AX143"/>
    <mergeCell ref="AY143:BB143"/>
    <mergeCell ref="A144:G144"/>
    <mergeCell ref="H144:L144"/>
    <mergeCell ref="M144:Q144"/>
    <mergeCell ref="AD144:AI144"/>
    <mergeCell ref="AJ144:AP144"/>
    <mergeCell ref="AQ144:AT144"/>
    <mergeCell ref="AU144:AX144"/>
    <mergeCell ref="AY144:BB144"/>
    <mergeCell ref="A145:G145"/>
    <mergeCell ref="H145:L145"/>
    <mergeCell ref="M145:Q145"/>
    <mergeCell ref="AD145:AI145"/>
    <mergeCell ref="AJ145:AP145"/>
    <mergeCell ref="AQ145:AT145"/>
    <mergeCell ref="AU145:AX145"/>
    <mergeCell ref="AY145:BB145"/>
    <mergeCell ref="AU146:AX146"/>
    <mergeCell ref="AY146:BB146"/>
    <mergeCell ref="A147:G147"/>
    <mergeCell ref="H147:L147"/>
    <mergeCell ref="M147:Q147"/>
    <mergeCell ref="R147:U147"/>
    <mergeCell ref="V147:Y147"/>
    <mergeCell ref="Z147:AC147"/>
    <mergeCell ref="AD147:AI147"/>
    <mergeCell ref="AJ147:AP147"/>
    <mergeCell ref="A146:G146"/>
    <mergeCell ref="H146:L146"/>
    <mergeCell ref="M146:Q146"/>
    <mergeCell ref="AD146:AI146"/>
    <mergeCell ref="AJ146:AP146"/>
    <mergeCell ref="AQ146:AT146"/>
    <mergeCell ref="A149:G149"/>
    <mergeCell ref="H149:L149"/>
    <mergeCell ref="M149:Q149"/>
    <mergeCell ref="R149:U149"/>
    <mergeCell ref="V149:Y149"/>
    <mergeCell ref="Z149:AC149"/>
    <mergeCell ref="AQ147:AT147"/>
    <mergeCell ref="AU147:AX147"/>
    <mergeCell ref="AY147:BB147"/>
    <mergeCell ref="A148:F148"/>
    <mergeCell ref="H148:L148"/>
    <mergeCell ref="M148:Q148"/>
    <mergeCell ref="R148:U148"/>
    <mergeCell ref="V148:Y148"/>
    <mergeCell ref="Z148:AC148"/>
    <mergeCell ref="AD148:AI148"/>
    <mergeCell ref="AD149:AI149"/>
    <mergeCell ref="AJ149:AP149"/>
    <mergeCell ref="AQ149:AT149"/>
    <mergeCell ref="AU149:AX149"/>
    <mergeCell ref="AY149:BB149"/>
    <mergeCell ref="BC150:BD150"/>
    <mergeCell ref="AJ148:AP148"/>
    <mergeCell ref="AQ148:AT148"/>
    <mergeCell ref="AU148:AX148"/>
    <mergeCell ref="AY148:BB148"/>
    <mergeCell ref="BE154:CA154"/>
    <mergeCell ref="BE155:BG155"/>
    <mergeCell ref="BH155:BL155"/>
    <mergeCell ref="BE156:BG156"/>
    <mergeCell ref="BI156:BM156"/>
    <mergeCell ref="BN156:BT156"/>
    <mergeCell ref="BC151:BD151"/>
    <mergeCell ref="BE165:BG165"/>
    <mergeCell ref="BI165:BM165"/>
    <mergeCell ref="BN165:BT165"/>
    <mergeCell ref="BE166:BG166"/>
    <mergeCell ref="BI166:BM166"/>
    <mergeCell ref="BN166:BT166"/>
    <mergeCell ref="B152:S152"/>
    <mergeCell ref="AM152:BB152"/>
    <mergeCell ref="BC152:BD152"/>
    <mergeCell ref="B153:S154"/>
    <mergeCell ref="AM153:BC154"/>
    <mergeCell ref="BE162:CA162"/>
    <mergeCell ref="BE163:BG163"/>
    <mergeCell ref="BH163:BL163"/>
    <mergeCell ref="BE164:BG164"/>
    <mergeCell ref="BI164:BM164"/>
    <mergeCell ref="BN164:BT164"/>
    <mergeCell ref="BE157:BG157"/>
    <mergeCell ref="BI157:BM157"/>
    <mergeCell ref="BN157:BT157"/>
    <mergeCell ref="BE158:BG158"/>
    <mergeCell ref="BI158:BM158"/>
    <mergeCell ref="BN158:BT158"/>
    <mergeCell ref="BE173:BG173"/>
    <mergeCell ref="BI173:BM173"/>
    <mergeCell ref="BN173:BT173"/>
    <mergeCell ref="BE174:BG174"/>
    <mergeCell ref="BI174:BM174"/>
    <mergeCell ref="BN174:BT174"/>
    <mergeCell ref="BE169:CA169"/>
    <mergeCell ref="BE170:CA170"/>
    <mergeCell ref="BE171:BG171"/>
    <mergeCell ref="BH171:BL171"/>
    <mergeCell ref="BE172:BG172"/>
    <mergeCell ref="BI172:BM172"/>
    <mergeCell ref="BN172:BT172"/>
    <mergeCell ref="BE181:BG181"/>
    <mergeCell ref="BI181:BM181"/>
    <mergeCell ref="BN181:BT181"/>
    <mergeCell ref="BE182:BG182"/>
    <mergeCell ref="BI182:BM182"/>
    <mergeCell ref="BN182:BT182"/>
    <mergeCell ref="BE177:CA177"/>
    <mergeCell ref="BE178:CA178"/>
    <mergeCell ref="BE179:BG179"/>
    <mergeCell ref="BH179:BL179"/>
    <mergeCell ref="BE180:BG180"/>
    <mergeCell ref="BI180:BM180"/>
    <mergeCell ref="BN180:BT180"/>
    <mergeCell ref="BE189:BG189"/>
    <mergeCell ref="BI189:BM189"/>
    <mergeCell ref="BN189:BT189"/>
    <mergeCell ref="BE190:BG190"/>
    <mergeCell ref="BI190:BM190"/>
    <mergeCell ref="BN190:BT190"/>
    <mergeCell ref="BE185:CA185"/>
    <mergeCell ref="BE186:CA186"/>
    <mergeCell ref="BE187:BG187"/>
    <mergeCell ref="BH187:BL187"/>
    <mergeCell ref="BE188:BG188"/>
    <mergeCell ref="BI188:BM188"/>
    <mergeCell ref="BN188:BT188"/>
    <mergeCell ref="BE196:BG196"/>
    <mergeCell ref="BI196:BM196"/>
    <mergeCell ref="BN196:BT196"/>
    <mergeCell ref="BE197:BG197"/>
    <mergeCell ref="BI197:BM197"/>
    <mergeCell ref="BN197:BT197"/>
    <mergeCell ref="BE193:CA193"/>
    <mergeCell ref="BE194:BG194"/>
    <mergeCell ref="BH194:BL194"/>
    <mergeCell ref="BE195:BG195"/>
    <mergeCell ref="BI195:BM195"/>
    <mergeCell ref="BN195:BT195"/>
    <mergeCell ref="BE204:BG204"/>
    <mergeCell ref="BI204:BM204"/>
    <mergeCell ref="BN204:BT204"/>
    <mergeCell ref="BE205:BG205"/>
    <mergeCell ref="BI205:BM205"/>
    <mergeCell ref="BN205:BT205"/>
    <mergeCell ref="BE201:CA201"/>
    <mergeCell ref="BE202:BG202"/>
    <mergeCell ref="BH202:BL202"/>
    <mergeCell ref="BE203:BG203"/>
    <mergeCell ref="BI203:BM203"/>
    <mergeCell ref="BN203:BT203"/>
    <mergeCell ref="BE212:BG212"/>
    <mergeCell ref="BI212:BM212"/>
    <mergeCell ref="BN212:BT212"/>
    <mergeCell ref="BE213:BG213"/>
    <mergeCell ref="BI213:BM213"/>
    <mergeCell ref="BN213:BT213"/>
    <mergeCell ref="BE209:CA209"/>
    <mergeCell ref="BE210:BG210"/>
    <mergeCell ref="BH210:BL210"/>
    <mergeCell ref="BE211:BG211"/>
    <mergeCell ref="BI211:BM211"/>
    <mergeCell ref="BN211:BT211"/>
    <mergeCell ref="BE219:BG219"/>
    <mergeCell ref="BI219:BM219"/>
    <mergeCell ref="BN219:BT219"/>
    <mergeCell ref="BE220:BG220"/>
    <mergeCell ref="BI220:BM220"/>
    <mergeCell ref="BN220:BT220"/>
    <mergeCell ref="BE216:CA216"/>
    <mergeCell ref="BE217:BG217"/>
    <mergeCell ref="BH217:BL217"/>
    <mergeCell ref="BE218:BG218"/>
    <mergeCell ref="BI218:BM218"/>
    <mergeCell ref="BN218:BT218"/>
    <mergeCell ref="BE226:BG226"/>
    <mergeCell ref="BI226:BM226"/>
    <mergeCell ref="BN226:BT226"/>
    <mergeCell ref="BE227:BG227"/>
    <mergeCell ref="BI227:BM227"/>
    <mergeCell ref="BN227:BT227"/>
    <mergeCell ref="BE223:CA223"/>
    <mergeCell ref="BE224:BG224"/>
    <mergeCell ref="BH224:BL224"/>
    <mergeCell ref="BE225:BG225"/>
    <mergeCell ref="BI225:BM225"/>
    <mergeCell ref="BN225:BT225"/>
    <mergeCell ref="BE233:BG233"/>
    <mergeCell ref="BI233:BM233"/>
    <mergeCell ref="BN233:BT233"/>
    <mergeCell ref="BE234:BG234"/>
    <mergeCell ref="BI234:BM234"/>
    <mergeCell ref="BN234:BT234"/>
    <mergeCell ref="BE230:CA230"/>
    <mergeCell ref="BE231:BG231"/>
    <mergeCell ref="BH231:BL231"/>
    <mergeCell ref="BE232:BG232"/>
    <mergeCell ref="BI232:BM232"/>
    <mergeCell ref="BN232:BT232"/>
    <mergeCell ref="BE240:BG240"/>
    <mergeCell ref="BI240:BM240"/>
    <mergeCell ref="BN240:BT240"/>
    <mergeCell ref="BE241:BG241"/>
    <mergeCell ref="BI241:BM241"/>
    <mergeCell ref="BN241:BT241"/>
    <mergeCell ref="BE237:CA237"/>
    <mergeCell ref="BE238:BG238"/>
    <mergeCell ref="BH238:BL238"/>
    <mergeCell ref="BE239:BG239"/>
    <mergeCell ref="BI239:BM239"/>
    <mergeCell ref="BN239:BT239"/>
    <mergeCell ref="BE246:BG246"/>
    <mergeCell ref="BI246:BM246"/>
    <mergeCell ref="BN246:BT246"/>
    <mergeCell ref="BE247:BG247"/>
    <mergeCell ref="BI247:BM247"/>
    <mergeCell ref="BN247:BT247"/>
    <mergeCell ref="B242:G242"/>
    <mergeCell ref="BE243:CA243"/>
    <mergeCell ref="BE244:BG244"/>
    <mergeCell ref="BH244:BL244"/>
    <mergeCell ref="BE245:BG245"/>
    <mergeCell ref="BI245:BM245"/>
    <mergeCell ref="BN245:BT245"/>
    <mergeCell ref="BE255:BG255"/>
    <mergeCell ref="BI255:BM255"/>
    <mergeCell ref="BN255:BT255"/>
    <mergeCell ref="BE256:BG256"/>
    <mergeCell ref="BI256:BM256"/>
    <mergeCell ref="BN256:BT256"/>
    <mergeCell ref="BE252:CA252"/>
    <mergeCell ref="BE253:BG253"/>
    <mergeCell ref="BH253:BL253"/>
    <mergeCell ref="BE254:BG254"/>
    <mergeCell ref="BI254:BM254"/>
    <mergeCell ref="BN254:BT254"/>
    <mergeCell ref="BE262:BG262"/>
    <mergeCell ref="BI262:BM262"/>
    <mergeCell ref="BN262:BT262"/>
    <mergeCell ref="BE263:BG263"/>
    <mergeCell ref="BI263:BM263"/>
    <mergeCell ref="BN263:BT263"/>
    <mergeCell ref="BE259:CA259"/>
    <mergeCell ref="BE260:BG260"/>
    <mergeCell ref="BH260:BL260"/>
    <mergeCell ref="BE261:BG261"/>
    <mergeCell ref="BI261:BM261"/>
    <mergeCell ref="BN261:BT261"/>
    <mergeCell ref="CE268:CJ268"/>
    <mergeCell ref="CM268:CT268"/>
    <mergeCell ref="BE269:BG269"/>
    <mergeCell ref="BI269:BM269"/>
    <mergeCell ref="BN269:BT269"/>
    <mergeCell ref="CE269:CJ269"/>
    <mergeCell ref="CM269:CT269"/>
    <mergeCell ref="BE266:CA266"/>
    <mergeCell ref="BE267:BG267"/>
    <mergeCell ref="BH267:BL267"/>
    <mergeCell ref="BE268:BG268"/>
    <mergeCell ref="BI268:BM268"/>
    <mergeCell ref="BN268:BT268"/>
    <mergeCell ref="CE276:CJ276"/>
    <mergeCell ref="CM276:CT276"/>
    <mergeCell ref="BE277:BG277"/>
    <mergeCell ref="BI277:BM277"/>
    <mergeCell ref="BN277:BT277"/>
    <mergeCell ref="CE277:CJ277"/>
    <mergeCell ref="CM277:CT277"/>
    <mergeCell ref="BE270:BG270"/>
    <mergeCell ref="BI270:BM270"/>
    <mergeCell ref="BN270:BT270"/>
    <mergeCell ref="BE274:CA274"/>
    <mergeCell ref="BE275:BG275"/>
    <mergeCell ref="BH275:BL275"/>
    <mergeCell ref="BE278:BG278"/>
    <mergeCell ref="BI278:BM278"/>
    <mergeCell ref="BN278:BT278"/>
    <mergeCell ref="BE283:CA283"/>
    <mergeCell ref="BE284:BG284"/>
    <mergeCell ref="BH284:BL284"/>
    <mergeCell ref="BE276:BG276"/>
    <mergeCell ref="BI276:BM276"/>
    <mergeCell ref="BN276:BT276"/>
    <mergeCell ref="BE285:BG285"/>
    <mergeCell ref="BI285:BM285"/>
    <mergeCell ref="BN285:BT285"/>
    <mergeCell ref="CE285:CJ285"/>
    <mergeCell ref="CM285:CT285"/>
    <mergeCell ref="BE286:BG286"/>
    <mergeCell ref="BI286:BM286"/>
    <mergeCell ref="BN286:BT286"/>
    <mergeCell ref="CE286:CJ286"/>
    <mergeCell ref="CM286:CT286"/>
    <mergeCell ref="CE298:CJ298"/>
    <mergeCell ref="CM298:CT298"/>
    <mergeCell ref="BE299:BG299"/>
    <mergeCell ref="BI299:BM299"/>
    <mergeCell ref="BN299:BT299"/>
    <mergeCell ref="CE299:CJ299"/>
    <mergeCell ref="CM299:CT299"/>
    <mergeCell ref="BE287:BG287"/>
    <mergeCell ref="BI287:BM287"/>
    <mergeCell ref="BN287:BT287"/>
    <mergeCell ref="BE296:CA296"/>
    <mergeCell ref="BE297:BG297"/>
    <mergeCell ref="BH297:BL297"/>
    <mergeCell ref="BE300:BG300"/>
    <mergeCell ref="BI300:BM300"/>
    <mergeCell ref="BN300:BT300"/>
    <mergeCell ref="BE304:CA304"/>
    <mergeCell ref="BE305:BG305"/>
    <mergeCell ref="BH305:BL305"/>
    <mergeCell ref="BE298:BG298"/>
    <mergeCell ref="BI298:BM298"/>
    <mergeCell ref="BN298:BT298"/>
    <mergeCell ref="BE306:BG306"/>
    <mergeCell ref="BI306:BM306"/>
    <mergeCell ref="BN306:BT306"/>
    <mergeCell ref="CE306:CJ306"/>
    <mergeCell ref="CM306:CT306"/>
    <mergeCell ref="BE307:BG307"/>
    <mergeCell ref="BI307:BM307"/>
    <mergeCell ref="BN307:BT307"/>
    <mergeCell ref="CE307:CJ307"/>
    <mergeCell ref="CM307:CT307"/>
    <mergeCell ref="CE313:CJ313"/>
    <mergeCell ref="CM313:CT313"/>
    <mergeCell ref="BE314:BG314"/>
    <mergeCell ref="BI314:BM314"/>
    <mergeCell ref="BN314:BT314"/>
    <mergeCell ref="CE314:CJ314"/>
    <mergeCell ref="CM314:CT314"/>
    <mergeCell ref="BE308:BG308"/>
    <mergeCell ref="BI308:BM308"/>
    <mergeCell ref="BN308:BT308"/>
    <mergeCell ref="BE311:CA311"/>
    <mergeCell ref="BE312:BG312"/>
    <mergeCell ref="BH312:BL312"/>
    <mergeCell ref="BE315:BG315"/>
    <mergeCell ref="BI315:BM315"/>
    <mergeCell ref="BN315:BT315"/>
    <mergeCell ref="BE319:CA319"/>
    <mergeCell ref="BE320:BG320"/>
    <mergeCell ref="BH320:BL320"/>
    <mergeCell ref="BE313:BG313"/>
    <mergeCell ref="BI313:BM313"/>
    <mergeCell ref="BN313:BT313"/>
    <mergeCell ref="BE321:BG321"/>
    <mergeCell ref="BI321:BM321"/>
    <mergeCell ref="BN321:BT321"/>
    <mergeCell ref="CE321:CJ321"/>
    <mergeCell ref="CM321:CT321"/>
    <mergeCell ref="BE322:BG322"/>
    <mergeCell ref="BI322:BM322"/>
    <mergeCell ref="BN322:BT322"/>
    <mergeCell ref="CE322:CJ322"/>
    <mergeCell ref="CM322:CT322"/>
    <mergeCell ref="CE329:CJ329"/>
    <mergeCell ref="CM329:CT329"/>
    <mergeCell ref="BE330:BG330"/>
    <mergeCell ref="BI330:BM330"/>
    <mergeCell ref="BN330:BT330"/>
    <mergeCell ref="CE330:CJ330"/>
    <mergeCell ref="CM330:CT330"/>
    <mergeCell ref="BE323:BG323"/>
    <mergeCell ref="BI323:BM323"/>
    <mergeCell ref="BN323:BT323"/>
    <mergeCell ref="BE327:CA327"/>
    <mergeCell ref="BE328:BG328"/>
    <mergeCell ref="BH328:BL328"/>
    <mergeCell ref="BE331:BG331"/>
    <mergeCell ref="BI331:BM331"/>
    <mergeCell ref="BN331:BT331"/>
    <mergeCell ref="BE335:CA335"/>
    <mergeCell ref="BE336:BG336"/>
    <mergeCell ref="BH336:BL336"/>
    <mergeCell ref="BE329:BG329"/>
    <mergeCell ref="BI329:BM329"/>
    <mergeCell ref="BN329:BT329"/>
    <mergeCell ref="CM346:CT346"/>
    <mergeCell ref="BE337:BG337"/>
    <mergeCell ref="BI337:BM337"/>
    <mergeCell ref="BN337:BT337"/>
    <mergeCell ref="CE337:CJ337"/>
    <mergeCell ref="CM337:CT337"/>
    <mergeCell ref="BE338:BG338"/>
    <mergeCell ref="BI338:BM338"/>
    <mergeCell ref="BN338:BT338"/>
    <mergeCell ref="CE338:CJ338"/>
    <mergeCell ref="CM338:CT338"/>
    <mergeCell ref="BE339:BG339"/>
    <mergeCell ref="BI339:BM339"/>
    <mergeCell ref="BN339:BT339"/>
    <mergeCell ref="BE343:CA343"/>
    <mergeCell ref="BE344:BG344"/>
    <mergeCell ref="BH344:BL344"/>
    <mergeCell ref="CE345:CJ345"/>
    <mergeCell ref="CM345:CT345"/>
    <mergeCell ref="BE345:BG345"/>
    <mergeCell ref="BI345:BM345"/>
    <mergeCell ref="BN345:BT345"/>
    <mergeCell ref="BE346:BG346"/>
    <mergeCell ref="BI346:BM346"/>
    <mergeCell ref="BE350:CA350"/>
    <mergeCell ref="BE351:BG351"/>
    <mergeCell ref="BH351:BL351"/>
    <mergeCell ref="BE352:BG352"/>
    <mergeCell ref="BI352:BM352"/>
    <mergeCell ref="BN352:BT352"/>
    <mergeCell ref="CE352:CJ352"/>
    <mergeCell ref="CM352:CT352"/>
    <mergeCell ref="BE353:BG353"/>
    <mergeCell ref="BI353:BM353"/>
    <mergeCell ref="BN353:BT353"/>
    <mergeCell ref="CE353:CJ353"/>
    <mergeCell ref="CM353:CT353"/>
    <mergeCell ref="BN346:BT346"/>
    <mergeCell ref="CE346:CJ346"/>
    <mergeCell ref="CM361:CT361"/>
    <mergeCell ref="BE362:BG362"/>
    <mergeCell ref="BI362:BM362"/>
    <mergeCell ref="BN362:BT362"/>
    <mergeCell ref="CE362:CJ362"/>
    <mergeCell ref="CM362:CT362"/>
    <mergeCell ref="CE368:CJ368"/>
    <mergeCell ref="CM368:CT368"/>
    <mergeCell ref="BE359:CA359"/>
    <mergeCell ref="BE360:BG360"/>
    <mergeCell ref="BH360:BL360"/>
    <mergeCell ref="BE361:BG361"/>
    <mergeCell ref="BI361:BM361"/>
    <mergeCell ref="BN361:BT361"/>
    <mergeCell ref="CE361:CJ361"/>
    <mergeCell ref="BE354:BG354"/>
    <mergeCell ref="BI354:BM354"/>
    <mergeCell ref="BN354:BT354"/>
    <mergeCell ref="CM357:CT357"/>
    <mergeCell ref="BE347:BG347"/>
    <mergeCell ref="BI347:BM347"/>
    <mergeCell ref="BN347:BT347"/>
    <mergeCell ref="BE369:BG369"/>
    <mergeCell ref="BI369:BM369"/>
    <mergeCell ref="BN369:BT369"/>
    <mergeCell ref="CE369:CJ369"/>
    <mergeCell ref="CM369:CT369"/>
    <mergeCell ref="BE363:BG363"/>
    <mergeCell ref="BI363:BM363"/>
    <mergeCell ref="BN363:BT363"/>
    <mergeCell ref="BE370:BG370"/>
    <mergeCell ref="BI370:BM370"/>
    <mergeCell ref="BN370:BT370"/>
    <mergeCell ref="BE366:CA366"/>
    <mergeCell ref="BE367:BG367"/>
    <mergeCell ref="BH367:BL367"/>
    <mergeCell ref="BE368:BG368"/>
    <mergeCell ref="BI368:BM368"/>
    <mergeCell ref="BN368:BT368"/>
  </mergeCells>
  <pageMargins left="0" right="0" top="0" bottom="0" header="0.31496062992125984" footer="0.31496062992125984"/>
  <pageSetup paperSize="9" scale="75" fitToHeight="0" orientation="portrait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CT205"/>
  <sheetViews>
    <sheetView topLeftCell="A136" zoomScaleNormal="100" workbookViewId="0">
      <selection activeCell="CE204" sqref="CE204:CJ204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5" width="1.85546875" style="117"/>
    <col min="26" max="26" width="9.85546875" style="117" bestFit="1" customWidth="1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4.42578125" style="117" customWidth="1"/>
    <col min="55" max="55" width="4.5703125" style="117" customWidth="1"/>
    <col min="56" max="56" width="4.7109375" style="117" customWidth="1"/>
    <col min="57" max="57" width="10.140625" style="117" customWidth="1"/>
    <col min="58" max="58" width="5.85546875" style="117" customWidth="1"/>
    <col min="59" max="59" width="2.7109375" style="117" customWidth="1"/>
    <col min="60" max="60" width="12.140625" style="117" customWidth="1"/>
    <col min="61" max="61" width="8.140625" style="117" customWidth="1"/>
    <col min="62" max="87" width="1.85546875" style="117" customWidth="1"/>
    <col min="88" max="16384" width="1.85546875" style="117"/>
  </cols>
  <sheetData>
    <row r="1" spans="1:55" s="100" customFormat="1" ht="15" customHeight="1" x14ac:dyDescent="0.25">
      <c r="AW1" s="100" t="s">
        <v>83</v>
      </c>
    </row>
    <row r="2" spans="1:55" s="100" customFormat="1" ht="15" x14ac:dyDescent="0.25">
      <c r="AQ2" s="915" t="s">
        <v>680</v>
      </c>
      <c r="AR2" s="915"/>
      <c r="AS2" s="915"/>
      <c r="AT2" s="916"/>
      <c r="AU2" s="916"/>
      <c r="AV2" s="916"/>
      <c r="AW2" s="916"/>
      <c r="AX2" s="916"/>
      <c r="AY2" s="916"/>
      <c r="AZ2" s="916"/>
      <c r="BA2" s="916"/>
      <c r="BB2" s="916"/>
    </row>
    <row r="3" spans="1:55" s="100" customFormat="1" ht="15" customHeight="1" x14ac:dyDescent="0.25">
      <c r="AQ3" s="100" t="s">
        <v>91</v>
      </c>
    </row>
    <row r="4" spans="1:55" s="100" customFormat="1" ht="5.0999999999999996" customHeight="1" x14ac:dyDescent="0.25"/>
    <row r="5" spans="1:55" s="100" customFormat="1" ht="15" customHeight="1" x14ac:dyDescent="0.25">
      <c r="AM5" s="157"/>
      <c r="AN5" s="157"/>
      <c r="AO5" s="157"/>
      <c r="AP5" s="157"/>
      <c r="AQ5" s="156"/>
      <c r="AR5" s="156"/>
      <c r="AS5" s="156"/>
      <c r="AT5" s="156"/>
      <c r="AU5" s="156"/>
      <c r="AV5" s="1370" t="s">
        <v>222</v>
      </c>
      <c r="AW5" s="443"/>
      <c r="AX5" s="443"/>
      <c r="AY5" s="443"/>
      <c r="AZ5" s="443"/>
      <c r="BA5" s="443"/>
      <c r="BB5" s="443"/>
      <c r="BC5" s="443"/>
    </row>
    <row r="6" spans="1:55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5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5" s="100" customFormat="1" ht="15" customHeight="1" x14ac:dyDescent="0.25">
      <c r="A8" s="756" t="s">
        <v>657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5" s="100" customFormat="1" ht="5.0999999999999996" customHeight="1" x14ac:dyDescent="0.25">
      <c r="A9" s="310"/>
      <c r="B9" s="310"/>
      <c r="C9" s="310"/>
      <c r="D9" s="310"/>
      <c r="E9" s="310"/>
      <c r="F9" s="310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0"/>
      <c r="AL9" s="310"/>
      <c r="AM9" s="310"/>
      <c r="AN9" s="310"/>
      <c r="AO9" s="310"/>
      <c r="AP9" s="310"/>
      <c r="AQ9" s="310"/>
      <c r="AR9" s="310"/>
      <c r="AS9" s="310"/>
      <c r="AT9" s="310"/>
      <c r="AU9" s="310"/>
      <c r="AV9" s="310"/>
      <c r="AW9" s="310"/>
      <c r="AX9" s="310"/>
      <c r="AY9" s="310"/>
      <c r="AZ9" s="310"/>
      <c r="BA9" s="310"/>
    </row>
    <row r="10" spans="1:55" s="100" customFormat="1" ht="15" customHeight="1" x14ac:dyDescent="0.25">
      <c r="A10" s="310"/>
      <c r="B10" s="310" t="s">
        <v>113</v>
      </c>
      <c r="C10" s="757">
        <v>1</v>
      </c>
      <c r="D10" s="757"/>
      <c r="E10" s="757"/>
      <c r="F10" s="310"/>
      <c r="G10" s="757" t="s">
        <v>675</v>
      </c>
      <c r="H10" s="757"/>
      <c r="I10" s="757"/>
      <c r="J10" s="757"/>
      <c r="K10" s="757"/>
      <c r="L10" s="757"/>
      <c r="M10" s="310"/>
      <c r="N10" s="756">
        <v>2021</v>
      </c>
      <c r="O10" s="756"/>
      <c r="P10" s="756"/>
      <c r="Q10" s="756"/>
      <c r="R10" s="310"/>
      <c r="S10" s="310" t="s">
        <v>114</v>
      </c>
      <c r="T10" s="310"/>
      <c r="U10" s="756" t="s">
        <v>115</v>
      </c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758"/>
      <c r="AI10" s="758"/>
      <c r="AJ10" s="757">
        <v>31</v>
      </c>
      <c r="AK10" s="757"/>
      <c r="AL10" s="757"/>
      <c r="AM10" s="310"/>
      <c r="AN10" s="757" t="s">
        <v>116</v>
      </c>
      <c r="AO10" s="757"/>
      <c r="AP10" s="757"/>
      <c r="AQ10" s="757"/>
      <c r="AR10" s="757"/>
      <c r="AS10" s="757"/>
      <c r="AT10" s="757"/>
      <c r="AU10" s="310"/>
      <c r="AV10" s="756">
        <v>2021</v>
      </c>
      <c r="AW10" s="756"/>
      <c r="AX10" s="756"/>
      <c r="AY10" s="756"/>
      <c r="AZ10" s="310"/>
      <c r="BA10" s="310" t="s">
        <v>114</v>
      </c>
    </row>
    <row r="11" spans="1:55" s="82" customFormat="1" ht="5.0999999999999996" customHeight="1" x14ac:dyDescent="0.2"/>
    <row r="12" spans="1:55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28</v>
      </c>
      <c r="V12" s="761"/>
      <c r="W12" s="761"/>
    </row>
    <row r="13" spans="1:55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5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1">
        <v>12</v>
      </c>
      <c r="V14" s="761"/>
      <c r="W14" s="761"/>
    </row>
    <row r="15" spans="1:55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5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1</v>
      </c>
      <c r="V16" s="761"/>
      <c r="W16" s="761"/>
      <c r="X16" s="312" t="s">
        <v>4</v>
      </c>
      <c r="Y16" s="761">
        <v>12</v>
      </c>
      <c r="Z16" s="761"/>
      <c r="AA16" s="761"/>
    </row>
    <row r="17" spans="1:54" ht="5.0999999999999996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530</v>
      </c>
      <c r="AR19" s="162"/>
      <c r="AS19" s="164"/>
      <c r="AX19" s="708">
        <v>15600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419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4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customHeight="1" x14ac:dyDescent="0.2">
      <c r="A24" s="764" t="s">
        <v>417</v>
      </c>
      <c r="B24" s="765"/>
      <c r="C24" s="765"/>
      <c r="D24" s="765"/>
      <c r="E24" s="765"/>
      <c r="F24" s="765"/>
      <c r="G24" s="766"/>
      <c r="H24" s="711" t="s">
        <v>16</v>
      </c>
      <c r="I24" s="712"/>
      <c r="J24" s="712"/>
      <c r="K24" s="712"/>
      <c r="L24" s="712"/>
      <c r="M24" s="712"/>
      <c r="N24" s="712"/>
      <c r="O24" s="712"/>
      <c r="P24" s="712"/>
      <c r="Q24" s="712"/>
      <c r="R24" s="712"/>
      <c r="S24" s="712"/>
      <c r="T24" s="712"/>
      <c r="U24" s="712"/>
      <c r="V24" s="712"/>
      <c r="W24" s="712"/>
      <c r="X24" s="712"/>
      <c r="Y24" s="712"/>
      <c r="Z24" s="723">
        <v>0.2</v>
      </c>
      <c r="AA24" s="723"/>
      <c r="AB24" s="723"/>
      <c r="AC24" s="662">
        <f>(AX51+AX83)*Z24*AH24</f>
        <v>3154.666666666667</v>
      </c>
      <c r="AD24" s="662"/>
      <c r="AE24" s="662"/>
      <c r="AF24" s="662"/>
      <c r="AG24" s="662"/>
      <c r="AH24" s="663">
        <v>2</v>
      </c>
      <c r="AI24" s="663"/>
      <c r="AJ24" s="663"/>
      <c r="AK24" s="663"/>
      <c r="AL24" s="663"/>
      <c r="AM24" s="663"/>
      <c r="AN24" s="662">
        <f>AC24/U12</f>
        <v>112.66666666666667</v>
      </c>
      <c r="AO24" s="662"/>
      <c r="AP24" s="662"/>
      <c r="AQ24" s="662"/>
      <c r="AR24" s="662"/>
      <c r="AS24" s="663" t="s">
        <v>17</v>
      </c>
      <c r="AT24" s="663"/>
      <c r="AU24" s="663"/>
      <c r="AV24" s="663"/>
      <c r="AW24" s="663"/>
      <c r="AX24" s="662" t="s">
        <v>17</v>
      </c>
      <c r="AY24" s="662"/>
      <c r="AZ24" s="662"/>
      <c r="BA24" s="662"/>
      <c r="BB24" s="684"/>
    </row>
    <row r="25" spans="1:54" s="165" customFormat="1" ht="26.25" customHeight="1" x14ac:dyDescent="0.2">
      <c r="A25" s="767"/>
      <c r="B25" s="768"/>
      <c r="C25" s="768"/>
      <c r="D25" s="768"/>
      <c r="E25" s="768"/>
      <c r="F25" s="768"/>
      <c r="G25" s="769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771" t="s">
        <v>89</v>
      </c>
      <c r="B26" s="772"/>
      <c r="C26" s="772"/>
      <c r="D26" s="772"/>
      <c r="E26" s="772"/>
      <c r="F26" s="772"/>
      <c r="G26" s="773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11.25" customHeight="1" x14ac:dyDescent="0.2">
      <c r="A27" s="750"/>
      <c r="B27" s="751"/>
      <c r="C27" s="751"/>
      <c r="D27" s="751"/>
      <c r="E27" s="751"/>
      <c r="F27" s="751"/>
      <c r="G27" s="7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17.25" customHeight="1" thickBot="1" x14ac:dyDescent="0.25">
      <c r="A33" s="753"/>
      <c r="B33" s="754"/>
      <c r="C33" s="754"/>
      <c r="D33" s="754"/>
      <c r="E33" s="754"/>
      <c r="F33" s="754"/>
      <c r="G33" s="775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9"/>
      <c r="AA33" s="729"/>
      <c r="AB33" s="729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191"/>
      <c r="R34" s="187" t="s">
        <v>18</v>
      </c>
      <c r="S34" s="163"/>
      <c r="T34" s="163"/>
      <c r="U34" s="162"/>
      <c r="V34" s="162"/>
      <c r="W34" s="162"/>
      <c r="X34" s="162"/>
      <c r="Y34" s="162"/>
      <c r="Z34" s="162"/>
      <c r="AA34" s="162"/>
      <c r="AB34" s="162"/>
      <c r="AC34" s="162"/>
      <c r="AD34" s="162" t="s">
        <v>19</v>
      </c>
      <c r="AE34" s="162" t="s">
        <v>20</v>
      </c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88"/>
      <c r="AS34" s="702">
        <f>AN24</f>
        <v>112.66666666666667</v>
      </c>
      <c r="AT34" s="702"/>
      <c r="AU34" s="702"/>
      <c r="AV34" s="702"/>
      <c r="AW34" s="702"/>
      <c r="AX34" s="702">
        <f>AC24</f>
        <v>3154.666666666667</v>
      </c>
      <c r="AY34" s="702"/>
      <c r="AZ34" s="702"/>
      <c r="BA34" s="702"/>
      <c r="BB34" s="703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309"/>
      <c r="I35" s="309"/>
      <c r="J35" s="309"/>
      <c r="K35" s="309"/>
      <c r="L35" s="309"/>
      <c r="M35" s="309"/>
      <c r="P35" s="168"/>
      <c r="Q35" s="307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34.025333333333336</v>
      </c>
      <c r="AT35" s="463"/>
      <c r="AU35" s="463"/>
      <c r="AV35" s="463"/>
      <c r="AW35" s="463"/>
      <c r="AX35" s="463">
        <f>AX34*AO35</f>
        <v>952.70933333333335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309"/>
      <c r="I36" s="309"/>
      <c r="J36" s="309"/>
      <c r="K36" s="309"/>
      <c r="L36" s="309"/>
      <c r="M36" s="309"/>
      <c r="P36" s="168"/>
      <c r="Q36" s="307"/>
      <c r="R36" s="307"/>
      <c r="S36" s="307"/>
      <c r="U36" s="307"/>
      <c r="V36" s="307"/>
      <c r="W36" s="307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313"/>
      <c r="AT36" s="315"/>
      <c r="AU36" s="315"/>
      <c r="AV36" s="315"/>
      <c r="AW36" s="315"/>
      <c r="AX36" s="313"/>
      <c r="AY36" s="315"/>
      <c r="AZ36" s="315"/>
      <c r="BA36" s="315"/>
      <c r="BB36" s="315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420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660"/>
      <c r="B41" s="661"/>
      <c r="C41" s="661"/>
      <c r="D41" s="661"/>
      <c r="E41" s="661"/>
      <c r="F41" s="661"/>
      <c r="G41" s="661"/>
      <c r="H41" s="662" t="s">
        <v>16</v>
      </c>
      <c r="I41" s="662"/>
      <c r="J41" s="662"/>
      <c r="K41" s="662"/>
      <c r="L41" s="662"/>
      <c r="M41" s="662"/>
      <c r="N41" s="662"/>
      <c r="O41" s="662"/>
      <c r="P41" s="662"/>
      <c r="Q41" s="662"/>
      <c r="R41" s="662"/>
      <c r="S41" s="662"/>
      <c r="T41" s="662"/>
      <c r="U41" s="662"/>
      <c r="V41" s="662"/>
      <c r="W41" s="662"/>
      <c r="X41" s="662"/>
      <c r="Y41" s="662"/>
      <c r="Z41" s="723">
        <v>0</v>
      </c>
      <c r="AA41" s="723"/>
      <c r="AB41" s="723"/>
      <c r="AC41" s="662">
        <f>AX83*Z41*AH41</f>
        <v>0</v>
      </c>
      <c r="AD41" s="662"/>
      <c r="AE41" s="662"/>
      <c r="AF41" s="662"/>
      <c r="AG41" s="662"/>
      <c r="AH41" s="508">
        <v>1</v>
      </c>
      <c r="AI41" s="509"/>
      <c r="AJ41" s="509"/>
      <c r="AK41" s="509"/>
      <c r="AL41" s="509"/>
      <c r="AM41" s="510"/>
      <c r="AN41" s="711">
        <f>AC41/U12</f>
        <v>0</v>
      </c>
      <c r="AO41" s="712"/>
      <c r="AP41" s="712"/>
      <c r="AQ41" s="712"/>
      <c r="AR41" s="734"/>
      <c r="AS41" s="508" t="s">
        <v>17</v>
      </c>
      <c r="AT41" s="509"/>
      <c r="AU41" s="509"/>
      <c r="AV41" s="509"/>
      <c r="AW41" s="510"/>
      <c r="AX41" s="711" t="s">
        <v>17</v>
      </c>
      <c r="AY41" s="712"/>
      <c r="AZ41" s="712"/>
      <c r="BA41" s="712"/>
      <c r="BB41" s="713"/>
    </row>
    <row r="42" spans="1:54" s="165" customFormat="1" ht="0.75" hidden="1" customHeight="1" x14ac:dyDescent="0.2">
      <c r="A42" s="652"/>
      <c r="B42" s="653"/>
      <c r="C42" s="653"/>
      <c r="D42" s="653"/>
      <c r="E42" s="653"/>
      <c r="F42" s="653"/>
      <c r="G42" s="653"/>
      <c r="H42" s="601"/>
      <c r="I42" s="601"/>
      <c r="J42" s="601"/>
      <c r="K42" s="601"/>
      <c r="L42" s="601"/>
      <c r="M42" s="601"/>
      <c r="N42" s="601"/>
      <c r="O42" s="601"/>
      <c r="P42" s="601"/>
      <c r="Q42" s="601"/>
      <c r="R42" s="601"/>
      <c r="S42" s="601"/>
      <c r="T42" s="601"/>
      <c r="U42" s="601"/>
      <c r="V42" s="601"/>
      <c r="W42" s="601"/>
      <c r="X42" s="601"/>
      <c r="Y42" s="601"/>
      <c r="Z42" s="726"/>
      <c r="AA42" s="726"/>
      <c r="AB42" s="726"/>
      <c r="AC42" s="601"/>
      <c r="AD42" s="601"/>
      <c r="AE42" s="601"/>
      <c r="AF42" s="601"/>
      <c r="AG42" s="601"/>
      <c r="AH42" s="511"/>
      <c r="AI42" s="512"/>
      <c r="AJ42" s="512"/>
      <c r="AK42" s="512"/>
      <c r="AL42" s="512"/>
      <c r="AM42" s="513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714"/>
      <c r="AY42" s="704"/>
      <c r="AZ42" s="704"/>
      <c r="BA42" s="704"/>
      <c r="BB42" s="715"/>
    </row>
    <row r="43" spans="1:54" ht="18" customHeight="1" x14ac:dyDescent="0.2">
      <c r="A43" s="652"/>
      <c r="B43" s="653"/>
      <c r="C43" s="653"/>
      <c r="D43" s="653"/>
      <c r="E43" s="653"/>
      <c r="F43" s="653"/>
      <c r="G43" s="653"/>
      <c r="H43" s="601"/>
      <c r="I43" s="601"/>
      <c r="J43" s="601"/>
      <c r="K43" s="601"/>
      <c r="L43" s="601"/>
      <c r="M43" s="601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726"/>
      <c r="AA43" s="726"/>
      <c r="AB43" s="726"/>
      <c r="AC43" s="601"/>
      <c r="AD43" s="601"/>
      <c r="AE43" s="601"/>
      <c r="AF43" s="601"/>
      <c r="AG43" s="601"/>
      <c r="AH43" s="736"/>
      <c r="AI43" s="737"/>
      <c r="AJ43" s="737"/>
      <c r="AK43" s="737"/>
      <c r="AL43" s="737"/>
      <c r="AM43" s="738"/>
      <c r="AN43" s="716"/>
      <c r="AO43" s="669"/>
      <c r="AP43" s="669"/>
      <c r="AQ43" s="669"/>
      <c r="AR43" s="670"/>
      <c r="AS43" s="736"/>
      <c r="AT43" s="737"/>
      <c r="AU43" s="737"/>
      <c r="AV43" s="737"/>
      <c r="AW43" s="738"/>
      <c r="AX43" s="716"/>
      <c r="AY43" s="669"/>
      <c r="AZ43" s="669"/>
      <c r="BA43" s="669"/>
      <c r="BB43" s="717"/>
    </row>
    <row r="44" spans="1:54" s="165" customFormat="1" ht="21" hidden="1" customHeight="1" x14ac:dyDescent="0.2">
      <c r="A44" s="652"/>
      <c r="B44" s="653"/>
      <c r="C44" s="653"/>
      <c r="D44" s="653"/>
      <c r="E44" s="653"/>
      <c r="F44" s="653"/>
      <c r="G44" s="653"/>
      <c r="H44" s="601"/>
      <c r="I44" s="601"/>
      <c r="J44" s="601"/>
      <c r="K44" s="601"/>
      <c r="L44" s="601"/>
      <c r="M44" s="601"/>
      <c r="N44" s="601"/>
      <c r="O44" s="601"/>
      <c r="P44" s="601"/>
      <c r="Q44" s="601"/>
      <c r="R44" s="601"/>
      <c r="S44" s="601"/>
      <c r="T44" s="601"/>
      <c r="U44" s="601"/>
      <c r="V44" s="601"/>
      <c r="W44" s="601"/>
      <c r="X44" s="601"/>
      <c r="Y44" s="601"/>
      <c r="Z44" s="726"/>
      <c r="AA44" s="726"/>
      <c r="AB44" s="726"/>
      <c r="AC44" s="279"/>
      <c r="AD44" s="279"/>
      <c r="AE44" s="279"/>
      <c r="AF44" s="279"/>
      <c r="AG44" s="279"/>
      <c r="AH44" s="180"/>
      <c r="AI44" s="181"/>
      <c r="AJ44" s="181"/>
      <c r="AK44" s="181"/>
      <c r="AL44" s="181"/>
      <c r="AM44" s="182"/>
      <c r="AN44" s="86"/>
      <c r="AO44" s="84"/>
      <c r="AP44" s="84"/>
      <c r="AQ44" s="84"/>
      <c r="AR44" s="85"/>
      <c r="AS44" s="180"/>
      <c r="AT44" s="181"/>
      <c r="AU44" s="181"/>
      <c r="AV44" s="181"/>
      <c r="AW44" s="182"/>
      <c r="AX44" s="86"/>
      <c r="AY44" s="84"/>
      <c r="AZ44" s="84"/>
      <c r="BA44" s="84"/>
      <c r="BB44" s="255"/>
    </row>
    <row r="45" spans="1:54" s="165" customFormat="1" ht="21.75" hidden="1" customHeight="1" x14ac:dyDescent="0.2">
      <c r="A45" s="652"/>
      <c r="B45" s="653"/>
      <c r="C45" s="653"/>
      <c r="D45" s="653"/>
      <c r="E45" s="653"/>
      <c r="F45" s="653"/>
      <c r="G45" s="653"/>
      <c r="H45" s="601"/>
      <c r="I45" s="601"/>
      <c r="J45" s="601"/>
      <c r="K45" s="601"/>
      <c r="L45" s="601"/>
      <c r="M45" s="601"/>
      <c r="N45" s="601"/>
      <c r="O45" s="601"/>
      <c r="P45" s="601"/>
      <c r="Q45" s="601"/>
      <c r="R45" s="601"/>
      <c r="S45" s="601"/>
      <c r="T45" s="601"/>
      <c r="U45" s="601"/>
      <c r="V45" s="601"/>
      <c r="W45" s="601"/>
      <c r="X45" s="601"/>
      <c r="Y45" s="601"/>
      <c r="Z45" s="726"/>
      <c r="AA45" s="726"/>
      <c r="AB45" s="726"/>
      <c r="AC45" s="279"/>
      <c r="AD45" s="279"/>
      <c r="AE45" s="279"/>
      <c r="AF45" s="279"/>
      <c r="AG45" s="279"/>
      <c r="AH45" s="180"/>
      <c r="AI45" s="181"/>
      <c r="AJ45" s="181"/>
      <c r="AK45" s="181"/>
      <c r="AL45" s="181"/>
      <c r="AM45" s="182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255"/>
    </row>
    <row r="46" spans="1:54" s="165" customFormat="1" ht="24" hidden="1" customHeight="1" x14ac:dyDescent="0.2">
      <c r="A46" s="652"/>
      <c r="B46" s="653"/>
      <c r="C46" s="653"/>
      <c r="D46" s="653"/>
      <c r="E46" s="653"/>
      <c r="F46" s="653"/>
      <c r="G46" s="653"/>
      <c r="H46" s="601"/>
      <c r="I46" s="601"/>
      <c r="J46" s="601"/>
      <c r="K46" s="601"/>
      <c r="L46" s="601"/>
      <c r="M46" s="601"/>
      <c r="N46" s="601"/>
      <c r="O46" s="601"/>
      <c r="P46" s="601"/>
      <c r="Q46" s="601"/>
      <c r="R46" s="601"/>
      <c r="S46" s="601"/>
      <c r="T46" s="601"/>
      <c r="U46" s="601"/>
      <c r="V46" s="601"/>
      <c r="W46" s="601"/>
      <c r="X46" s="601"/>
      <c r="Y46" s="601"/>
      <c r="Z46" s="726"/>
      <c r="AA46" s="726"/>
      <c r="AB46" s="726"/>
      <c r="AC46" s="279"/>
      <c r="AD46" s="279"/>
      <c r="AE46" s="279"/>
      <c r="AF46" s="279"/>
      <c r="AG46" s="279"/>
      <c r="AH46" s="180"/>
      <c r="AI46" s="181"/>
      <c r="AJ46" s="181"/>
      <c r="AK46" s="181"/>
      <c r="AL46" s="181"/>
      <c r="AM46" s="182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255"/>
    </row>
    <row r="47" spans="1:54" s="165" customFormat="1" ht="18" hidden="1" customHeight="1" x14ac:dyDescent="0.2">
      <c r="A47" s="652"/>
      <c r="B47" s="653"/>
      <c r="C47" s="653"/>
      <c r="D47" s="653"/>
      <c r="E47" s="653"/>
      <c r="F47" s="653"/>
      <c r="G47" s="653"/>
      <c r="H47" s="601"/>
      <c r="I47" s="601"/>
      <c r="J47" s="601"/>
      <c r="K47" s="601"/>
      <c r="L47" s="601"/>
      <c r="M47" s="601"/>
      <c r="N47" s="601"/>
      <c r="O47" s="601"/>
      <c r="P47" s="601"/>
      <c r="Q47" s="601"/>
      <c r="R47" s="601"/>
      <c r="S47" s="601"/>
      <c r="T47" s="601"/>
      <c r="U47" s="601"/>
      <c r="V47" s="601"/>
      <c r="W47" s="601"/>
      <c r="X47" s="601"/>
      <c r="Y47" s="601"/>
      <c r="Z47" s="726"/>
      <c r="AA47" s="726"/>
      <c r="AB47" s="726"/>
      <c r="AC47" s="279"/>
      <c r="AD47" s="279"/>
      <c r="AE47" s="279"/>
      <c r="AF47" s="279"/>
      <c r="AG47" s="279"/>
      <c r="AH47" s="180"/>
      <c r="AI47" s="181"/>
      <c r="AJ47" s="181"/>
      <c r="AK47" s="181"/>
      <c r="AL47" s="181"/>
      <c r="AM47" s="182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255"/>
    </row>
    <row r="48" spans="1:54" s="165" customFormat="1" ht="17.25" hidden="1" customHeight="1" x14ac:dyDescent="0.2">
      <c r="A48" s="652"/>
      <c r="B48" s="653"/>
      <c r="C48" s="653"/>
      <c r="D48" s="653"/>
      <c r="E48" s="653"/>
      <c r="F48" s="653"/>
      <c r="G48" s="653"/>
      <c r="H48" s="601"/>
      <c r="I48" s="601"/>
      <c r="J48" s="601"/>
      <c r="K48" s="601"/>
      <c r="L48" s="601"/>
      <c r="M48" s="601"/>
      <c r="N48" s="601"/>
      <c r="O48" s="601"/>
      <c r="P48" s="601"/>
      <c r="Q48" s="601"/>
      <c r="R48" s="601"/>
      <c r="S48" s="601"/>
      <c r="T48" s="601"/>
      <c r="U48" s="601"/>
      <c r="V48" s="601"/>
      <c r="W48" s="601"/>
      <c r="X48" s="601"/>
      <c r="Y48" s="601"/>
      <c r="Z48" s="726"/>
      <c r="AA48" s="726"/>
      <c r="AB48" s="726"/>
      <c r="AC48" s="279"/>
      <c r="AD48" s="279"/>
      <c r="AE48" s="279"/>
      <c r="AF48" s="279"/>
      <c r="AG48" s="279"/>
      <c r="AH48" s="180"/>
      <c r="AI48" s="181"/>
      <c r="AJ48" s="181"/>
      <c r="AK48" s="181"/>
      <c r="AL48" s="181"/>
      <c r="AM48" s="182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255"/>
    </row>
    <row r="49" spans="1:54" s="165" customFormat="1" ht="14.25" hidden="1" customHeight="1" x14ac:dyDescent="0.2">
      <c r="A49" s="652"/>
      <c r="B49" s="653"/>
      <c r="C49" s="653"/>
      <c r="D49" s="653"/>
      <c r="E49" s="653"/>
      <c r="F49" s="653"/>
      <c r="G49" s="653"/>
      <c r="H49" s="601"/>
      <c r="I49" s="601"/>
      <c r="J49" s="601"/>
      <c r="K49" s="601"/>
      <c r="L49" s="601"/>
      <c r="M49" s="601"/>
      <c r="N49" s="601"/>
      <c r="O49" s="601"/>
      <c r="P49" s="601"/>
      <c r="Q49" s="601"/>
      <c r="R49" s="601"/>
      <c r="S49" s="601"/>
      <c r="T49" s="601"/>
      <c r="U49" s="601"/>
      <c r="V49" s="601"/>
      <c r="W49" s="601"/>
      <c r="X49" s="601"/>
      <c r="Y49" s="601"/>
      <c r="Z49" s="726"/>
      <c r="AA49" s="726"/>
      <c r="AB49" s="726"/>
      <c r="AC49" s="279"/>
      <c r="AD49" s="279"/>
      <c r="AE49" s="279"/>
      <c r="AF49" s="279"/>
      <c r="AG49" s="279"/>
      <c r="AH49" s="180"/>
      <c r="AI49" s="181"/>
      <c r="AJ49" s="181"/>
      <c r="AK49" s="181"/>
      <c r="AL49" s="181"/>
      <c r="AM49" s="182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255"/>
    </row>
    <row r="50" spans="1:54" ht="0.75" customHeight="1" thickBot="1" x14ac:dyDescent="0.25">
      <c r="A50" s="681"/>
      <c r="B50" s="682"/>
      <c r="C50" s="682"/>
      <c r="D50" s="682"/>
      <c r="E50" s="682"/>
      <c r="F50" s="682"/>
      <c r="G50" s="682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  <c r="V50" s="656"/>
      <c r="W50" s="656"/>
      <c r="X50" s="656"/>
      <c r="Y50" s="656"/>
      <c r="Z50" s="729"/>
      <c r="AA50" s="729"/>
      <c r="AB50" s="729"/>
      <c r="AC50" s="280"/>
      <c r="AD50" s="280"/>
      <c r="AE50" s="280"/>
      <c r="AF50" s="280"/>
      <c r="AG50" s="280"/>
      <c r="AH50" s="259"/>
      <c r="AI50" s="260"/>
      <c r="AJ50" s="260"/>
      <c r="AK50" s="260"/>
      <c r="AL50" s="260"/>
      <c r="AM50" s="261"/>
      <c r="AN50" s="256"/>
      <c r="AO50" s="257"/>
      <c r="AP50" s="257"/>
      <c r="AQ50" s="257"/>
      <c r="AR50" s="258"/>
      <c r="AS50" s="259"/>
      <c r="AT50" s="260"/>
      <c r="AU50" s="260"/>
      <c r="AV50" s="260"/>
      <c r="AW50" s="261"/>
      <c r="AX50" s="256"/>
      <c r="AY50" s="257"/>
      <c r="AZ50" s="257"/>
      <c r="BA50" s="257"/>
      <c r="BB50" s="262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305"/>
      <c r="I52" s="305"/>
      <c r="J52" s="305"/>
      <c r="K52" s="305"/>
      <c r="L52" s="164"/>
      <c r="M52" s="164"/>
      <c r="N52" s="164"/>
      <c r="O52" s="164"/>
      <c r="P52" s="164"/>
      <c r="Q52" s="306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660" t="s">
        <v>101</v>
      </c>
      <c r="B58" s="661"/>
      <c r="C58" s="661"/>
      <c r="D58" s="661"/>
      <c r="E58" s="661"/>
      <c r="F58" s="661"/>
      <c r="G58" s="661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96"/>
      <c r="AC58" s="662">
        <f>((R59+(R59*U61)+(R59*Q61)+(R59*M61)+(R59*I61))*Z61)</f>
        <v>40560</v>
      </c>
      <c r="AD58" s="662"/>
      <c r="AE58" s="662"/>
      <c r="AF58" s="662"/>
      <c r="AG58" s="662"/>
      <c r="AH58" s="662">
        <v>144</v>
      </c>
      <c r="AI58" s="662"/>
      <c r="AJ58" s="662"/>
      <c r="AK58" s="662"/>
      <c r="AL58" s="662"/>
      <c r="AM58" s="662"/>
      <c r="AN58" s="662">
        <f>AC58/AH58</f>
        <v>281.66666666666669</v>
      </c>
      <c r="AO58" s="662"/>
      <c r="AP58" s="662"/>
      <c r="AQ58" s="662"/>
      <c r="AR58" s="662"/>
      <c r="AS58" s="663">
        <f>U12</f>
        <v>28</v>
      </c>
      <c r="AT58" s="663"/>
      <c r="AU58" s="663"/>
      <c r="AV58" s="663"/>
      <c r="AW58" s="663"/>
      <c r="AX58" s="662">
        <f>AN58*AS58</f>
        <v>7886.666666666667</v>
      </c>
      <c r="AY58" s="662"/>
      <c r="AZ58" s="662"/>
      <c r="BA58" s="662"/>
      <c r="BB58" s="684"/>
    </row>
    <row r="59" spans="1:54" s="165" customFormat="1" ht="26.45" customHeight="1" x14ac:dyDescent="0.2">
      <c r="A59" s="652"/>
      <c r="B59" s="653"/>
      <c r="C59" s="653"/>
      <c r="D59" s="653"/>
      <c r="E59" s="653"/>
      <c r="F59" s="653"/>
      <c r="G59" s="653"/>
      <c r="H59" s="685" t="s">
        <v>530</v>
      </c>
      <c r="I59" s="686"/>
      <c r="J59" s="686"/>
      <c r="K59" s="686"/>
      <c r="L59" s="686"/>
      <c r="M59" s="686"/>
      <c r="N59" s="669"/>
      <c r="O59" s="669"/>
      <c r="P59" s="669"/>
      <c r="Q59" s="84" t="s">
        <v>27</v>
      </c>
      <c r="R59" s="669">
        <v>15600</v>
      </c>
      <c r="S59" s="669"/>
      <c r="T59" s="669"/>
      <c r="U59" s="669"/>
      <c r="V59" s="669"/>
      <c r="W59" s="84" t="s">
        <v>28</v>
      </c>
      <c r="X59" s="84"/>
      <c r="Y59" s="84"/>
      <c r="Z59" s="84"/>
      <c r="AA59" s="84"/>
      <c r="AB59" s="85"/>
      <c r="AC59" s="601"/>
      <c r="AD59" s="601"/>
      <c r="AE59" s="601"/>
      <c r="AF59" s="601"/>
      <c r="AG59" s="601"/>
      <c r="AH59" s="601"/>
      <c r="AI59" s="601"/>
      <c r="AJ59" s="601"/>
      <c r="AK59" s="601"/>
      <c r="AL59" s="601"/>
      <c r="AM59" s="601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652"/>
      <c r="B60" s="653"/>
      <c r="C60" s="653"/>
      <c r="D60" s="653"/>
      <c r="E60" s="653"/>
      <c r="F60" s="653"/>
      <c r="G60" s="653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601"/>
      <c r="AD60" s="601"/>
      <c r="AE60" s="601"/>
      <c r="AF60" s="601"/>
      <c r="AG60" s="601"/>
      <c r="AH60" s="601"/>
      <c r="AI60" s="601"/>
      <c r="AJ60" s="601"/>
      <c r="AK60" s="601"/>
      <c r="AL60" s="601"/>
      <c r="AM60" s="601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1.25" customHeight="1" x14ac:dyDescent="0.2">
      <c r="A61" s="652"/>
      <c r="B61" s="653"/>
      <c r="C61" s="653"/>
      <c r="D61" s="653"/>
      <c r="E61" s="653"/>
      <c r="F61" s="653"/>
      <c r="G61" s="653"/>
      <c r="H61" s="706" t="s">
        <v>656</v>
      </c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  <c r="V61" s="707"/>
      <c r="W61" s="707"/>
      <c r="X61" s="707"/>
      <c r="Y61" s="390" t="s">
        <v>28</v>
      </c>
      <c r="Z61" s="669">
        <v>2.6</v>
      </c>
      <c r="AA61" s="669"/>
      <c r="AB61" s="670"/>
      <c r="AC61" s="601"/>
      <c r="AD61" s="601"/>
      <c r="AE61" s="601"/>
      <c r="AF61" s="601"/>
      <c r="AG61" s="601"/>
      <c r="AH61" s="601"/>
      <c r="AI61" s="601"/>
      <c r="AJ61" s="601"/>
      <c r="AK61" s="601"/>
      <c r="AL61" s="601"/>
      <c r="AM61" s="601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" customHeight="1" thickBot="1" x14ac:dyDescent="0.25">
      <c r="A62" s="681"/>
      <c r="B62" s="682"/>
      <c r="C62" s="682"/>
      <c r="D62" s="682"/>
      <c r="E62" s="682"/>
      <c r="F62" s="682"/>
      <c r="G62" s="682"/>
      <c r="H62" s="256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8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83"/>
      <c r="AT62" s="683"/>
      <c r="AU62" s="683"/>
      <c r="AV62" s="683"/>
      <c r="AW62" s="683"/>
      <c r="AX62" s="656"/>
      <c r="AY62" s="656"/>
      <c r="AZ62" s="656"/>
      <c r="BA62" s="656"/>
      <c r="BB62" s="657"/>
    </row>
    <row r="63" spans="1:54" ht="5.0999999999999996" hidden="1" customHeight="1" x14ac:dyDescent="0.2">
      <c r="A63" s="666"/>
      <c r="B63" s="667"/>
      <c r="C63" s="667"/>
      <c r="D63" s="667"/>
      <c r="E63" s="667"/>
      <c r="F63" s="667"/>
      <c r="G63" s="667"/>
      <c r="H63" s="193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94" t="e">
        <f>#REF!</f>
        <v>#REF!</v>
      </c>
      <c r="AA63" s="191"/>
      <c r="AB63" s="195"/>
      <c r="AC63" s="477">
        <f>((R64+(R64*U66)+(R64*Q66)+(R64*M66)+(R64*I66))*Z66)*1.15</f>
        <v>0</v>
      </c>
      <c r="AD63" s="477"/>
      <c r="AE63" s="477"/>
      <c r="AF63" s="477"/>
      <c r="AG63" s="477"/>
      <c r="AH63" s="477">
        <v>1</v>
      </c>
      <c r="AI63" s="477"/>
      <c r="AJ63" s="477"/>
      <c r="AK63" s="477"/>
      <c r="AL63" s="477"/>
      <c r="AM63" s="477"/>
      <c r="AN63" s="477">
        <f>AC63/AH63</f>
        <v>0</v>
      </c>
      <c r="AO63" s="477"/>
      <c r="AP63" s="477"/>
      <c r="AQ63" s="477"/>
      <c r="AR63" s="477"/>
      <c r="AS63" s="668">
        <f t="shared" ref="AS63" si="0">U17</f>
        <v>0</v>
      </c>
      <c r="AT63" s="668"/>
      <c r="AU63" s="668"/>
      <c r="AV63" s="668"/>
      <c r="AW63" s="668"/>
      <c r="AX63" s="477">
        <f>AN63*AS63</f>
        <v>0</v>
      </c>
      <c r="AY63" s="477"/>
      <c r="AZ63" s="477"/>
      <c r="BA63" s="477"/>
      <c r="BB63" s="481"/>
    </row>
    <row r="64" spans="1:54" s="165" customFormat="1" ht="11.25" hidden="1" customHeight="1" x14ac:dyDescent="0.2">
      <c r="A64" s="652"/>
      <c r="B64" s="653"/>
      <c r="C64" s="653"/>
      <c r="D64" s="653"/>
      <c r="E64" s="653"/>
      <c r="F64" s="653"/>
      <c r="G64" s="653"/>
      <c r="H64" s="658" t="s">
        <v>26</v>
      </c>
      <c r="I64" s="659"/>
      <c r="J64" s="659"/>
      <c r="K64" s="659"/>
      <c r="L64" s="659"/>
      <c r="M64" s="659"/>
      <c r="N64" s="650">
        <v>0</v>
      </c>
      <c r="O64" s="650"/>
      <c r="P64" s="650"/>
      <c r="Q64" s="191" t="s">
        <v>27</v>
      </c>
      <c r="R64" s="650">
        <f>$AX$19*N64</f>
        <v>0</v>
      </c>
      <c r="S64" s="650"/>
      <c r="T64" s="650"/>
      <c r="U64" s="650"/>
      <c r="V64" s="650"/>
      <c r="W64" s="191" t="s">
        <v>28</v>
      </c>
      <c r="X64" s="191" t="s">
        <v>29</v>
      </c>
      <c r="Y64" s="191"/>
      <c r="Z64" s="191"/>
      <c r="AA64" s="191"/>
      <c r="AB64" s="195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664"/>
      <c r="AT64" s="664"/>
      <c r="AU64" s="664"/>
      <c r="AV64" s="664"/>
      <c r="AW64" s="664"/>
      <c r="AX64" s="529"/>
      <c r="AY64" s="529"/>
      <c r="AZ64" s="529"/>
      <c r="BA64" s="529"/>
      <c r="BB64" s="665"/>
    </row>
    <row r="65" spans="1:54" s="165" customFormat="1" ht="5.0999999999999996" hidden="1" customHeight="1" x14ac:dyDescent="0.2">
      <c r="A65" s="652"/>
      <c r="B65" s="653"/>
      <c r="C65" s="653"/>
      <c r="D65" s="653"/>
      <c r="E65" s="653"/>
      <c r="F65" s="653"/>
      <c r="G65" s="653"/>
      <c r="H65" s="196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91"/>
      <c r="AA65" s="191"/>
      <c r="AB65" s="195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65" customFormat="1" ht="11.25" hidden="1" customHeight="1" x14ac:dyDescent="0.2">
      <c r="A66" s="652"/>
      <c r="B66" s="653"/>
      <c r="C66" s="653"/>
      <c r="D66" s="653"/>
      <c r="E66" s="653"/>
      <c r="F66" s="653"/>
      <c r="G66" s="653"/>
      <c r="H66" s="197" t="s">
        <v>30</v>
      </c>
      <c r="I66" s="654">
        <v>0</v>
      </c>
      <c r="J66" s="654"/>
      <c r="K66" s="654"/>
      <c r="L66" s="191" t="s">
        <v>28</v>
      </c>
      <c r="M66" s="654">
        <v>0</v>
      </c>
      <c r="N66" s="654"/>
      <c r="O66" s="654"/>
      <c r="P66" s="191" t="s">
        <v>28</v>
      </c>
      <c r="Q66" s="654"/>
      <c r="R66" s="654"/>
      <c r="S66" s="654"/>
      <c r="T66" s="191" t="s">
        <v>28</v>
      </c>
      <c r="U66" s="654"/>
      <c r="V66" s="654"/>
      <c r="W66" s="654"/>
      <c r="X66" s="191" t="s">
        <v>31</v>
      </c>
      <c r="Y66" s="191" t="s">
        <v>28</v>
      </c>
      <c r="Z66" s="650">
        <v>2.6</v>
      </c>
      <c r="AA66" s="650"/>
      <c r="AB66" s="651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65" customFormat="1" ht="5.0999999999999996" hidden="1" customHeight="1" thickBot="1" x14ac:dyDescent="0.25">
      <c r="A67" s="652"/>
      <c r="B67" s="653"/>
      <c r="C67" s="653"/>
      <c r="D67" s="653"/>
      <c r="E67" s="653"/>
      <c r="F67" s="653"/>
      <c r="G67" s="653"/>
      <c r="H67" s="198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308"/>
      <c r="AA67" s="308"/>
      <c r="AB67" s="201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65" customFormat="1" ht="5.0999999999999996" hidden="1" customHeight="1" x14ac:dyDescent="0.2">
      <c r="A68" s="652"/>
      <c r="B68" s="653"/>
      <c r="C68" s="653"/>
      <c r="D68" s="653"/>
      <c r="E68" s="653"/>
      <c r="F68" s="653"/>
      <c r="G68" s="653"/>
      <c r="H68" s="19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94" t="e">
        <f>#REF!</f>
        <v>#REF!</v>
      </c>
      <c r="AA68" s="191"/>
      <c r="AB68" s="195"/>
      <c r="AC68" s="507">
        <f>((R69+(R69*U71)+(R69*Q71)+(R69*M71)+(R69*I71))*Z71)*1.15</f>
        <v>0</v>
      </c>
      <c r="AD68" s="507"/>
      <c r="AE68" s="507"/>
      <c r="AF68" s="507"/>
      <c r="AG68" s="507"/>
      <c r="AH68" s="529">
        <v>1</v>
      </c>
      <c r="AI68" s="529"/>
      <c r="AJ68" s="529"/>
      <c r="AK68" s="529"/>
      <c r="AL68" s="529"/>
      <c r="AM68" s="529"/>
      <c r="AN68" s="529">
        <f>AC68/AH68</f>
        <v>0</v>
      </c>
      <c r="AO68" s="529"/>
      <c r="AP68" s="529"/>
      <c r="AQ68" s="529"/>
      <c r="AR68" s="529"/>
      <c r="AS68" s="663">
        <f t="shared" ref="AS68" si="1">U22</f>
        <v>0</v>
      </c>
      <c r="AT68" s="663"/>
      <c r="AU68" s="663"/>
      <c r="AV68" s="663"/>
      <c r="AW68" s="663"/>
      <c r="AX68" s="529">
        <f>AN68*AS68</f>
        <v>0</v>
      </c>
      <c r="AY68" s="529"/>
      <c r="AZ68" s="529"/>
      <c r="BA68" s="529"/>
      <c r="BB68" s="665"/>
    </row>
    <row r="69" spans="1:54" s="165" customFormat="1" ht="11.25" hidden="1" customHeight="1" x14ac:dyDescent="0.2">
      <c r="A69" s="652"/>
      <c r="B69" s="653"/>
      <c r="C69" s="653"/>
      <c r="D69" s="653"/>
      <c r="E69" s="653"/>
      <c r="F69" s="653"/>
      <c r="G69" s="653"/>
      <c r="H69" s="658" t="s">
        <v>26</v>
      </c>
      <c r="I69" s="659"/>
      <c r="J69" s="659"/>
      <c r="K69" s="659"/>
      <c r="L69" s="659"/>
      <c r="M69" s="659"/>
      <c r="N69" s="650">
        <v>0</v>
      </c>
      <c r="O69" s="650"/>
      <c r="P69" s="650"/>
      <c r="Q69" s="191" t="s">
        <v>27</v>
      </c>
      <c r="R69" s="650">
        <f>$AX$19*N69</f>
        <v>0</v>
      </c>
      <c r="S69" s="650"/>
      <c r="T69" s="650"/>
      <c r="U69" s="650"/>
      <c r="V69" s="650"/>
      <c r="W69" s="191" t="s">
        <v>28</v>
      </c>
      <c r="X69" s="191" t="s">
        <v>29</v>
      </c>
      <c r="Y69" s="191"/>
      <c r="Z69" s="191"/>
      <c r="AA69" s="191"/>
      <c r="AB69" s="195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529"/>
      <c r="AP69" s="529"/>
      <c r="AQ69" s="529"/>
      <c r="AR69" s="529"/>
      <c r="AS69" s="664"/>
      <c r="AT69" s="664"/>
      <c r="AU69" s="664"/>
      <c r="AV69" s="664"/>
      <c r="AW69" s="664"/>
      <c r="AX69" s="529"/>
      <c r="AY69" s="529"/>
      <c r="AZ69" s="529"/>
      <c r="BA69" s="529"/>
      <c r="BB69" s="665"/>
    </row>
    <row r="70" spans="1:54" ht="5.0999999999999996" hidden="1" customHeight="1" x14ac:dyDescent="0.2">
      <c r="A70" s="652"/>
      <c r="B70" s="653"/>
      <c r="C70" s="653"/>
      <c r="D70" s="653"/>
      <c r="E70" s="653"/>
      <c r="F70" s="653"/>
      <c r="G70" s="653"/>
      <c r="H70" s="19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91"/>
      <c r="AA70" s="191"/>
      <c r="AB70" s="195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s="165" customFormat="1" ht="11.25" hidden="1" customHeight="1" x14ac:dyDescent="0.2">
      <c r="A71" s="652"/>
      <c r="B71" s="653"/>
      <c r="C71" s="653"/>
      <c r="D71" s="653"/>
      <c r="E71" s="653"/>
      <c r="F71" s="653"/>
      <c r="G71" s="653"/>
      <c r="H71" s="197" t="s">
        <v>30</v>
      </c>
      <c r="I71" s="654">
        <v>0</v>
      </c>
      <c r="J71" s="654"/>
      <c r="K71" s="654"/>
      <c r="L71" s="191" t="s">
        <v>28</v>
      </c>
      <c r="M71" s="654">
        <v>0</v>
      </c>
      <c r="N71" s="654"/>
      <c r="O71" s="654"/>
      <c r="P71" s="191" t="s">
        <v>28</v>
      </c>
      <c r="Q71" s="654"/>
      <c r="R71" s="654"/>
      <c r="S71" s="654"/>
      <c r="T71" s="191" t="s">
        <v>28</v>
      </c>
      <c r="U71" s="654"/>
      <c r="V71" s="654"/>
      <c r="W71" s="654"/>
      <c r="X71" s="191" t="s">
        <v>31</v>
      </c>
      <c r="Y71" s="191" t="s">
        <v>28</v>
      </c>
      <c r="Z71" s="650">
        <v>2.6</v>
      </c>
      <c r="AA71" s="650"/>
      <c r="AB71" s="651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65" customFormat="1" ht="11.25" hidden="1" customHeight="1" thickBot="1" x14ac:dyDescent="0.25">
      <c r="A72" s="652"/>
      <c r="B72" s="653"/>
      <c r="C72" s="653"/>
      <c r="D72" s="653"/>
      <c r="E72" s="653"/>
      <c r="F72" s="653"/>
      <c r="G72" s="653"/>
      <c r="H72" s="198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308"/>
      <c r="AA72" s="308"/>
      <c r="AB72" s="201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65" customFormat="1" ht="15" hidden="1" customHeight="1" x14ac:dyDescent="0.2">
      <c r="A73" s="660" t="s">
        <v>84</v>
      </c>
      <c r="B73" s="661"/>
      <c r="C73" s="661"/>
      <c r="D73" s="661"/>
      <c r="E73" s="661"/>
      <c r="F73" s="661"/>
      <c r="G73" s="661"/>
      <c r="H73" s="19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94" t="e">
        <f>#REF!</f>
        <v>#REF!</v>
      </c>
      <c r="AA73" s="191"/>
      <c r="AB73" s="195"/>
      <c r="AC73" s="507">
        <f>((R74+(R74*U76)+(R74*Q76)+(R74*M76)+(R74*I76))*Z76)</f>
        <v>0</v>
      </c>
      <c r="AD73" s="507"/>
      <c r="AE73" s="507"/>
      <c r="AF73" s="507"/>
      <c r="AG73" s="507"/>
      <c r="AH73" s="529">
        <v>75</v>
      </c>
      <c r="AI73" s="529"/>
      <c r="AJ73" s="529"/>
      <c r="AK73" s="529"/>
      <c r="AL73" s="529"/>
      <c r="AM73" s="529"/>
      <c r="AN73" s="529">
        <f>AC73/AH73</f>
        <v>0</v>
      </c>
      <c r="AO73" s="529"/>
      <c r="AP73" s="529"/>
      <c r="AQ73" s="529"/>
      <c r="AR73" s="529"/>
      <c r="AS73" s="663">
        <f t="shared" ref="AS73" si="2">U27</f>
        <v>0</v>
      </c>
      <c r="AT73" s="663"/>
      <c r="AU73" s="663"/>
      <c r="AV73" s="663"/>
      <c r="AW73" s="663"/>
      <c r="AX73" s="529">
        <f>AN73*AS73</f>
        <v>0</v>
      </c>
      <c r="AY73" s="529"/>
      <c r="AZ73" s="529"/>
      <c r="BA73" s="529"/>
      <c r="BB73" s="665"/>
    </row>
    <row r="74" spans="1:54" s="165" customFormat="1" ht="21" hidden="1" customHeight="1" thickBot="1" x14ac:dyDescent="0.25">
      <c r="A74" s="652"/>
      <c r="B74" s="653"/>
      <c r="C74" s="653"/>
      <c r="D74" s="653"/>
      <c r="E74" s="653"/>
      <c r="F74" s="653"/>
      <c r="G74" s="653"/>
      <c r="H74" s="658" t="s">
        <v>26</v>
      </c>
      <c r="I74" s="659"/>
      <c r="J74" s="659"/>
      <c r="K74" s="659"/>
      <c r="L74" s="659"/>
      <c r="M74" s="659"/>
      <c r="N74" s="650">
        <v>0</v>
      </c>
      <c r="O74" s="650"/>
      <c r="P74" s="650"/>
      <c r="Q74" s="191" t="s">
        <v>27</v>
      </c>
      <c r="R74" s="650">
        <f>$AX$19*N74</f>
        <v>0</v>
      </c>
      <c r="S74" s="650"/>
      <c r="T74" s="650"/>
      <c r="U74" s="650"/>
      <c r="V74" s="650"/>
      <c r="W74" s="191" t="s">
        <v>28</v>
      </c>
      <c r="X74" s="191" t="s">
        <v>29</v>
      </c>
      <c r="Y74" s="191"/>
      <c r="Z74" s="191"/>
      <c r="AA74" s="191"/>
      <c r="AB74" s="195"/>
      <c r="AC74" s="529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29"/>
      <c r="AS74" s="664"/>
      <c r="AT74" s="664"/>
      <c r="AU74" s="664"/>
      <c r="AV74" s="664"/>
      <c r="AW74" s="664"/>
      <c r="AX74" s="529"/>
      <c r="AY74" s="529"/>
      <c r="AZ74" s="529"/>
      <c r="BA74" s="529"/>
      <c r="BB74" s="665"/>
    </row>
    <row r="75" spans="1:54" s="165" customFormat="1" ht="12" hidden="1" customHeight="1" thickBot="1" x14ac:dyDescent="0.25">
      <c r="A75" s="652"/>
      <c r="B75" s="653"/>
      <c r="C75" s="653"/>
      <c r="D75" s="653"/>
      <c r="E75" s="653"/>
      <c r="F75" s="653"/>
      <c r="G75" s="653"/>
      <c r="H75" s="196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91"/>
      <c r="AA75" s="191"/>
      <c r="AB75" s="195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29"/>
      <c r="AS75" s="664"/>
      <c r="AT75" s="664"/>
      <c r="AU75" s="664"/>
      <c r="AV75" s="664"/>
      <c r="AW75" s="664"/>
      <c r="AX75" s="529"/>
      <c r="AY75" s="529"/>
      <c r="AZ75" s="529"/>
      <c r="BA75" s="529"/>
      <c r="BB75" s="665"/>
    </row>
    <row r="76" spans="1:54" s="165" customFormat="1" ht="15.75" hidden="1" customHeight="1" thickBot="1" x14ac:dyDescent="0.25">
      <c r="A76" s="652"/>
      <c r="B76" s="653"/>
      <c r="C76" s="653"/>
      <c r="D76" s="653"/>
      <c r="E76" s="653"/>
      <c r="F76" s="653"/>
      <c r="G76" s="653"/>
      <c r="H76" s="197" t="s">
        <v>30</v>
      </c>
      <c r="I76" s="654">
        <v>0.2</v>
      </c>
      <c r="J76" s="654"/>
      <c r="K76" s="654"/>
      <c r="L76" s="191" t="s">
        <v>28</v>
      </c>
      <c r="M76" s="654">
        <v>0.15</v>
      </c>
      <c r="N76" s="654"/>
      <c r="O76" s="654"/>
      <c r="P76" s="191" t="s">
        <v>28</v>
      </c>
      <c r="Q76" s="654">
        <v>0.5</v>
      </c>
      <c r="R76" s="654"/>
      <c r="S76" s="654"/>
      <c r="T76" s="191" t="s">
        <v>28</v>
      </c>
      <c r="U76" s="654">
        <v>0</v>
      </c>
      <c r="V76" s="654"/>
      <c r="W76" s="654"/>
      <c r="X76" s="191" t="s">
        <v>31</v>
      </c>
      <c r="Y76" s="191" t="s">
        <v>28</v>
      </c>
      <c r="Z76" s="650">
        <v>2.6</v>
      </c>
      <c r="AA76" s="650"/>
      <c r="AB76" s="651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29"/>
      <c r="AS76" s="664"/>
      <c r="AT76" s="664"/>
      <c r="AU76" s="664"/>
      <c r="AV76" s="664"/>
      <c r="AW76" s="664"/>
      <c r="AX76" s="529"/>
      <c r="AY76" s="529"/>
      <c r="AZ76" s="529"/>
      <c r="BA76" s="529"/>
      <c r="BB76" s="665"/>
    </row>
    <row r="77" spans="1:54" ht="13.5" hidden="1" customHeight="1" thickBot="1" x14ac:dyDescent="0.25">
      <c r="A77" s="652"/>
      <c r="B77" s="653"/>
      <c r="C77" s="653"/>
      <c r="D77" s="653"/>
      <c r="E77" s="653"/>
      <c r="F77" s="653"/>
      <c r="G77" s="653"/>
      <c r="H77" s="198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308"/>
      <c r="AA77" s="308"/>
      <c r="AB77" s="201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29"/>
      <c r="AS77" s="664"/>
      <c r="AT77" s="664"/>
      <c r="AU77" s="664"/>
      <c r="AV77" s="664"/>
      <c r="AW77" s="664"/>
      <c r="AX77" s="529"/>
      <c r="AY77" s="529"/>
      <c r="AZ77" s="529"/>
      <c r="BA77" s="529"/>
      <c r="BB77" s="665"/>
    </row>
    <row r="78" spans="1:54" s="165" customFormat="1" ht="8.25" hidden="1" customHeight="1" x14ac:dyDescent="0.2">
      <c r="A78" s="660" t="s">
        <v>86</v>
      </c>
      <c r="B78" s="661"/>
      <c r="C78" s="661"/>
      <c r="D78" s="661"/>
      <c r="E78" s="661"/>
      <c r="F78" s="661"/>
      <c r="G78" s="661"/>
      <c r="H78" s="19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94" t="e">
        <f>#REF!</f>
        <v>#REF!</v>
      </c>
      <c r="AA78" s="191"/>
      <c r="AB78" s="195"/>
      <c r="AC78" s="662">
        <f>((R79+(R79*U81)+(R79*Q81)+(R79*M81)+(R79*I81))*Z81)*1.15</f>
        <v>0</v>
      </c>
      <c r="AD78" s="662"/>
      <c r="AE78" s="662"/>
      <c r="AF78" s="662"/>
      <c r="AG78" s="662"/>
      <c r="AH78" s="601">
        <v>144</v>
      </c>
      <c r="AI78" s="601"/>
      <c r="AJ78" s="601"/>
      <c r="AK78" s="601"/>
      <c r="AL78" s="601"/>
      <c r="AM78" s="601"/>
      <c r="AN78" s="601">
        <f>AC78/AH78</f>
        <v>0</v>
      </c>
      <c r="AO78" s="601"/>
      <c r="AP78" s="601"/>
      <c r="AQ78" s="601"/>
      <c r="AR78" s="601"/>
      <c r="AS78" s="663">
        <v>72</v>
      </c>
      <c r="AT78" s="663"/>
      <c r="AU78" s="663"/>
      <c r="AV78" s="663"/>
      <c r="AW78" s="663"/>
      <c r="AX78" s="601">
        <f>AN78*AS78</f>
        <v>0</v>
      </c>
      <c r="AY78" s="601"/>
      <c r="AZ78" s="601"/>
      <c r="BA78" s="601"/>
      <c r="BB78" s="655"/>
    </row>
    <row r="79" spans="1:54" s="165" customFormat="1" ht="27" hidden="1" customHeight="1" thickBot="1" x14ac:dyDescent="0.25">
      <c r="A79" s="652"/>
      <c r="B79" s="653"/>
      <c r="C79" s="653"/>
      <c r="D79" s="653"/>
      <c r="E79" s="653"/>
      <c r="F79" s="653"/>
      <c r="G79" s="653"/>
      <c r="H79" s="658" t="s">
        <v>26</v>
      </c>
      <c r="I79" s="659"/>
      <c r="J79" s="659"/>
      <c r="K79" s="659"/>
      <c r="L79" s="659"/>
      <c r="M79" s="659"/>
      <c r="N79" s="650">
        <v>0</v>
      </c>
      <c r="O79" s="650"/>
      <c r="P79" s="650"/>
      <c r="Q79" s="191" t="s">
        <v>27</v>
      </c>
      <c r="R79" s="650">
        <f>$AX$19*N79</f>
        <v>0</v>
      </c>
      <c r="S79" s="650"/>
      <c r="T79" s="650"/>
      <c r="U79" s="650"/>
      <c r="V79" s="650"/>
      <c r="W79" s="191" t="s">
        <v>28</v>
      </c>
      <c r="X79" s="191" t="s">
        <v>29</v>
      </c>
      <c r="Y79" s="191"/>
      <c r="Z79" s="191"/>
      <c r="AA79" s="191"/>
      <c r="AB79" s="195"/>
      <c r="AC79" s="601"/>
      <c r="AD79" s="601"/>
      <c r="AE79" s="601"/>
      <c r="AF79" s="601"/>
      <c r="AG79" s="601"/>
      <c r="AH79" s="601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64"/>
      <c r="AT79" s="664"/>
      <c r="AU79" s="664"/>
      <c r="AV79" s="664"/>
      <c r="AW79" s="664"/>
      <c r="AX79" s="601"/>
      <c r="AY79" s="601"/>
      <c r="AZ79" s="601"/>
      <c r="BA79" s="601"/>
      <c r="BB79" s="655"/>
    </row>
    <row r="80" spans="1:54" s="165" customFormat="1" ht="6.75" hidden="1" customHeight="1" thickBot="1" x14ac:dyDescent="0.25">
      <c r="A80" s="652"/>
      <c r="B80" s="653"/>
      <c r="C80" s="653"/>
      <c r="D80" s="653"/>
      <c r="E80" s="653"/>
      <c r="F80" s="653"/>
      <c r="G80" s="653"/>
      <c r="H80" s="19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91"/>
      <c r="AA80" s="191"/>
      <c r="AB80" s="195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ht="12" hidden="1" customHeight="1" thickBot="1" x14ac:dyDescent="0.25">
      <c r="A81" s="652"/>
      <c r="B81" s="653"/>
      <c r="C81" s="653"/>
      <c r="D81" s="653"/>
      <c r="E81" s="653"/>
      <c r="F81" s="653"/>
      <c r="G81" s="653"/>
      <c r="H81" s="197" t="s">
        <v>30</v>
      </c>
      <c r="I81" s="654">
        <v>0.2</v>
      </c>
      <c r="J81" s="654"/>
      <c r="K81" s="654"/>
      <c r="L81" s="191" t="s">
        <v>28</v>
      </c>
      <c r="M81" s="654">
        <v>0</v>
      </c>
      <c r="N81" s="654"/>
      <c r="O81" s="654"/>
      <c r="P81" s="191" t="s">
        <v>28</v>
      </c>
      <c r="Q81" s="654">
        <v>0</v>
      </c>
      <c r="R81" s="654"/>
      <c r="S81" s="654"/>
      <c r="T81" s="191" t="s">
        <v>28</v>
      </c>
      <c r="U81" s="654">
        <v>0</v>
      </c>
      <c r="V81" s="654"/>
      <c r="W81" s="654"/>
      <c r="X81" s="191" t="s">
        <v>31</v>
      </c>
      <c r="Y81" s="191" t="s">
        <v>28</v>
      </c>
      <c r="Z81" s="650">
        <v>2.6</v>
      </c>
      <c r="AA81" s="650"/>
      <c r="AB81" s="651"/>
      <c r="AC81" s="601"/>
      <c r="AD81" s="601"/>
      <c r="AE81" s="601"/>
      <c r="AF81" s="601"/>
      <c r="AG81" s="601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3.5" hidden="1" customHeight="1" thickBot="1" x14ac:dyDescent="0.25">
      <c r="A82" s="652"/>
      <c r="B82" s="653"/>
      <c r="C82" s="653"/>
      <c r="D82" s="653"/>
      <c r="E82" s="653"/>
      <c r="F82" s="653"/>
      <c r="G82" s="653"/>
      <c r="H82" s="202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4"/>
      <c r="AA82" s="204"/>
      <c r="AB82" s="205"/>
      <c r="AC82" s="601"/>
      <c r="AD82" s="601"/>
      <c r="AE82" s="601"/>
      <c r="AF82" s="601"/>
      <c r="AG82" s="601"/>
      <c r="AH82" s="656"/>
      <c r="AI82" s="656"/>
      <c r="AJ82" s="656"/>
      <c r="AK82" s="656"/>
      <c r="AL82" s="656"/>
      <c r="AM82" s="656"/>
      <c r="AN82" s="656"/>
      <c r="AO82" s="656"/>
      <c r="AP82" s="656"/>
      <c r="AQ82" s="656"/>
      <c r="AR82" s="656"/>
      <c r="AS82" s="664"/>
      <c r="AT82" s="664"/>
      <c r="AU82" s="664"/>
      <c r="AV82" s="664"/>
      <c r="AW82" s="664"/>
      <c r="AX82" s="656"/>
      <c r="AY82" s="656"/>
      <c r="AZ82" s="656"/>
      <c r="BA82" s="656"/>
      <c r="BB82" s="657"/>
    </row>
    <row r="83" spans="1:54" ht="11.25" customHeight="1" x14ac:dyDescent="0.2">
      <c r="R83" s="169" t="s">
        <v>18</v>
      </c>
      <c r="S83" s="170"/>
      <c r="T83" s="170"/>
      <c r="U83" s="171"/>
      <c r="V83" s="171"/>
      <c r="W83" s="171"/>
      <c r="X83" s="171"/>
      <c r="Y83" s="171"/>
      <c r="Z83" s="171"/>
      <c r="AA83" s="171"/>
      <c r="AB83" s="171"/>
      <c r="AC83" s="171"/>
      <c r="AD83" s="171" t="s">
        <v>19</v>
      </c>
      <c r="AE83" s="171" t="s">
        <v>20</v>
      </c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2"/>
      <c r="AS83" s="453">
        <f>AX83/U12</f>
        <v>281.66666666666669</v>
      </c>
      <c r="AT83" s="453"/>
      <c r="AU83" s="453"/>
      <c r="AV83" s="453"/>
      <c r="AW83" s="453"/>
      <c r="AX83" s="453">
        <f>SUM(AX58:BB82)</f>
        <v>7886.666666666667</v>
      </c>
      <c r="AY83" s="453"/>
      <c r="AZ83" s="453"/>
      <c r="BA83" s="453"/>
      <c r="BB83" s="454"/>
    </row>
    <row r="84" spans="1:54" ht="11.25" customHeight="1" thickBot="1" x14ac:dyDescent="0.25">
      <c r="R84" s="175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 t="s">
        <v>19</v>
      </c>
      <c r="AE84" s="176" t="s">
        <v>21</v>
      </c>
      <c r="AF84" s="176"/>
      <c r="AG84" s="176"/>
      <c r="AH84" s="176"/>
      <c r="AI84" s="176"/>
      <c r="AJ84" s="176"/>
      <c r="AK84" s="176"/>
      <c r="AL84" s="176"/>
      <c r="AM84" s="176"/>
      <c r="AN84" s="176"/>
      <c r="AO84" s="630">
        <v>0.30199999999999999</v>
      </c>
      <c r="AP84" s="631"/>
      <c r="AQ84" s="631"/>
      <c r="AR84" s="632"/>
      <c r="AS84" s="463">
        <f>AX84/U12</f>
        <v>85.063333333333347</v>
      </c>
      <c r="AT84" s="463"/>
      <c r="AU84" s="463"/>
      <c r="AV84" s="463"/>
      <c r="AW84" s="463"/>
      <c r="AX84" s="463">
        <f>AX83*AO84</f>
        <v>2381.7733333333335</v>
      </c>
      <c r="AY84" s="463"/>
      <c r="AZ84" s="463"/>
      <c r="BA84" s="463"/>
      <c r="BB84" s="633"/>
    </row>
    <row r="85" spans="1:54" ht="11.25" customHeight="1" thickBot="1" x14ac:dyDescent="0.25">
      <c r="M85" s="164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206"/>
      <c r="AP85" s="315"/>
      <c r="AQ85" s="315"/>
      <c r="AR85" s="315"/>
      <c r="AS85" s="314"/>
      <c r="AT85" s="314"/>
      <c r="AU85" s="314"/>
      <c r="AV85" s="314"/>
      <c r="AW85" s="314"/>
      <c r="AX85" s="314"/>
      <c r="AY85" s="314"/>
      <c r="AZ85" s="314"/>
      <c r="BA85" s="314"/>
      <c r="BB85" s="314"/>
    </row>
    <row r="86" spans="1:54" ht="12" customHeight="1" x14ac:dyDescent="0.2">
      <c r="A86" s="634" t="s">
        <v>32</v>
      </c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34"/>
      <c r="O86" s="635" t="s">
        <v>33</v>
      </c>
      <c r="P86" s="636"/>
      <c r="Q86" s="636"/>
      <c r="R86" s="636"/>
      <c r="S86" s="636"/>
      <c r="T86" s="636"/>
      <c r="U86" s="636"/>
      <c r="V86" s="636"/>
      <c r="W86" s="636"/>
      <c r="X86" s="636"/>
      <c r="Y86" s="636"/>
      <c r="Z86" s="636"/>
      <c r="AA86" s="636"/>
      <c r="AB86" s="636"/>
      <c r="AC86" s="636"/>
      <c r="AD86" s="636"/>
      <c r="AE86" s="636"/>
      <c r="AF86" s="636"/>
      <c r="AG86" s="636"/>
      <c r="AH86" s="636"/>
      <c r="AI86" s="636"/>
      <c r="AJ86" s="636"/>
      <c r="AK86" s="636"/>
      <c r="AL86" s="636"/>
      <c r="AM86" s="636"/>
      <c r="AN86" s="636"/>
      <c r="AO86" s="637">
        <f>AS34+AS51+AS83</f>
        <v>394.33333333333337</v>
      </c>
      <c r="AP86" s="637"/>
      <c r="AQ86" s="637"/>
      <c r="AR86" s="637"/>
      <c r="AS86" s="637"/>
      <c r="AT86" s="637"/>
      <c r="AU86" s="637"/>
      <c r="AV86" s="637">
        <f>AX34+AX51+AX83</f>
        <v>11041.333333333334</v>
      </c>
      <c r="AW86" s="637"/>
      <c r="AX86" s="637"/>
      <c r="AY86" s="637"/>
      <c r="AZ86" s="637"/>
      <c r="BA86" s="637"/>
      <c r="BB86" s="638"/>
    </row>
    <row r="87" spans="1:54" ht="12" customHeight="1" thickBot="1" x14ac:dyDescent="0.25">
      <c r="M87" s="163"/>
      <c r="O87" s="643" t="s">
        <v>34</v>
      </c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4"/>
      <c r="AI87" s="644"/>
      <c r="AJ87" s="644"/>
      <c r="AK87" s="644"/>
      <c r="AL87" s="644"/>
      <c r="AM87" s="644"/>
      <c r="AN87" s="644"/>
      <c r="AO87" s="645">
        <f>AS35+AS52+AS84</f>
        <v>119.08866666666668</v>
      </c>
      <c r="AP87" s="645"/>
      <c r="AQ87" s="645"/>
      <c r="AR87" s="645"/>
      <c r="AS87" s="645"/>
      <c r="AT87" s="645"/>
      <c r="AU87" s="645"/>
      <c r="AV87" s="645">
        <f>AX35+AX52+AX84</f>
        <v>3334.4826666666668</v>
      </c>
      <c r="AW87" s="645"/>
      <c r="AX87" s="645"/>
      <c r="AY87" s="645"/>
      <c r="AZ87" s="645"/>
      <c r="BA87" s="645"/>
      <c r="BB87" s="646"/>
    </row>
    <row r="88" spans="1:54" ht="12" customHeight="1" thickBot="1" x14ac:dyDescent="0.25">
      <c r="M88" s="208" t="s">
        <v>35</v>
      </c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10"/>
      <c r="AO88" s="647">
        <f>AO87+AO86</f>
        <v>513.42200000000003</v>
      </c>
      <c r="AP88" s="648"/>
      <c r="AQ88" s="648"/>
      <c r="AR88" s="648"/>
      <c r="AS88" s="648"/>
      <c r="AT88" s="648"/>
      <c r="AU88" s="648"/>
      <c r="AV88" s="648">
        <f>AV86+AV87</f>
        <v>14375.816000000001</v>
      </c>
      <c r="AW88" s="648"/>
      <c r="AX88" s="648"/>
      <c r="AY88" s="648"/>
      <c r="AZ88" s="648"/>
      <c r="BA88" s="648"/>
      <c r="BB88" s="649"/>
    </row>
    <row r="89" spans="1:54" ht="10.5" customHeight="1" x14ac:dyDescent="0.2"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</row>
    <row r="90" spans="1:54" s="159" customFormat="1" ht="15" customHeight="1" x14ac:dyDescent="0.2">
      <c r="A90" s="159" t="s">
        <v>36</v>
      </c>
      <c r="C90" s="159" t="s">
        <v>37</v>
      </c>
      <c r="AX90" s="160"/>
      <c r="AY90" s="160"/>
      <c r="AZ90" s="160"/>
      <c r="BA90" s="160"/>
      <c r="BB90" s="160"/>
    </row>
    <row r="91" spans="1:54" ht="12" customHeight="1" thickBot="1" x14ac:dyDescent="0.25"/>
    <row r="92" spans="1:54" s="163" customFormat="1" ht="39" customHeight="1" x14ac:dyDescent="0.2">
      <c r="A92" s="499" t="s">
        <v>38</v>
      </c>
      <c r="B92" s="500"/>
      <c r="C92" s="500"/>
      <c r="D92" s="500"/>
      <c r="E92" s="500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35" t="s">
        <v>39</v>
      </c>
      <c r="R92" s="535"/>
      <c r="S92" s="535"/>
      <c r="T92" s="535"/>
      <c r="U92" s="535"/>
      <c r="V92" s="535"/>
      <c r="W92" s="535"/>
      <c r="X92" s="535" t="s">
        <v>40</v>
      </c>
      <c r="Y92" s="535"/>
      <c r="Z92" s="535"/>
      <c r="AA92" s="535"/>
      <c r="AB92" s="535"/>
      <c r="AC92" s="535"/>
      <c r="AD92" s="535"/>
      <c r="AE92" s="535" t="s">
        <v>41</v>
      </c>
      <c r="AF92" s="535"/>
      <c r="AG92" s="535"/>
      <c r="AH92" s="535"/>
      <c r="AI92" s="535"/>
      <c r="AJ92" s="535"/>
      <c r="AK92" s="535"/>
      <c r="AL92" s="535"/>
      <c r="AM92" s="500" t="s">
        <v>42</v>
      </c>
      <c r="AN92" s="500"/>
      <c r="AO92" s="500"/>
      <c r="AP92" s="500"/>
      <c r="AQ92" s="500"/>
      <c r="AR92" s="500"/>
      <c r="AS92" s="500"/>
      <c r="AT92" s="500"/>
      <c r="AU92" s="500"/>
      <c r="AV92" s="500" t="s">
        <v>43</v>
      </c>
      <c r="AW92" s="500"/>
      <c r="AX92" s="500"/>
      <c r="AY92" s="500"/>
      <c r="AZ92" s="500"/>
      <c r="BA92" s="500"/>
      <c r="BB92" s="639"/>
    </row>
    <row r="93" spans="1:54" s="163" customFormat="1" ht="12" customHeight="1" thickBot="1" x14ac:dyDescent="0.25">
      <c r="A93" s="640">
        <v>1</v>
      </c>
      <c r="B93" s="641"/>
      <c r="C93" s="641"/>
      <c r="D93" s="641"/>
      <c r="E93" s="641"/>
      <c r="F93" s="641"/>
      <c r="G93" s="641"/>
      <c r="H93" s="641"/>
      <c r="I93" s="641"/>
      <c r="J93" s="641"/>
      <c r="K93" s="641"/>
      <c r="L93" s="641"/>
      <c r="M93" s="641"/>
      <c r="N93" s="641"/>
      <c r="O93" s="641"/>
      <c r="P93" s="641"/>
      <c r="Q93" s="641">
        <v>2</v>
      </c>
      <c r="R93" s="641"/>
      <c r="S93" s="641"/>
      <c r="T93" s="641"/>
      <c r="U93" s="641"/>
      <c r="V93" s="641"/>
      <c r="W93" s="641"/>
      <c r="X93" s="641">
        <v>3</v>
      </c>
      <c r="Y93" s="641"/>
      <c r="Z93" s="641"/>
      <c r="AA93" s="641"/>
      <c r="AB93" s="641"/>
      <c r="AC93" s="641"/>
      <c r="AD93" s="641"/>
      <c r="AE93" s="641">
        <v>4</v>
      </c>
      <c r="AF93" s="641"/>
      <c r="AG93" s="641"/>
      <c r="AH93" s="641"/>
      <c r="AI93" s="641"/>
      <c r="AJ93" s="641"/>
      <c r="AK93" s="641"/>
      <c r="AL93" s="641"/>
      <c r="AM93" s="641">
        <v>5</v>
      </c>
      <c r="AN93" s="641"/>
      <c r="AO93" s="641"/>
      <c r="AP93" s="641"/>
      <c r="AQ93" s="641"/>
      <c r="AR93" s="641"/>
      <c r="AS93" s="641"/>
      <c r="AT93" s="641"/>
      <c r="AU93" s="641"/>
      <c r="AV93" s="641">
        <v>6</v>
      </c>
      <c r="AW93" s="641"/>
      <c r="AX93" s="641"/>
      <c r="AY93" s="641"/>
      <c r="AZ93" s="641"/>
      <c r="BA93" s="641"/>
      <c r="BB93" s="642"/>
    </row>
    <row r="94" spans="1:54" ht="15" customHeight="1" x14ac:dyDescent="0.2">
      <c r="A94" s="618" t="s">
        <v>44</v>
      </c>
      <c r="B94" s="619"/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9"/>
      <c r="Q94" s="572">
        <v>5014.7</v>
      </c>
      <c r="R94" s="573"/>
      <c r="S94" s="573"/>
      <c r="T94" s="573"/>
      <c r="U94" s="573"/>
      <c r="V94" s="573"/>
      <c r="W94" s="574"/>
      <c r="X94" s="572">
        <v>20.100000000000001</v>
      </c>
      <c r="Y94" s="573"/>
      <c r="Z94" s="573"/>
      <c r="AA94" s="573"/>
      <c r="AB94" s="573"/>
      <c r="AC94" s="573"/>
      <c r="AD94" s="574"/>
      <c r="AE94" s="477">
        <v>1543273.99</v>
      </c>
      <c r="AF94" s="477"/>
      <c r="AG94" s="477"/>
      <c r="AH94" s="477"/>
      <c r="AI94" s="477"/>
      <c r="AJ94" s="477"/>
      <c r="AK94" s="477"/>
      <c r="AL94" s="477"/>
      <c r="AM94" s="620" t="s">
        <v>45</v>
      </c>
      <c r="AN94" s="621"/>
      <c r="AO94" s="621"/>
      <c r="AP94" s="621"/>
      <c r="AQ94" s="621"/>
      <c r="AR94" s="621"/>
      <c r="AS94" s="621"/>
      <c r="AT94" s="621"/>
      <c r="AU94" s="622"/>
      <c r="AV94" s="615">
        <f>AE94/$Q$94*$X$94/($AN$95*$AN$96)</f>
        <v>2.0869687113812518</v>
      </c>
      <c r="AW94" s="615"/>
      <c r="AX94" s="615"/>
      <c r="AY94" s="615"/>
      <c r="AZ94" s="615"/>
      <c r="BA94" s="615"/>
      <c r="BB94" s="616"/>
    </row>
    <row r="95" spans="1:54" ht="15" customHeight="1" x14ac:dyDescent="0.2">
      <c r="A95" s="618" t="s">
        <v>46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/>
      <c r="R95" s="573"/>
      <c r="S95" s="573"/>
      <c r="T95" s="573"/>
      <c r="U95" s="573"/>
      <c r="V95" s="573"/>
      <c r="W95" s="574"/>
      <c r="X95" s="572"/>
      <c r="Y95" s="573"/>
      <c r="Z95" s="573"/>
      <c r="AA95" s="573"/>
      <c r="AB95" s="573"/>
      <c r="AC95" s="573"/>
      <c r="AD95" s="574"/>
      <c r="AE95" s="529">
        <v>2640483.81</v>
      </c>
      <c r="AF95" s="529"/>
      <c r="AG95" s="529"/>
      <c r="AH95" s="529"/>
      <c r="AI95" s="529"/>
      <c r="AJ95" s="529"/>
      <c r="AK95" s="529"/>
      <c r="AL95" s="529"/>
      <c r="AM95" s="213"/>
      <c r="AN95" s="623">
        <v>247</v>
      </c>
      <c r="AO95" s="623"/>
      <c r="AP95" s="623"/>
      <c r="AQ95" s="617" t="s">
        <v>47</v>
      </c>
      <c r="AR95" s="617"/>
      <c r="AS95" s="617"/>
      <c r="AT95" s="617"/>
      <c r="AU95" s="214"/>
      <c r="AV95" s="615">
        <f>AE95/$Q$94*$X$94/($AN$95*$AN$96)</f>
        <v>3.5707250495284764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449" t="s">
        <v>48</v>
      </c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  <c r="M96" s="450"/>
      <c r="N96" s="450"/>
      <c r="O96" s="450"/>
      <c r="P96" s="451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529">
        <v>4214618.8899999997</v>
      </c>
      <c r="AF96" s="529"/>
      <c r="AG96" s="529"/>
      <c r="AH96" s="529"/>
      <c r="AI96" s="529"/>
      <c r="AJ96" s="529"/>
      <c r="AK96" s="529"/>
      <c r="AL96" s="529"/>
      <c r="AM96" s="213"/>
      <c r="AN96" s="562">
        <v>12</v>
      </c>
      <c r="AO96" s="562"/>
      <c r="AP96" s="562"/>
      <c r="AQ96" s="617" t="s">
        <v>49</v>
      </c>
      <c r="AR96" s="617"/>
      <c r="AS96" s="617"/>
      <c r="AT96" s="617"/>
      <c r="AU96" s="214"/>
      <c r="AV96" s="615">
        <f>AE96/$Q$94*$X$94/($AN$95*$AN$96)</f>
        <v>5.6994271988128187</v>
      </c>
      <c r="AW96" s="615"/>
      <c r="AX96" s="615"/>
      <c r="AY96" s="615"/>
      <c r="AZ96" s="615"/>
      <c r="BA96" s="615"/>
      <c r="BB96" s="616"/>
    </row>
    <row r="97" spans="1:57" ht="15" customHeight="1" thickBot="1" x14ac:dyDescent="0.25">
      <c r="A97" s="624" t="s">
        <v>50</v>
      </c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6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627">
        <v>1852856.09</v>
      </c>
      <c r="AF97" s="627"/>
      <c r="AG97" s="627"/>
      <c r="AH97" s="627"/>
      <c r="AI97" s="627"/>
      <c r="AJ97" s="627"/>
      <c r="AK97" s="627"/>
      <c r="AL97" s="627"/>
      <c r="AM97" s="213"/>
      <c r="AN97" s="186"/>
      <c r="AO97" s="186"/>
      <c r="AP97" s="186"/>
      <c r="AQ97" s="186"/>
      <c r="AR97" s="186"/>
      <c r="AS97" s="186"/>
      <c r="AT97" s="186"/>
      <c r="AU97" s="214"/>
      <c r="AV97" s="628">
        <f>AE97/$Q$94*$X$94/($AN$95*$AN$96)</f>
        <v>2.5056164437283135</v>
      </c>
      <c r="AW97" s="628"/>
      <c r="AX97" s="628"/>
      <c r="AY97" s="628"/>
      <c r="AZ97" s="628"/>
      <c r="BA97" s="628"/>
      <c r="BB97" s="629"/>
    </row>
    <row r="98" spans="1:57" s="161" customFormat="1" ht="15" customHeight="1" thickBot="1" x14ac:dyDescent="0.25">
      <c r="A98" s="610" t="s">
        <v>51</v>
      </c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531">
        <f>Q94</f>
        <v>5014.7</v>
      </c>
      <c r="R98" s="533"/>
      <c r="S98" s="533"/>
      <c r="T98" s="533"/>
      <c r="U98" s="533"/>
      <c r="V98" s="533"/>
      <c r="W98" s="534"/>
      <c r="X98" s="531">
        <f>X94</f>
        <v>20.100000000000001</v>
      </c>
      <c r="Y98" s="533"/>
      <c r="Z98" s="533"/>
      <c r="AA98" s="533"/>
      <c r="AB98" s="533"/>
      <c r="AC98" s="533"/>
      <c r="AD98" s="534"/>
      <c r="AE98" s="612">
        <f>SUM(AE94:AL97)</f>
        <v>10251232.779999999</v>
      </c>
      <c r="AF98" s="612"/>
      <c r="AG98" s="612"/>
      <c r="AH98" s="612"/>
      <c r="AI98" s="612"/>
      <c r="AJ98" s="612"/>
      <c r="AK98" s="612"/>
      <c r="AL98" s="612"/>
      <c r="AM98" s="531" t="s">
        <v>17</v>
      </c>
      <c r="AN98" s="533"/>
      <c r="AO98" s="533"/>
      <c r="AP98" s="533"/>
      <c r="AQ98" s="533"/>
      <c r="AR98" s="533"/>
      <c r="AS98" s="533"/>
      <c r="AT98" s="533"/>
      <c r="AU98" s="534"/>
      <c r="AV98" s="613">
        <f>SUM(AV94:BB97)</f>
        <v>13.862737403450861</v>
      </c>
      <c r="AW98" s="613"/>
      <c r="AX98" s="613"/>
      <c r="AY98" s="613"/>
      <c r="AZ98" s="613"/>
      <c r="BA98" s="613"/>
      <c r="BB98" s="614"/>
    </row>
    <row r="99" spans="1:57" ht="12" customHeight="1" x14ac:dyDescent="0.2"/>
    <row r="100" spans="1:57" s="159" customFormat="1" ht="15" customHeight="1" x14ac:dyDescent="0.2">
      <c r="A100" s="159" t="s">
        <v>52</v>
      </c>
      <c r="C100" s="159" t="s">
        <v>53</v>
      </c>
      <c r="AX100" s="160"/>
      <c r="AY100" s="160"/>
      <c r="AZ100" s="160"/>
      <c r="BA100" s="160"/>
      <c r="BB100" s="160"/>
    </row>
    <row r="101" spans="1:57" ht="12" customHeight="1" thickBot="1" x14ac:dyDescent="0.25"/>
    <row r="102" spans="1:57" ht="39" customHeight="1" x14ac:dyDescent="0.2">
      <c r="A102" s="585" t="s">
        <v>54</v>
      </c>
      <c r="B102" s="586"/>
      <c r="C102" s="586"/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7"/>
      <c r="AA102" s="536" t="s">
        <v>55</v>
      </c>
      <c r="AB102" s="537"/>
      <c r="AC102" s="537"/>
      <c r="AD102" s="537"/>
      <c r="AE102" s="537"/>
      <c r="AF102" s="538"/>
      <c r="AG102" s="536" t="s">
        <v>56</v>
      </c>
      <c r="AH102" s="537"/>
      <c r="AI102" s="537"/>
      <c r="AJ102" s="537"/>
      <c r="AK102" s="537"/>
      <c r="AL102" s="538"/>
      <c r="AM102" s="588" t="s">
        <v>57</v>
      </c>
      <c r="AN102" s="586"/>
      <c r="AO102" s="586"/>
      <c r="AP102" s="586"/>
      <c r="AQ102" s="586"/>
      <c r="AR102" s="586"/>
      <c r="AS102" s="586"/>
      <c r="AT102" s="587"/>
      <c r="AU102" s="588" t="s">
        <v>43</v>
      </c>
      <c r="AV102" s="586"/>
      <c r="AW102" s="586"/>
      <c r="AX102" s="586"/>
      <c r="AY102" s="586"/>
      <c r="AZ102" s="586"/>
      <c r="BA102" s="586"/>
      <c r="BB102" s="589"/>
    </row>
    <row r="103" spans="1:57" ht="15.75" customHeight="1" thickBot="1" x14ac:dyDescent="0.25">
      <c r="A103" s="564">
        <v>1</v>
      </c>
      <c r="B103" s="475"/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5"/>
      <c r="O103" s="475"/>
      <c r="P103" s="475"/>
      <c r="Q103" s="475"/>
      <c r="R103" s="475"/>
      <c r="S103" s="475"/>
      <c r="T103" s="475"/>
      <c r="U103" s="475"/>
      <c r="V103" s="475"/>
      <c r="W103" s="475"/>
      <c r="X103" s="475"/>
      <c r="Y103" s="475"/>
      <c r="Z103" s="476"/>
      <c r="AA103" s="474">
        <v>2</v>
      </c>
      <c r="AB103" s="475"/>
      <c r="AC103" s="475"/>
      <c r="AD103" s="475"/>
      <c r="AE103" s="475"/>
      <c r="AF103" s="476"/>
      <c r="AG103" s="474">
        <v>3</v>
      </c>
      <c r="AH103" s="475"/>
      <c r="AI103" s="475"/>
      <c r="AJ103" s="475"/>
      <c r="AK103" s="475"/>
      <c r="AL103" s="476"/>
      <c r="AM103" s="474">
        <v>4</v>
      </c>
      <c r="AN103" s="475"/>
      <c r="AO103" s="475"/>
      <c r="AP103" s="475"/>
      <c r="AQ103" s="475"/>
      <c r="AR103" s="475"/>
      <c r="AS103" s="475"/>
      <c r="AT103" s="476"/>
      <c r="AU103" s="474">
        <v>5</v>
      </c>
      <c r="AV103" s="475"/>
      <c r="AW103" s="475"/>
      <c r="AX103" s="475"/>
      <c r="AY103" s="475"/>
      <c r="AZ103" s="475"/>
      <c r="BA103" s="475"/>
      <c r="BB103" s="565"/>
    </row>
    <row r="104" spans="1:57" ht="1.5" hidden="1" customHeight="1" x14ac:dyDescent="0.2">
      <c r="A104" s="566" t="s">
        <v>77</v>
      </c>
      <c r="B104" s="567"/>
      <c r="C104" s="567"/>
      <c r="D104" s="567"/>
      <c r="E104" s="567"/>
      <c r="F104" s="567"/>
      <c r="G104" s="567"/>
      <c r="H104" s="567"/>
      <c r="I104" s="567"/>
      <c r="J104" s="567"/>
      <c r="K104" s="567"/>
      <c r="L104" s="567"/>
      <c r="M104" s="567"/>
      <c r="N104" s="567"/>
      <c r="O104" s="567"/>
      <c r="P104" s="567"/>
      <c r="Q104" s="567"/>
      <c r="R104" s="567"/>
      <c r="S104" s="567"/>
      <c r="T104" s="567"/>
      <c r="U104" s="567"/>
      <c r="V104" s="567"/>
      <c r="W104" s="567"/>
      <c r="X104" s="567"/>
      <c r="Y104" s="567"/>
      <c r="Z104" s="568"/>
      <c r="AA104" s="604"/>
      <c r="AB104" s="605"/>
      <c r="AC104" s="605"/>
      <c r="AD104" s="605"/>
      <c r="AE104" s="605"/>
      <c r="AF104" s="606"/>
      <c r="AG104" s="569">
        <f>U12</f>
        <v>28</v>
      </c>
      <c r="AH104" s="570"/>
      <c r="AI104" s="570"/>
      <c r="AJ104" s="570"/>
      <c r="AK104" s="570"/>
      <c r="AL104" s="571"/>
      <c r="AM104" s="569" t="s">
        <v>58</v>
      </c>
      <c r="AN104" s="570"/>
      <c r="AO104" s="570"/>
      <c r="AP104" s="570"/>
      <c r="AQ104" s="570"/>
      <c r="AR104" s="570"/>
      <c r="AS104" s="570"/>
      <c r="AT104" s="571"/>
      <c r="AU104" s="607">
        <f>AA104/AG104</f>
        <v>0</v>
      </c>
      <c r="AV104" s="608"/>
      <c r="AW104" s="608"/>
      <c r="AX104" s="608"/>
      <c r="AY104" s="608"/>
      <c r="AZ104" s="608"/>
      <c r="BA104" s="608"/>
      <c r="BB104" s="609"/>
    </row>
    <row r="105" spans="1:57" ht="20.25" customHeight="1" x14ac:dyDescent="0.2">
      <c r="A105" s="853" t="s">
        <v>90</v>
      </c>
      <c r="B105" s="854"/>
      <c r="C105" s="854"/>
      <c r="D105" s="854"/>
      <c r="E105" s="854"/>
      <c r="F105" s="854"/>
      <c r="G105" s="854"/>
      <c r="H105" s="854"/>
      <c r="I105" s="854"/>
      <c r="J105" s="854"/>
      <c r="K105" s="854"/>
      <c r="L105" s="854"/>
      <c r="M105" s="854"/>
      <c r="N105" s="854"/>
      <c r="O105" s="854"/>
      <c r="P105" s="854"/>
      <c r="Q105" s="854"/>
      <c r="R105" s="854"/>
      <c r="S105" s="854"/>
      <c r="T105" s="854"/>
      <c r="U105" s="854"/>
      <c r="V105" s="854"/>
      <c r="W105" s="854"/>
      <c r="X105" s="854"/>
      <c r="Y105" s="854"/>
      <c r="Z105" s="855"/>
      <c r="AA105" s="596">
        <v>300</v>
      </c>
      <c r="AB105" s="597"/>
      <c r="AC105" s="597"/>
      <c r="AD105" s="597"/>
      <c r="AE105" s="597"/>
      <c r="AF105" s="59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590">
        <f>AA105/AG104</f>
        <v>10.714285714285714</v>
      </c>
      <c r="AV105" s="591"/>
      <c r="AW105" s="591"/>
      <c r="AX105" s="591"/>
      <c r="AY105" s="591"/>
      <c r="AZ105" s="591"/>
      <c r="BA105" s="591"/>
      <c r="BB105" s="592"/>
    </row>
    <row r="106" spans="1:57" ht="20.25" customHeight="1" x14ac:dyDescent="0.2">
      <c r="A106" s="853" t="s">
        <v>96</v>
      </c>
      <c r="B106" s="854"/>
      <c r="C106" s="854"/>
      <c r="D106" s="854"/>
      <c r="E106" s="854"/>
      <c r="F106" s="854"/>
      <c r="G106" s="854"/>
      <c r="H106" s="854"/>
      <c r="I106" s="854"/>
      <c r="J106" s="854"/>
      <c r="K106" s="854"/>
      <c r="L106" s="854"/>
      <c r="M106" s="854"/>
      <c r="N106" s="854"/>
      <c r="O106" s="854"/>
      <c r="P106" s="854"/>
      <c r="Q106" s="854"/>
      <c r="R106" s="854"/>
      <c r="S106" s="854"/>
      <c r="T106" s="854"/>
      <c r="U106" s="854"/>
      <c r="V106" s="854"/>
      <c r="W106" s="854"/>
      <c r="X106" s="854"/>
      <c r="Y106" s="854"/>
      <c r="Z106" s="855"/>
      <c r="AA106" s="596">
        <v>25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AA106/AG104</f>
        <v>0.8928571428571429</v>
      </c>
      <c r="AV106" s="591"/>
      <c r="AW106" s="591"/>
      <c r="AX106" s="591"/>
      <c r="AY106" s="591"/>
      <c r="AZ106" s="591"/>
      <c r="BA106" s="591"/>
      <c r="BB106" s="592"/>
      <c r="BE106" s="117">
        <f>AU106*12*4</f>
        <v>42.857142857142861</v>
      </c>
    </row>
    <row r="107" spans="1:57" ht="22.5" customHeight="1" x14ac:dyDescent="0.2">
      <c r="A107" s="853" t="s">
        <v>522</v>
      </c>
      <c r="B107" s="854"/>
      <c r="C107" s="854"/>
      <c r="D107" s="854"/>
      <c r="E107" s="854"/>
      <c r="F107" s="854"/>
      <c r="G107" s="854"/>
      <c r="H107" s="854"/>
      <c r="I107" s="854"/>
      <c r="J107" s="854"/>
      <c r="K107" s="854"/>
      <c r="L107" s="854"/>
      <c r="M107" s="854"/>
      <c r="N107" s="854"/>
      <c r="O107" s="854"/>
      <c r="P107" s="854"/>
      <c r="Q107" s="854"/>
      <c r="R107" s="854"/>
      <c r="S107" s="854"/>
      <c r="T107" s="854"/>
      <c r="U107" s="854"/>
      <c r="V107" s="854"/>
      <c r="W107" s="854"/>
      <c r="X107" s="854"/>
      <c r="Y107" s="854"/>
      <c r="Z107" s="855"/>
      <c r="AA107" s="596">
        <v>30</v>
      </c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AA107/AG104</f>
        <v>1.0714285714285714</v>
      </c>
      <c r="AV107" s="591"/>
      <c r="AW107" s="591"/>
      <c r="AX107" s="591"/>
      <c r="AY107" s="591"/>
      <c r="AZ107" s="591"/>
      <c r="BA107" s="591"/>
      <c r="BB107" s="592"/>
    </row>
    <row r="108" spans="1:57" ht="26.25" customHeight="1" x14ac:dyDescent="0.2">
      <c r="A108" s="833" t="s">
        <v>529</v>
      </c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3"/>
      <c r="AA108" s="596">
        <v>3443.4769999999999</v>
      </c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>
        <f>AA108/AG104</f>
        <v>122.98132142857142</v>
      </c>
      <c r="AV108" s="591"/>
      <c r="AW108" s="591"/>
      <c r="AX108" s="591"/>
      <c r="AY108" s="591"/>
      <c r="AZ108" s="591"/>
      <c r="BA108" s="591"/>
      <c r="BB108" s="592"/>
    </row>
    <row r="109" spans="1:57" ht="19.5" hidden="1" customHeight="1" x14ac:dyDescent="0.2">
      <c r="A109" s="593"/>
      <c r="B109" s="594"/>
      <c r="C109" s="594"/>
      <c r="D109" s="594"/>
      <c r="E109" s="594"/>
      <c r="F109" s="594"/>
      <c r="G109" s="594"/>
      <c r="H109" s="594"/>
      <c r="I109" s="594"/>
      <c r="J109" s="594"/>
      <c r="K109" s="594"/>
      <c r="L109" s="594"/>
      <c r="M109" s="594"/>
      <c r="N109" s="594"/>
      <c r="O109" s="594"/>
      <c r="P109" s="594"/>
      <c r="Q109" s="594"/>
      <c r="R109" s="594"/>
      <c r="S109" s="594"/>
      <c r="T109" s="594"/>
      <c r="U109" s="594"/>
      <c r="V109" s="594"/>
      <c r="W109" s="594"/>
      <c r="X109" s="594"/>
      <c r="Y109" s="594"/>
      <c r="Z109" s="595"/>
      <c r="AA109" s="596"/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590">
        <f>AA109/AG104</f>
        <v>0</v>
      </c>
      <c r="AV109" s="591"/>
      <c r="AW109" s="591"/>
      <c r="AX109" s="591"/>
      <c r="AY109" s="591"/>
      <c r="AZ109" s="591"/>
      <c r="BA109" s="591"/>
      <c r="BB109" s="592"/>
    </row>
    <row r="110" spans="1:57" ht="20.25" hidden="1" customHeight="1" x14ac:dyDescent="0.2">
      <c r="A110" s="593"/>
      <c r="B110" s="594"/>
      <c r="C110" s="594"/>
      <c r="D110" s="594"/>
      <c r="E110" s="594"/>
      <c r="F110" s="594"/>
      <c r="G110" s="594"/>
      <c r="H110" s="594"/>
      <c r="I110" s="594"/>
      <c r="J110" s="594"/>
      <c r="K110" s="594"/>
      <c r="L110" s="594"/>
      <c r="M110" s="594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4"/>
      <c r="Z110" s="595"/>
      <c r="AA110" s="596"/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590">
        <f>AA110/AG104</f>
        <v>0</v>
      </c>
      <c r="AV110" s="591"/>
      <c r="AW110" s="591"/>
      <c r="AX110" s="591"/>
      <c r="AY110" s="591"/>
      <c r="AZ110" s="591"/>
      <c r="BA110" s="591"/>
      <c r="BB110" s="592"/>
    </row>
    <row r="111" spans="1:57" ht="16.5" hidden="1" customHeight="1" x14ac:dyDescent="0.2">
      <c r="A111" s="593"/>
      <c r="B111" s="594"/>
      <c r="C111" s="594"/>
      <c r="D111" s="594"/>
      <c r="E111" s="594"/>
      <c r="F111" s="594"/>
      <c r="G111" s="594"/>
      <c r="H111" s="594"/>
      <c r="I111" s="594"/>
      <c r="J111" s="594"/>
      <c r="K111" s="594"/>
      <c r="L111" s="594"/>
      <c r="M111" s="594"/>
      <c r="N111" s="594"/>
      <c r="O111" s="594"/>
      <c r="P111" s="594"/>
      <c r="Q111" s="594"/>
      <c r="R111" s="594"/>
      <c r="S111" s="594"/>
      <c r="T111" s="594"/>
      <c r="U111" s="594"/>
      <c r="V111" s="594"/>
      <c r="W111" s="594"/>
      <c r="X111" s="594"/>
      <c r="Y111" s="594"/>
      <c r="Z111" s="595"/>
      <c r="AA111" s="596"/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AA111/AG104</f>
        <v>0</v>
      </c>
      <c r="AV111" s="591"/>
      <c r="AW111" s="591"/>
      <c r="AX111" s="591"/>
      <c r="AY111" s="591"/>
      <c r="AZ111" s="591"/>
      <c r="BA111" s="591"/>
      <c r="BB111" s="592"/>
    </row>
    <row r="112" spans="1:57" s="161" customFormat="1" ht="19.5" hidden="1" customHeight="1" x14ac:dyDescent="0.2">
      <c r="A112" s="593"/>
      <c r="B112" s="594"/>
      <c r="C112" s="594"/>
      <c r="D112" s="594"/>
      <c r="E112" s="594"/>
      <c r="F112" s="594"/>
      <c r="G112" s="594"/>
      <c r="H112" s="594"/>
      <c r="I112" s="594"/>
      <c r="J112" s="594"/>
      <c r="K112" s="594"/>
      <c r="L112" s="594"/>
      <c r="M112" s="594"/>
      <c r="N112" s="594"/>
      <c r="O112" s="594"/>
      <c r="P112" s="594"/>
      <c r="Q112" s="594"/>
      <c r="R112" s="594"/>
      <c r="S112" s="594"/>
      <c r="T112" s="594"/>
      <c r="U112" s="594"/>
      <c r="V112" s="594"/>
      <c r="W112" s="594"/>
      <c r="X112" s="594"/>
      <c r="Y112" s="594"/>
      <c r="Z112" s="595"/>
      <c r="AA112" s="596"/>
      <c r="AB112" s="597"/>
      <c r="AC112" s="597"/>
      <c r="AD112" s="597"/>
      <c r="AE112" s="597"/>
      <c r="AF112" s="598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AA112/AG104</f>
        <v>0</v>
      </c>
      <c r="AV112" s="591"/>
      <c r="AW112" s="591"/>
      <c r="AX112" s="591"/>
      <c r="AY112" s="591"/>
      <c r="AZ112" s="591"/>
      <c r="BA112" s="591"/>
      <c r="BB112" s="592"/>
    </row>
    <row r="113" spans="1:54" ht="1.5" hidden="1" customHeight="1" x14ac:dyDescent="0.2">
      <c r="A113" s="593"/>
      <c r="B113" s="594"/>
      <c r="C113" s="594"/>
      <c r="D113" s="594"/>
      <c r="E113" s="594"/>
      <c r="F113" s="594"/>
      <c r="G113" s="594"/>
      <c r="H113" s="594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4"/>
      <c r="Z113" s="595"/>
      <c r="AA113" s="596"/>
      <c r="AB113" s="597"/>
      <c r="AC113" s="597"/>
      <c r="AD113" s="597"/>
      <c r="AE113" s="597"/>
      <c r="AF113" s="598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AA113/AG104</f>
        <v>0</v>
      </c>
      <c r="AV113" s="591"/>
      <c r="AW113" s="591"/>
      <c r="AX113" s="591"/>
      <c r="AY113" s="591"/>
      <c r="AZ113" s="591"/>
      <c r="BA113" s="591"/>
      <c r="BB113" s="592"/>
    </row>
    <row r="114" spans="1:54" s="159" customFormat="1" ht="17.25" hidden="1" customHeight="1" x14ac:dyDescent="0.2">
      <c r="A114" s="593"/>
      <c r="B114" s="594"/>
      <c r="C114" s="594"/>
      <c r="D114" s="594"/>
      <c r="E114" s="594"/>
      <c r="F114" s="594"/>
      <c r="G114" s="594"/>
      <c r="H114" s="594"/>
      <c r="I114" s="594"/>
      <c r="J114" s="594"/>
      <c r="K114" s="594"/>
      <c r="L114" s="594"/>
      <c r="M114" s="594"/>
      <c r="N114" s="594"/>
      <c r="O114" s="594"/>
      <c r="P114" s="594"/>
      <c r="Q114" s="594"/>
      <c r="R114" s="594"/>
      <c r="S114" s="594"/>
      <c r="T114" s="594"/>
      <c r="U114" s="594"/>
      <c r="V114" s="594"/>
      <c r="W114" s="594"/>
      <c r="X114" s="594"/>
      <c r="Y114" s="594"/>
      <c r="Z114" s="595"/>
      <c r="AA114" s="596"/>
      <c r="AB114" s="597"/>
      <c r="AC114" s="597"/>
      <c r="AD114" s="597"/>
      <c r="AE114" s="597"/>
      <c r="AF114" s="598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AA114/AG104</f>
        <v>0</v>
      </c>
      <c r="AV114" s="591"/>
      <c r="AW114" s="591"/>
      <c r="AX114" s="591"/>
      <c r="AY114" s="591"/>
      <c r="AZ114" s="591"/>
      <c r="BA114" s="591"/>
      <c r="BB114" s="592"/>
    </row>
    <row r="115" spans="1:54" ht="20.25" hidden="1" customHeight="1" x14ac:dyDescent="0.2">
      <c r="A115" s="593"/>
      <c r="B115" s="594"/>
      <c r="C115" s="594"/>
      <c r="D115" s="594"/>
      <c r="E115" s="594"/>
      <c r="F115" s="594"/>
      <c r="G115" s="594"/>
      <c r="H115" s="594"/>
      <c r="I115" s="594"/>
      <c r="J115" s="594"/>
      <c r="K115" s="594"/>
      <c r="L115" s="594"/>
      <c r="M115" s="594"/>
      <c r="N115" s="594"/>
      <c r="O115" s="594"/>
      <c r="P115" s="594"/>
      <c r="Q115" s="594"/>
      <c r="R115" s="594"/>
      <c r="S115" s="594"/>
      <c r="T115" s="594"/>
      <c r="U115" s="594"/>
      <c r="V115" s="594"/>
      <c r="W115" s="594"/>
      <c r="X115" s="594"/>
      <c r="Y115" s="594"/>
      <c r="Z115" s="595"/>
      <c r="AA115" s="596"/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AA115/AG104</f>
        <v>0</v>
      </c>
      <c r="AV115" s="591"/>
      <c r="AW115" s="591"/>
      <c r="AX115" s="591"/>
      <c r="AY115" s="591"/>
      <c r="AZ115" s="591"/>
      <c r="BA115" s="591"/>
      <c r="BB115" s="592"/>
    </row>
    <row r="116" spans="1:54" ht="18.75" hidden="1" customHeight="1" x14ac:dyDescent="0.2">
      <c r="A116" s="593"/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5"/>
      <c r="AA116" s="596"/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AA116/AG104</f>
        <v>0</v>
      </c>
      <c r="AV116" s="591"/>
      <c r="AW116" s="591"/>
      <c r="AX116" s="591"/>
      <c r="AY116" s="591"/>
      <c r="AZ116" s="591"/>
      <c r="BA116" s="591"/>
      <c r="BB116" s="592"/>
    </row>
    <row r="117" spans="1:54" ht="37.5" hidden="1" customHeight="1" x14ac:dyDescent="0.2">
      <c r="A117" s="593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AA117/AG104</f>
        <v>0</v>
      </c>
      <c r="AV117" s="591"/>
      <c r="AW117" s="591"/>
      <c r="AX117" s="591"/>
      <c r="AY117" s="591"/>
      <c r="AZ117" s="591"/>
      <c r="BA117" s="591"/>
      <c r="BB117" s="592"/>
    </row>
    <row r="118" spans="1:54" ht="28.5" hidden="1" customHeight="1" x14ac:dyDescent="0.2">
      <c r="A118" s="593"/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596"/>
      <c r="AB118" s="597"/>
      <c r="AC118" s="597"/>
      <c r="AD118" s="597"/>
      <c r="AE118" s="597"/>
      <c r="AF118" s="59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AA118/AG104</f>
        <v>0</v>
      </c>
      <c r="AV118" s="591"/>
      <c r="AW118" s="591"/>
      <c r="AX118" s="591"/>
      <c r="AY118" s="591"/>
      <c r="AZ118" s="591"/>
      <c r="BA118" s="591"/>
      <c r="BB118" s="592"/>
    </row>
    <row r="119" spans="1:54" ht="21" hidden="1" customHeight="1" x14ac:dyDescent="0.2">
      <c r="A119" s="593"/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596"/>
      <c r="AB119" s="597"/>
      <c r="AC119" s="597"/>
      <c r="AD119" s="597"/>
      <c r="AE119" s="597"/>
      <c r="AF119" s="59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AA119/AG104</f>
        <v>0</v>
      </c>
      <c r="AV119" s="591"/>
      <c r="AW119" s="591"/>
      <c r="AX119" s="591"/>
      <c r="AY119" s="591"/>
      <c r="AZ119" s="591"/>
      <c r="BA119" s="591"/>
      <c r="BB119" s="592"/>
    </row>
    <row r="120" spans="1:54" ht="21" hidden="1" customHeight="1" x14ac:dyDescent="0.2">
      <c r="A120" s="599"/>
      <c r="B120" s="600"/>
      <c r="C120" s="600"/>
      <c r="D120" s="600"/>
      <c r="E120" s="600"/>
      <c r="F120" s="600"/>
      <c r="G120" s="600"/>
      <c r="H120" s="600"/>
      <c r="I120" s="600"/>
      <c r="J120" s="600"/>
      <c r="K120" s="600"/>
      <c r="L120" s="600"/>
      <c r="M120" s="600"/>
      <c r="N120" s="600"/>
      <c r="O120" s="600"/>
      <c r="P120" s="600"/>
      <c r="Q120" s="600"/>
      <c r="R120" s="600"/>
      <c r="S120" s="600"/>
      <c r="T120" s="600"/>
      <c r="U120" s="600"/>
      <c r="V120" s="600"/>
      <c r="W120" s="600"/>
      <c r="X120" s="600"/>
      <c r="Y120" s="600"/>
      <c r="Z120" s="600"/>
      <c r="AA120" s="601"/>
      <c r="AB120" s="601"/>
      <c r="AC120" s="601"/>
      <c r="AD120" s="601"/>
      <c r="AE120" s="601"/>
      <c r="AF120" s="601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602">
        <f>AA120/AG104</f>
        <v>0</v>
      </c>
      <c r="AV120" s="602"/>
      <c r="AW120" s="602"/>
      <c r="AX120" s="602"/>
      <c r="AY120" s="602"/>
      <c r="AZ120" s="602"/>
      <c r="BA120" s="602"/>
      <c r="BB120" s="603"/>
    </row>
    <row r="121" spans="1:54" ht="0.75" customHeight="1" thickBot="1" x14ac:dyDescent="0.25">
      <c r="A121" s="864"/>
      <c r="B121" s="865"/>
      <c r="C121" s="865"/>
      <c r="D121" s="865"/>
      <c r="E121" s="865"/>
      <c r="F121" s="865"/>
      <c r="G121" s="865"/>
      <c r="H121" s="865"/>
      <c r="I121" s="865"/>
      <c r="J121" s="865"/>
      <c r="K121" s="865"/>
      <c r="L121" s="865"/>
      <c r="M121" s="865"/>
      <c r="N121" s="865"/>
      <c r="O121" s="865"/>
      <c r="P121" s="865"/>
      <c r="Q121" s="865"/>
      <c r="R121" s="865"/>
      <c r="S121" s="865"/>
      <c r="T121" s="865"/>
      <c r="U121" s="865"/>
      <c r="V121" s="865"/>
      <c r="W121" s="865"/>
      <c r="X121" s="865"/>
      <c r="Y121" s="865"/>
      <c r="Z121" s="865"/>
      <c r="AA121" s="656"/>
      <c r="AB121" s="656"/>
      <c r="AC121" s="656"/>
      <c r="AD121" s="656"/>
      <c r="AE121" s="656"/>
      <c r="AF121" s="656"/>
      <c r="AG121" s="859"/>
      <c r="AH121" s="860"/>
      <c r="AI121" s="860"/>
      <c r="AJ121" s="860"/>
      <c r="AK121" s="860"/>
      <c r="AL121" s="861"/>
      <c r="AM121" s="859"/>
      <c r="AN121" s="860"/>
      <c r="AO121" s="860"/>
      <c r="AP121" s="860"/>
      <c r="AQ121" s="860"/>
      <c r="AR121" s="860"/>
      <c r="AS121" s="860"/>
      <c r="AT121" s="861"/>
      <c r="AU121" s="866">
        <f>AA121/AG104</f>
        <v>0</v>
      </c>
      <c r="AV121" s="866"/>
      <c r="AW121" s="866"/>
      <c r="AX121" s="866"/>
      <c r="AY121" s="866"/>
      <c r="AZ121" s="866"/>
      <c r="BA121" s="866"/>
      <c r="BB121" s="867"/>
    </row>
    <row r="122" spans="1:54" ht="16.5" customHeight="1" thickBot="1" x14ac:dyDescent="0.25">
      <c r="A122" s="545" t="s">
        <v>51</v>
      </c>
      <c r="B122" s="546"/>
      <c r="C122" s="546"/>
      <c r="D122" s="546"/>
      <c r="E122" s="546"/>
      <c r="F122" s="546"/>
      <c r="G122" s="546"/>
      <c r="H122" s="546"/>
      <c r="I122" s="546"/>
      <c r="J122" s="546"/>
      <c r="K122" s="546"/>
      <c r="L122" s="546"/>
      <c r="M122" s="546"/>
      <c r="N122" s="546"/>
      <c r="O122" s="546"/>
      <c r="P122" s="546"/>
      <c r="Q122" s="546"/>
      <c r="R122" s="546"/>
      <c r="S122" s="546"/>
      <c r="T122" s="546"/>
      <c r="U122" s="546"/>
      <c r="V122" s="546"/>
      <c r="W122" s="546"/>
      <c r="X122" s="546"/>
      <c r="Y122" s="546"/>
      <c r="Z122" s="547"/>
      <c r="AA122" s="582">
        <f>SUM(AA104:AF121)</f>
        <v>3798.4769999999999</v>
      </c>
      <c r="AB122" s="583"/>
      <c r="AC122" s="583"/>
      <c r="AD122" s="583"/>
      <c r="AE122" s="583"/>
      <c r="AF122" s="583"/>
      <c r="AG122" s="532">
        <f>AG104</f>
        <v>28</v>
      </c>
      <c r="AH122" s="533"/>
      <c r="AI122" s="533"/>
      <c r="AJ122" s="533"/>
      <c r="AK122" s="533"/>
      <c r="AL122" s="534"/>
      <c r="AM122" s="551" t="s">
        <v>17</v>
      </c>
      <c r="AN122" s="552"/>
      <c r="AO122" s="552"/>
      <c r="AP122" s="552"/>
      <c r="AQ122" s="552"/>
      <c r="AR122" s="552"/>
      <c r="AS122" s="552"/>
      <c r="AT122" s="584"/>
      <c r="AU122" s="555">
        <f>SUM(AU104:BB121)</f>
        <v>135.65989285714284</v>
      </c>
      <c r="AV122" s="555"/>
      <c r="AW122" s="555"/>
      <c r="AX122" s="555"/>
      <c r="AY122" s="555"/>
      <c r="AZ122" s="555"/>
      <c r="BA122" s="555"/>
      <c r="BB122" s="556"/>
    </row>
    <row r="123" spans="1:54" ht="119.25" customHeight="1" x14ac:dyDescent="0.2"/>
    <row r="124" spans="1:54" s="161" customFormat="1" ht="15" customHeight="1" x14ac:dyDescent="0.2">
      <c r="A124" s="159" t="s">
        <v>59</v>
      </c>
      <c r="B124" s="159"/>
      <c r="C124" s="159" t="s">
        <v>60</v>
      </c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60"/>
      <c r="AY124" s="160"/>
      <c r="AZ124" s="160"/>
      <c r="BA124" s="160"/>
      <c r="BB124" s="160"/>
    </row>
    <row r="125" spans="1:54" ht="12" customHeight="1" thickBot="1" x14ac:dyDescent="0.25"/>
    <row r="126" spans="1:54" s="159" customFormat="1" ht="12" customHeight="1" x14ac:dyDescent="0.2">
      <c r="A126" s="585" t="s">
        <v>54</v>
      </c>
      <c r="B126" s="586"/>
      <c r="C126" s="586"/>
      <c r="D126" s="586"/>
      <c r="E126" s="586"/>
      <c r="F126" s="586"/>
      <c r="G126" s="586"/>
      <c r="H126" s="586"/>
      <c r="I126" s="586"/>
      <c r="J126" s="586"/>
      <c r="K126" s="586"/>
      <c r="L126" s="586"/>
      <c r="M126" s="586"/>
      <c r="N126" s="586"/>
      <c r="O126" s="586"/>
      <c r="P126" s="586"/>
      <c r="Q126" s="586"/>
      <c r="R126" s="586"/>
      <c r="S126" s="586"/>
      <c r="T126" s="586"/>
      <c r="U126" s="586"/>
      <c r="V126" s="586"/>
      <c r="W126" s="586"/>
      <c r="X126" s="586"/>
      <c r="Y126" s="586"/>
      <c r="Z126" s="587"/>
      <c r="AA126" s="536" t="s">
        <v>55</v>
      </c>
      <c r="AB126" s="537"/>
      <c r="AC126" s="537"/>
      <c r="AD126" s="537"/>
      <c r="AE126" s="537"/>
      <c r="AF126" s="538"/>
      <c r="AG126" s="536" t="s">
        <v>56</v>
      </c>
      <c r="AH126" s="537"/>
      <c r="AI126" s="537"/>
      <c r="AJ126" s="537"/>
      <c r="AK126" s="537"/>
      <c r="AL126" s="538"/>
      <c r="AM126" s="588" t="s">
        <v>57</v>
      </c>
      <c r="AN126" s="586"/>
      <c r="AO126" s="586"/>
      <c r="AP126" s="586"/>
      <c r="AQ126" s="586"/>
      <c r="AR126" s="586"/>
      <c r="AS126" s="586"/>
      <c r="AT126" s="587"/>
      <c r="AU126" s="588" t="s">
        <v>43</v>
      </c>
      <c r="AV126" s="586"/>
      <c r="AW126" s="586"/>
      <c r="AX126" s="586"/>
      <c r="AY126" s="586"/>
      <c r="AZ126" s="586"/>
      <c r="BA126" s="586"/>
      <c r="BB126" s="589"/>
    </row>
    <row r="127" spans="1:54" ht="11.25" customHeight="1" thickBot="1" x14ac:dyDescent="0.25">
      <c r="A127" s="564">
        <v>1</v>
      </c>
      <c r="B127" s="475"/>
      <c r="C127" s="475"/>
      <c r="D127" s="475"/>
      <c r="E127" s="475"/>
      <c r="F127" s="475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/>
      <c r="V127" s="475"/>
      <c r="W127" s="475"/>
      <c r="X127" s="475"/>
      <c r="Y127" s="475"/>
      <c r="Z127" s="476"/>
      <c r="AA127" s="474">
        <v>2</v>
      </c>
      <c r="AB127" s="475"/>
      <c r="AC127" s="475"/>
      <c r="AD127" s="475"/>
      <c r="AE127" s="475"/>
      <c r="AF127" s="476"/>
      <c r="AG127" s="474">
        <v>3</v>
      </c>
      <c r="AH127" s="475"/>
      <c r="AI127" s="475"/>
      <c r="AJ127" s="475"/>
      <c r="AK127" s="475"/>
      <c r="AL127" s="476"/>
      <c r="AM127" s="474">
        <v>4</v>
      </c>
      <c r="AN127" s="475"/>
      <c r="AO127" s="475"/>
      <c r="AP127" s="475"/>
      <c r="AQ127" s="475"/>
      <c r="AR127" s="475"/>
      <c r="AS127" s="475"/>
      <c r="AT127" s="476"/>
      <c r="AU127" s="474">
        <v>5</v>
      </c>
      <c r="AV127" s="475"/>
      <c r="AW127" s="475"/>
      <c r="AX127" s="475"/>
      <c r="AY127" s="475"/>
      <c r="AZ127" s="475"/>
      <c r="BA127" s="475"/>
      <c r="BB127" s="565"/>
    </row>
    <row r="128" spans="1:54" ht="31.5" hidden="1" customHeight="1" x14ac:dyDescent="0.2">
      <c r="A128" s="566"/>
      <c r="B128" s="567"/>
      <c r="C128" s="567"/>
      <c r="D128" s="567"/>
      <c r="E128" s="567"/>
      <c r="F128" s="567"/>
      <c r="G128" s="567"/>
      <c r="H128" s="567"/>
      <c r="I128" s="567"/>
      <c r="J128" s="567"/>
      <c r="K128" s="567"/>
      <c r="L128" s="567"/>
      <c r="M128" s="567"/>
      <c r="N128" s="567"/>
      <c r="O128" s="567"/>
      <c r="P128" s="567"/>
      <c r="Q128" s="567"/>
      <c r="R128" s="567"/>
      <c r="S128" s="567"/>
      <c r="T128" s="567"/>
      <c r="U128" s="567"/>
      <c r="V128" s="567"/>
      <c r="W128" s="567"/>
      <c r="X128" s="567"/>
      <c r="Y128" s="567"/>
      <c r="Z128" s="568"/>
      <c r="AA128" s="569">
        <v>0</v>
      </c>
      <c r="AB128" s="570"/>
      <c r="AC128" s="570"/>
      <c r="AD128" s="570"/>
      <c r="AE128" s="570"/>
      <c r="AF128" s="571"/>
      <c r="AG128" s="569">
        <f>U12</f>
        <v>28</v>
      </c>
      <c r="AH128" s="570"/>
      <c r="AI128" s="570"/>
      <c r="AJ128" s="570"/>
      <c r="AK128" s="570"/>
      <c r="AL128" s="571"/>
      <c r="AM128" s="569" t="s">
        <v>61</v>
      </c>
      <c r="AN128" s="570"/>
      <c r="AO128" s="570"/>
      <c r="AP128" s="570"/>
      <c r="AQ128" s="570"/>
      <c r="AR128" s="570"/>
      <c r="AS128" s="570"/>
      <c r="AT128" s="571"/>
      <c r="AU128" s="558">
        <f>AA128/AG128</f>
        <v>0</v>
      </c>
      <c r="AV128" s="559"/>
      <c r="AW128" s="559"/>
      <c r="AX128" s="559"/>
      <c r="AY128" s="559"/>
      <c r="AZ128" s="559"/>
      <c r="BA128" s="559"/>
      <c r="BB128" s="560"/>
    </row>
    <row r="129" spans="1:54" ht="4.5" hidden="1" customHeight="1" x14ac:dyDescent="0.2">
      <c r="A129" s="561"/>
      <c r="B129" s="562"/>
      <c r="C129" s="562"/>
      <c r="D129" s="562"/>
      <c r="E129" s="562"/>
      <c r="F129" s="562"/>
      <c r="G129" s="562"/>
      <c r="H129" s="562"/>
      <c r="I129" s="562"/>
      <c r="J129" s="562"/>
      <c r="K129" s="562"/>
      <c r="L129" s="562"/>
      <c r="M129" s="562"/>
      <c r="N129" s="562"/>
      <c r="O129" s="562"/>
      <c r="P129" s="562"/>
      <c r="Q129" s="562"/>
      <c r="R129" s="562"/>
      <c r="S129" s="562"/>
      <c r="T129" s="562"/>
      <c r="U129" s="562"/>
      <c r="V129" s="562"/>
      <c r="W129" s="562"/>
      <c r="X129" s="562"/>
      <c r="Y129" s="562"/>
      <c r="Z129" s="563"/>
      <c r="AA129" s="518"/>
      <c r="AB129" s="518"/>
      <c r="AC129" s="518"/>
      <c r="AD129" s="518"/>
      <c r="AE129" s="518"/>
      <c r="AF129" s="518"/>
      <c r="AG129" s="572"/>
      <c r="AH129" s="573"/>
      <c r="AI129" s="573"/>
      <c r="AJ129" s="573"/>
      <c r="AK129" s="573"/>
      <c r="AL129" s="574"/>
      <c r="AM129" s="572"/>
      <c r="AN129" s="573"/>
      <c r="AO129" s="573"/>
      <c r="AP129" s="573"/>
      <c r="AQ129" s="573"/>
      <c r="AR129" s="573"/>
      <c r="AS129" s="573"/>
      <c r="AT129" s="574"/>
      <c r="AU129" s="558">
        <f>AA129/AG128</f>
        <v>0</v>
      </c>
      <c r="AV129" s="559"/>
      <c r="AW129" s="559"/>
      <c r="AX129" s="559"/>
      <c r="AY129" s="559"/>
      <c r="AZ129" s="559"/>
      <c r="BA129" s="559"/>
      <c r="BB129" s="560"/>
    </row>
    <row r="130" spans="1:54" ht="21" customHeight="1" x14ac:dyDescent="0.2">
      <c r="A130" s="449"/>
      <c r="B130" s="450"/>
      <c r="C130" s="450"/>
      <c r="D130" s="450"/>
      <c r="E130" s="450"/>
      <c r="F130" s="450"/>
      <c r="G130" s="450"/>
      <c r="H130" s="450"/>
      <c r="I130" s="450"/>
      <c r="J130" s="450"/>
      <c r="K130" s="450"/>
      <c r="L130" s="450"/>
      <c r="M130" s="450"/>
      <c r="N130" s="450"/>
      <c r="O130" s="450"/>
      <c r="P130" s="450"/>
      <c r="Q130" s="450"/>
      <c r="R130" s="450"/>
      <c r="S130" s="450"/>
      <c r="T130" s="450"/>
      <c r="U130" s="450"/>
      <c r="V130" s="450"/>
      <c r="W130" s="450"/>
      <c r="X130" s="450"/>
      <c r="Y130" s="450"/>
      <c r="Z130" s="451"/>
      <c r="AA130" s="557"/>
      <c r="AB130" s="557"/>
      <c r="AC130" s="557"/>
      <c r="AD130" s="557"/>
      <c r="AE130" s="557"/>
      <c r="AF130" s="557"/>
      <c r="AG130" s="572"/>
      <c r="AH130" s="573"/>
      <c r="AI130" s="573"/>
      <c r="AJ130" s="573"/>
      <c r="AK130" s="573"/>
      <c r="AL130" s="574"/>
      <c r="AM130" s="572"/>
      <c r="AN130" s="573"/>
      <c r="AO130" s="573"/>
      <c r="AP130" s="573"/>
      <c r="AQ130" s="573"/>
      <c r="AR130" s="573"/>
      <c r="AS130" s="573"/>
      <c r="AT130" s="574"/>
      <c r="AU130" s="558">
        <f>AA130/AG128</f>
        <v>0</v>
      </c>
      <c r="AV130" s="559"/>
      <c r="AW130" s="559"/>
      <c r="AX130" s="559"/>
      <c r="AY130" s="559"/>
      <c r="AZ130" s="559"/>
      <c r="BA130" s="559"/>
      <c r="BB130" s="560"/>
    </row>
    <row r="131" spans="1:54" ht="21" customHeight="1" x14ac:dyDescent="0.2">
      <c r="A131" s="449"/>
      <c r="B131" s="450"/>
      <c r="C131" s="450"/>
      <c r="D131" s="450"/>
      <c r="E131" s="450"/>
      <c r="F131" s="450"/>
      <c r="G131" s="450"/>
      <c r="H131" s="450"/>
      <c r="I131" s="450"/>
      <c r="J131" s="450"/>
      <c r="K131" s="450"/>
      <c r="L131" s="450"/>
      <c r="M131" s="450"/>
      <c r="N131" s="450"/>
      <c r="O131" s="450"/>
      <c r="P131" s="450"/>
      <c r="Q131" s="450"/>
      <c r="R131" s="450"/>
      <c r="S131" s="450"/>
      <c r="T131" s="450"/>
      <c r="U131" s="450"/>
      <c r="V131" s="450"/>
      <c r="W131" s="450"/>
      <c r="X131" s="450"/>
      <c r="Y131" s="450"/>
      <c r="Z131" s="451"/>
      <c r="AA131" s="557"/>
      <c r="AB131" s="557"/>
      <c r="AC131" s="557"/>
      <c r="AD131" s="557"/>
      <c r="AE131" s="557"/>
      <c r="AF131" s="557"/>
      <c r="AG131" s="572"/>
      <c r="AH131" s="573"/>
      <c r="AI131" s="573"/>
      <c r="AJ131" s="573"/>
      <c r="AK131" s="573"/>
      <c r="AL131" s="574"/>
      <c r="AM131" s="572"/>
      <c r="AN131" s="573"/>
      <c r="AO131" s="573"/>
      <c r="AP131" s="573"/>
      <c r="AQ131" s="573"/>
      <c r="AR131" s="573"/>
      <c r="AS131" s="573"/>
      <c r="AT131" s="574"/>
      <c r="AU131" s="558">
        <f>AA131/AG128</f>
        <v>0</v>
      </c>
      <c r="AV131" s="559"/>
      <c r="AW131" s="559"/>
      <c r="AX131" s="559"/>
      <c r="AY131" s="559"/>
      <c r="AZ131" s="559"/>
      <c r="BA131" s="559"/>
      <c r="BB131" s="560"/>
    </row>
    <row r="132" spans="1:54" ht="6" hidden="1" customHeight="1" x14ac:dyDescent="0.2">
      <c r="A132" s="449"/>
      <c r="B132" s="450"/>
      <c r="C132" s="450"/>
      <c r="D132" s="450"/>
      <c r="E132" s="450"/>
      <c r="F132" s="450"/>
      <c r="G132" s="450"/>
      <c r="H132" s="450"/>
      <c r="I132" s="450"/>
      <c r="J132" s="450"/>
      <c r="K132" s="450"/>
      <c r="L132" s="450"/>
      <c r="M132" s="450"/>
      <c r="N132" s="450"/>
      <c r="O132" s="450"/>
      <c r="P132" s="450"/>
      <c r="Q132" s="450"/>
      <c r="R132" s="450"/>
      <c r="S132" s="450"/>
      <c r="T132" s="450"/>
      <c r="U132" s="450"/>
      <c r="V132" s="450"/>
      <c r="W132" s="450"/>
      <c r="X132" s="450"/>
      <c r="Y132" s="450"/>
      <c r="Z132" s="451"/>
      <c r="AA132" s="557"/>
      <c r="AB132" s="557"/>
      <c r="AC132" s="557"/>
      <c r="AD132" s="557"/>
      <c r="AE132" s="557"/>
      <c r="AF132" s="557"/>
      <c r="AG132" s="572"/>
      <c r="AH132" s="573"/>
      <c r="AI132" s="573"/>
      <c r="AJ132" s="573"/>
      <c r="AK132" s="573"/>
      <c r="AL132" s="574"/>
      <c r="AM132" s="572"/>
      <c r="AN132" s="573"/>
      <c r="AO132" s="573"/>
      <c r="AP132" s="573"/>
      <c r="AQ132" s="573"/>
      <c r="AR132" s="573"/>
      <c r="AS132" s="573"/>
      <c r="AT132" s="574"/>
      <c r="AU132" s="558">
        <f>AA132/AG128</f>
        <v>0</v>
      </c>
      <c r="AV132" s="559"/>
      <c r="AW132" s="559"/>
      <c r="AX132" s="559"/>
      <c r="AY132" s="559"/>
      <c r="AZ132" s="559"/>
      <c r="BA132" s="559"/>
      <c r="BB132" s="560"/>
    </row>
    <row r="133" spans="1:54" ht="0.75" customHeight="1" thickBot="1" x14ac:dyDescent="0.25">
      <c r="A133" s="575"/>
      <c r="B133" s="576"/>
      <c r="C133" s="576"/>
      <c r="D133" s="576"/>
      <c r="E133" s="576"/>
      <c r="F133" s="576"/>
      <c r="G133" s="576"/>
      <c r="H133" s="576"/>
      <c r="I133" s="576"/>
      <c r="J133" s="576"/>
      <c r="K133" s="576"/>
      <c r="L133" s="576"/>
      <c r="M133" s="576"/>
      <c r="N133" s="576"/>
      <c r="O133" s="576"/>
      <c r="P133" s="576"/>
      <c r="Q133" s="576"/>
      <c r="R133" s="576"/>
      <c r="S133" s="576"/>
      <c r="T133" s="576"/>
      <c r="U133" s="576"/>
      <c r="V133" s="576"/>
      <c r="W133" s="576"/>
      <c r="X133" s="576"/>
      <c r="Y133" s="576"/>
      <c r="Z133" s="577"/>
      <c r="AA133" s="578">
        <v>0</v>
      </c>
      <c r="AB133" s="578"/>
      <c r="AC133" s="578"/>
      <c r="AD133" s="578"/>
      <c r="AE133" s="578"/>
      <c r="AF133" s="578"/>
      <c r="AG133" s="572"/>
      <c r="AH133" s="573"/>
      <c r="AI133" s="573"/>
      <c r="AJ133" s="573"/>
      <c r="AK133" s="573"/>
      <c r="AL133" s="574"/>
      <c r="AM133" s="572"/>
      <c r="AN133" s="573"/>
      <c r="AO133" s="573"/>
      <c r="AP133" s="573"/>
      <c r="AQ133" s="573"/>
      <c r="AR133" s="573"/>
      <c r="AS133" s="573"/>
      <c r="AT133" s="574"/>
      <c r="AU133" s="579">
        <f>AA133/AG128</f>
        <v>0</v>
      </c>
      <c r="AV133" s="580"/>
      <c r="AW133" s="580"/>
      <c r="AX133" s="580"/>
      <c r="AY133" s="580"/>
      <c r="AZ133" s="580"/>
      <c r="BA133" s="580"/>
      <c r="BB133" s="581"/>
    </row>
    <row r="134" spans="1:54" ht="15" customHeight="1" thickBot="1" x14ac:dyDescent="0.25">
      <c r="A134" s="545" t="s">
        <v>51</v>
      </c>
      <c r="B134" s="546"/>
      <c r="C134" s="546"/>
      <c r="D134" s="546"/>
      <c r="E134" s="546"/>
      <c r="F134" s="546"/>
      <c r="G134" s="546"/>
      <c r="H134" s="546"/>
      <c r="I134" s="546"/>
      <c r="J134" s="546"/>
      <c r="K134" s="546"/>
      <c r="L134" s="546"/>
      <c r="M134" s="546"/>
      <c r="N134" s="546"/>
      <c r="O134" s="546"/>
      <c r="P134" s="546"/>
      <c r="Q134" s="546"/>
      <c r="R134" s="546"/>
      <c r="S134" s="546"/>
      <c r="T134" s="546"/>
      <c r="U134" s="546"/>
      <c r="V134" s="546"/>
      <c r="W134" s="546"/>
      <c r="X134" s="546"/>
      <c r="Y134" s="546"/>
      <c r="Z134" s="547"/>
      <c r="AA134" s="548">
        <f>SUM(AA128:AF131)</f>
        <v>0</v>
      </c>
      <c r="AB134" s="549"/>
      <c r="AC134" s="549"/>
      <c r="AD134" s="549"/>
      <c r="AE134" s="549"/>
      <c r="AF134" s="550"/>
      <c r="AG134" s="531">
        <f>AG128</f>
        <v>28</v>
      </c>
      <c r="AH134" s="533"/>
      <c r="AI134" s="533"/>
      <c r="AJ134" s="533"/>
      <c r="AK134" s="533"/>
      <c r="AL134" s="534"/>
      <c r="AM134" s="551" t="s">
        <v>17</v>
      </c>
      <c r="AN134" s="552"/>
      <c r="AO134" s="552"/>
      <c r="AP134" s="552"/>
      <c r="AQ134" s="552"/>
      <c r="AR134" s="552"/>
      <c r="AS134" s="552"/>
      <c r="AT134" s="553"/>
      <c r="AU134" s="554">
        <f>SUM(AU128:BB133)</f>
        <v>0</v>
      </c>
      <c r="AV134" s="555"/>
      <c r="AW134" s="555"/>
      <c r="AX134" s="555"/>
      <c r="AY134" s="555"/>
      <c r="AZ134" s="555"/>
      <c r="BA134" s="555"/>
      <c r="BB134" s="556"/>
    </row>
    <row r="135" spans="1:54" s="161" customFormat="1" ht="15" customHeight="1" x14ac:dyDescent="0.2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</row>
    <row r="136" spans="1:54" ht="27" customHeight="1" x14ac:dyDescent="0.2">
      <c r="A136" s="159" t="s">
        <v>62</v>
      </c>
      <c r="B136" s="159"/>
      <c r="C136" s="159" t="s">
        <v>63</v>
      </c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  <c r="AU136" s="159"/>
      <c r="AV136" s="159"/>
      <c r="AW136" s="159"/>
      <c r="AX136" s="160"/>
      <c r="AY136" s="160"/>
      <c r="AZ136" s="160"/>
      <c r="BA136" s="160"/>
      <c r="BB136" s="160"/>
    </row>
    <row r="137" spans="1:54" ht="21.75" customHeight="1" thickBot="1" x14ac:dyDescent="0.25"/>
    <row r="138" spans="1:54" ht="63" customHeight="1" x14ac:dyDescent="0.2">
      <c r="A138" s="499" t="s">
        <v>54</v>
      </c>
      <c r="B138" s="500"/>
      <c r="C138" s="500"/>
      <c r="D138" s="500"/>
      <c r="E138" s="500"/>
      <c r="F138" s="500"/>
      <c r="G138" s="500"/>
      <c r="H138" s="535" t="s">
        <v>64</v>
      </c>
      <c r="I138" s="535"/>
      <c r="J138" s="535"/>
      <c r="K138" s="535"/>
      <c r="L138" s="535"/>
      <c r="M138" s="535" t="s">
        <v>94</v>
      </c>
      <c r="N138" s="535"/>
      <c r="O138" s="535"/>
      <c r="P138" s="535"/>
      <c r="Q138" s="535"/>
      <c r="R138" s="535" t="s">
        <v>82</v>
      </c>
      <c r="S138" s="535"/>
      <c r="T138" s="535"/>
      <c r="U138" s="535"/>
      <c r="V138" s="535" t="s">
        <v>65</v>
      </c>
      <c r="W138" s="535"/>
      <c r="X138" s="535"/>
      <c r="Y138" s="535"/>
      <c r="Z138" s="535" t="s">
        <v>66</v>
      </c>
      <c r="AA138" s="535"/>
      <c r="AB138" s="535"/>
      <c r="AC138" s="535"/>
      <c r="AD138" s="535" t="s">
        <v>67</v>
      </c>
      <c r="AE138" s="535"/>
      <c r="AF138" s="535"/>
      <c r="AG138" s="535"/>
      <c r="AH138" s="535"/>
      <c r="AI138" s="535"/>
      <c r="AJ138" s="535"/>
      <c r="AK138" s="535"/>
      <c r="AL138" s="535"/>
      <c r="AM138" s="535"/>
      <c r="AN138" s="535"/>
      <c r="AO138" s="535"/>
      <c r="AP138" s="535"/>
      <c r="AQ138" s="535" t="s">
        <v>669</v>
      </c>
      <c r="AR138" s="535"/>
      <c r="AS138" s="535"/>
      <c r="AT138" s="535"/>
      <c r="AU138" s="536" t="s">
        <v>670</v>
      </c>
      <c r="AV138" s="537"/>
      <c r="AW138" s="537"/>
      <c r="AX138" s="538"/>
      <c r="AY138" s="536" t="s">
        <v>87</v>
      </c>
      <c r="AZ138" s="537"/>
      <c r="BA138" s="537"/>
      <c r="BB138" s="539"/>
    </row>
    <row r="139" spans="1:54" ht="71.25" customHeight="1" thickBot="1" x14ac:dyDescent="0.25">
      <c r="A139" s="888"/>
      <c r="B139" s="889"/>
      <c r="C139" s="889"/>
      <c r="D139" s="889"/>
      <c r="E139" s="889"/>
      <c r="F139" s="889"/>
      <c r="G139" s="889"/>
      <c r="H139" s="894" t="s">
        <v>68</v>
      </c>
      <c r="I139" s="894"/>
      <c r="J139" s="894"/>
      <c r="K139" s="894"/>
      <c r="L139" s="894"/>
      <c r="M139" s="894" t="s">
        <v>68</v>
      </c>
      <c r="N139" s="894"/>
      <c r="O139" s="894"/>
      <c r="P139" s="894"/>
      <c r="Q139" s="894"/>
      <c r="R139" s="894"/>
      <c r="S139" s="894"/>
      <c r="T139" s="894"/>
      <c r="U139" s="894"/>
      <c r="V139" s="894"/>
      <c r="W139" s="894"/>
      <c r="X139" s="894"/>
      <c r="Y139" s="894"/>
      <c r="Z139" s="894"/>
      <c r="AA139" s="894"/>
      <c r="AB139" s="894"/>
      <c r="AC139" s="894"/>
      <c r="AD139" s="894" t="s">
        <v>68</v>
      </c>
      <c r="AE139" s="894"/>
      <c r="AF139" s="894"/>
      <c r="AG139" s="894"/>
      <c r="AH139" s="894"/>
      <c r="AI139" s="894"/>
      <c r="AJ139" s="895" t="s">
        <v>69</v>
      </c>
      <c r="AK139" s="896"/>
      <c r="AL139" s="896"/>
      <c r="AM139" s="896"/>
      <c r="AN139" s="896"/>
      <c r="AO139" s="896"/>
      <c r="AP139" s="897"/>
      <c r="AQ139" s="894" t="s">
        <v>68</v>
      </c>
      <c r="AR139" s="894"/>
      <c r="AS139" s="894"/>
      <c r="AT139" s="894"/>
      <c r="AU139" s="894" t="s">
        <v>68</v>
      </c>
      <c r="AV139" s="894"/>
      <c r="AW139" s="894"/>
      <c r="AX139" s="894"/>
      <c r="AY139" s="894" t="s">
        <v>68</v>
      </c>
      <c r="AZ139" s="894"/>
      <c r="BA139" s="894"/>
      <c r="BB139" s="898"/>
    </row>
    <row r="140" spans="1:54" ht="22.5" customHeight="1" thickBot="1" x14ac:dyDescent="0.25">
      <c r="A140" s="530">
        <v>1</v>
      </c>
      <c r="B140" s="503"/>
      <c r="C140" s="503"/>
      <c r="D140" s="503"/>
      <c r="E140" s="503"/>
      <c r="F140" s="503"/>
      <c r="G140" s="503"/>
      <c r="H140" s="503">
        <v>2</v>
      </c>
      <c r="I140" s="503"/>
      <c r="J140" s="503"/>
      <c r="K140" s="503"/>
      <c r="L140" s="503"/>
      <c r="M140" s="503">
        <v>3</v>
      </c>
      <c r="N140" s="503"/>
      <c r="O140" s="503"/>
      <c r="P140" s="503"/>
      <c r="Q140" s="503"/>
      <c r="R140" s="503">
        <v>4</v>
      </c>
      <c r="S140" s="503"/>
      <c r="T140" s="503"/>
      <c r="U140" s="503"/>
      <c r="V140" s="503">
        <v>5</v>
      </c>
      <c r="W140" s="503"/>
      <c r="X140" s="503"/>
      <c r="Y140" s="503"/>
      <c r="Z140" s="503">
        <v>6</v>
      </c>
      <c r="AA140" s="503"/>
      <c r="AB140" s="503"/>
      <c r="AC140" s="531"/>
      <c r="AD140" s="503">
        <v>7</v>
      </c>
      <c r="AE140" s="503"/>
      <c r="AF140" s="503"/>
      <c r="AG140" s="503"/>
      <c r="AH140" s="503"/>
      <c r="AI140" s="503"/>
      <c r="AJ140" s="533">
        <v>8</v>
      </c>
      <c r="AK140" s="533"/>
      <c r="AL140" s="533"/>
      <c r="AM140" s="533"/>
      <c r="AN140" s="533"/>
      <c r="AO140" s="533"/>
      <c r="AP140" s="534"/>
      <c r="AQ140" s="503">
        <v>9</v>
      </c>
      <c r="AR140" s="503"/>
      <c r="AS140" s="503"/>
      <c r="AT140" s="503"/>
      <c r="AU140" s="503">
        <v>10</v>
      </c>
      <c r="AV140" s="503"/>
      <c r="AW140" s="503"/>
      <c r="AX140" s="503"/>
      <c r="AY140" s="503">
        <v>11</v>
      </c>
      <c r="AZ140" s="503"/>
      <c r="BA140" s="503"/>
      <c r="BB140" s="504"/>
    </row>
    <row r="141" spans="1:54" ht="24.75" customHeight="1" x14ac:dyDescent="0.2">
      <c r="A141" s="505" t="s">
        <v>70</v>
      </c>
      <c r="B141" s="506"/>
      <c r="C141" s="506"/>
      <c r="D141" s="506"/>
      <c r="E141" s="506"/>
      <c r="F141" s="506"/>
      <c r="G141" s="506"/>
      <c r="H141" s="507">
        <f>AO88/V141</f>
        <v>42.785166666666669</v>
      </c>
      <c r="I141" s="507"/>
      <c r="J141" s="507"/>
      <c r="K141" s="507"/>
      <c r="L141" s="507"/>
      <c r="M141" s="507">
        <f>H141</f>
        <v>42.785166666666669</v>
      </c>
      <c r="N141" s="507"/>
      <c r="O141" s="507"/>
      <c r="P141" s="507"/>
      <c r="Q141" s="507"/>
      <c r="R141" s="508">
        <f>U12</f>
        <v>28</v>
      </c>
      <c r="S141" s="509"/>
      <c r="T141" s="509"/>
      <c r="U141" s="510"/>
      <c r="V141" s="517">
        <f>Y16</f>
        <v>12</v>
      </c>
      <c r="W141" s="517"/>
      <c r="X141" s="517"/>
      <c r="Y141" s="517"/>
      <c r="Z141" s="517">
        <f>U16</f>
        <v>1</v>
      </c>
      <c r="AA141" s="517"/>
      <c r="AB141" s="517"/>
      <c r="AC141" s="517"/>
      <c r="AD141" s="520" t="s">
        <v>71</v>
      </c>
      <c r="AE141" s="521"/>
      <c r="AF141" s="521"/>
      <c r="AG141" s="521"/>
      <c r="AH141" s="521"/>
      <c r="AI141" s="522"/>
      <c r="AJ141" s="523"/>
      <c r="AK141" s="524"/>
      <c r="AL141" s="524"/>
      <c r="AM141" s="524"/>
      <c r="AN141" s="524"/>
      <c r="AO141" s="524"/>
      <c r="AP141" s="525"/>
      <c r="AQ141" s="507">
        <f>H141*8</f>
        <v>342.28133333333335</v>
      </c>
      <c r="AR141" s="507"/>
      <c r="AS141" s="507"/>
      <c r="AT141" s="507"/>
      <c r="AU141" s="507">
        <f>M141*2</f>
        <v>85.570333333333338</v>
      </c>
      <c r="AV141" s="507"/>
      <c r="AW141" s="507"/>
      <c r="AX141" s="507"/>
      <c r="AY141" s="507">
        <f>H141*R141</f>
        <v>1197.9846666666667</v>
      </c>
      <c r="AZ141" s="507"/>
      <c r="BA141" s="507"/>
      <c r="BB141" s="526"/>
    </row>
    <row r="142" spans="1:54" ht="21.75" customHeight="1" x14ac:dyDescent="0.2">
      <c r="A142" s="527" t="s">
        <v>72</v>
      </c>
      <c r="B142" s="528"/>
      <c r="C142" s="528"/>
      <c r="D142" s="528"/>
      <c r="E142" s="528"/>
      <c r="F142" s="528"/>
      <c r="G142" s="528"/>
      <c r="H142" s="529">
        <f>AV98</f>
        <v>13.862737403450861</v>
      </c>
      <c r="I142" s="529"/>
      <c r="J142" s="529"/>
      <c r="K142" s="529"/>
      <c r="L142" s="529"/>
      <c r="M142" s="477">
        <f t="shared" ref="M142:M144" si="3">H142</f>
        <v>13.862737403450861</v>
      </c>
      <c r="N142" s="477"/>
      <c r="O142" s="477"/>
      <c r="P142" s="477"/>
      <c r="Q142" s="477"/>
      <c r="R142" s="511"/>
      <c r="S142" s="512"/>
      <c r="T142" s="512"/>
      <c r="U142" s="513"/>
      <c r="V142" s="518"/>
      <c r="W142" s="518"/>
      <c r="X142" s="518"/>
      <c r="Y142" s="518"/>
      <c r="Z142" s="518"/>
      <c r="AA142" s="518"/>
      <c r="AB142" s="518"/>
      <c r="AC142" s="518"/>
      <c r="AD142" s="477" t="s">
        <v>71</v>
      </c>
      <c r="AE142" s="477"/>
      <c r="AF142" s="477"/>
      <c r="AG142" s="477"/>
      <c r="AH142" s="477"/>
      <c r="AI142" s="477"/>
      <c r="AJ142" s="478"/>
      <c r="AK142" s="479"/>
      <c r="AL142" s="479"/>
      <c r="AM142" s="479"/>
      <c r="AN142" s="479"/>
      <c r="AO142" s="479"/>
      <c r="AP142" s="480"/>
      <c r="AQ142" s="477">
        <f>H142*8</f>
        <v>110.90189922760689</v>
      </c>
      <c r="AR142" s="477"/>
      <c r="AS142" s="477"/>
      <c r="AT142" s="477"/>
      <c r="AU142" s="529">
        <f>M142*2</f>
        <v>27.725474806901723</v>
      </c>
      <c r="AV142" s="529"/>
      <c r="AW142" s="529"/>
      <c r="AX142" s="529"/>
      <c r="AY142" s="477">
        <f>H142*R141</f>
        <v>388.1566472966241</v>
      </c>
      <c r="AZ142" s="477"/>
      <c r="BA142" s="477"/>
      <c r="BB142" s="481"/>
    </row>
    <row r="143" spans="1:54" ht="15" customHeight="1" x14ac:dyDescent="0.2">
      <c r="A143" s="527" t="s">
        <v>73</v>
      </c>
      <c r="B143" s="528"/>
      <c r="C143" s="528"/>
      <c r="D143" s="528"/>
      <c r="E143" s="528"/>
      <c r="F143" s="528"/>
      <c r="G143" s="528"/>
      <c r="H143" s="529">
        <f>AU122</f>
        <v>135.65989285714284</v>
      </c>
      <c r="I143" s="529"/>
      <c r="J143" s="529"/>
      <c r="K143" s="529"/>
      <c r="L143" s="529"/>
      <c r="M143" s="477">
        <f t="shared" si="3"/>
        <v>135.65989285714284</v>
      </c>
      <c r="N143" s="477"/>
      <c r="O143" s="477"/>
      <c r="P143" s="477"/>
      <c r="Q143" s="477"/>
      <c r="R143" s="511"/>
      <c r="S143" s="512"/>
      <c r="T143" s="512"/>
      <c r="U143" s="513"/>
      <c r="V143" s="518"/>
      <c r="W143" s="518"/>
      <c r="X143" s="518"/>
      <c r="Y143" s="518"/>
      <c r="Z143" s="518"/>
      <c r="AA143" s="518"/>
      <c r="AB143" s="518"/>
      <c r="AC143" s="518"/>
      <c r="AD143" s="477" t="s">
        <v>71</v>
      </c>
      <c r="AE143" s="477"/>
      <c r="AF143" s="477"/>
      <c r="AG143" s="477"/>
      <c r="AH143" s="477"/>
      <c r="AI143" s="477"/>
      <c r="AJ143" s="478"/>
      <c r="AK143" s="479"/>
      <c r="AL143" s="479"/>
      <c r="AM143" s="479"/>
      <c r="AN143" s="479"/>
      <c r="AO143" s="479"/>
      <c r="AP143" s="480"/>
      <c r="AQ143" s="477">
        <f>H143*8</f>
        <v>1085.2791428571427</v>
      </c>
      <c r="AR143" s="477"/>
      <c r="AS143" s="477"/>
      <c r="AT143" s="477"/>
      <c r="AU143" s="529">
        <f>M143*2</f>
        <v>271.31978571428567</v>
      </c>
      <c r="AV143" s="529"/>
      <c r="AW143" s="529"/>
      <c r="AX143" s="529"/>
      <c r="AY143" s="477">
        <f>H143*R141</f>
        <v>3798.4769999999994</v>
      </c>
      <c r="AZ143" s="477"/>
      <c r="BA143" s="477"/>
      <c r="BB143" s="481"/>
    </row>
    <row r="144" spans="1:54" ht="18" customHeight="1" thickBot="1" x14ac:dyDescent="0.25">
      <c r="A144" s="494" t="s">
        <v>74</v>
      </c>
      <c r="B144" s="495"/>
      <c r="C144" s="495"/>
      <c r="D144" s="495"/>
      <c r="E144" s="495"/>
      <c r="F144" s="495"/>
      <c r="G144" s="495"/>
      <c r="H144" s="483">
        <f>AU134</f>
        <v>0</v>
      </c>
      <c r="I144" s="483"/>
      <c r="J144" s="483"/>
      <c r="K144" s="483"/>
      <c r="L144" s="483"/>
      <c r="M144" s="482">
        <f t="shared" si="3"/>
        <v>0</v>
      </c>
      <c r="N144" s="482"/>
      <c r="O144" s="482"/>
      <c r="P144" s="482"/>
      <c r="Q144" s="482"/>
      <c r="R144" s="514"/>
      <c r="S144" s="515"/>
      <c r="T144" s="515"/>
      <c r="U144" s="516"/>
      <c r="V144" s="519"/>
      <c r="W144" s="519"/>
      <c r="X144" s="519"/>
      <c r="Y144" s="519"/>
      <c r="Z144" s="519"/>
      <c r="AA144" s="519"/>
      <c r="AB144" s="519"/>
      <c r="AC144" s="519"/>
      <c r="AD144" s="482" t="s">
        <v>71</v>
      </c>
      <c r="AE144" s="482"/>
      <c r="AF144" s="482"/>
      <c r="AG144" s="482"/>
      <c r="AH144" s="482"/>
      <c r="AI144" s="482"/>
      <c r="AJ144" s="496" t="s">
        <v>17</v>
      </c>
      <c r="AK144" s="497"/>
      <c r="AL144" s="497"/>
      <c r="AM144" s="497"/>
      <c r="AN144" s="497"/>
      <c r="AO144" s="497"/>
      <c r="AP144" s="498"/>
      <c r="AQ144" s="477">
        <f>H144*8</f>
        <v>0</v>
      </c>
      <c r="AR144" s="477"/>
      <c r="AS144" s="477"/>
      <c r="AT144" s="477"/>
      <c r="AU144" s="483">
        <f>M144*2</f>
        <v>0</v>
      </c>
      <c r="AV144" s="483"/>
      <c r="AW144" s="483"/>
      <c r="AX144" s="483"/>
      <c r="AY144" s="483">
        <f>H144*R141</f>
        <v>0</v>
      </c>
      <c r="AZ144" s="483"/>
      <c r="BA144" s="483"/>
      <c r="BB144" s="484"/>
    </row>
    <row r="145" spans="1:98" ht="25.5" customHeight="1" x14ac:dyDescent="0.2">
      <c r="A145" s="485" t="s">
        <v>80</v>
      </c>
      <c r="B145" s="486"/>
      <c r="C145" s="486"/>
      <c r="D145" s="486"/>
      <c r="E145" s="486"/>
      <c r="F145" s="486"/>
      <c r="G145" s="487"/>
      <c r="H145" s="488">
        <f>SUM(H141:L144)</f>
        <v>192.30779692726037</v>
      </c>
      <c r="I145" s="488"/>
      <c r="J145" s="488"/>
      <c r="K145" s="488"/>
      <c r="L145" s="488"/>
      <c r="M145" s="488">
        <f>SUM(M141:Q144)</f>
        <v>192.30779692726037</v>
      </c>
      <c r="N145" s="488"/>
      <c r="O145" s="488"/>
      <c r="P145" s="488"/>
      <c r="Q145" s="488"/>
      <c r="R145" s="489">
        <f>R141</f>
        <v>28</v>
      </c>
      <c r="S145" s="489"/>
      <c r="T145" s="489"/>
      <c r="U145" s="489"/>
      <c r="V145" s="490">
        <f>V141</f>
        <v>12</v>
      </c>
      <c r="W145" s="490"/>
      <c r="X145" s="490"/>
      <c r="Y145" s="490"/>
      <c r="Z145" s="490">
        <f>Z141</f>
        <v>1</v>
      </c>
      <c r="AA145" s="490"/>
      <c r="AB145" s="490"/>
      <c r="AC145" s="490"/>
      <c r="AD145" s="488" t="s">
        <v>17</v>
      </c>
      <c r="AE145" s="488"/>
      <c r="AF145" s="488"/>
      <c r="AG145" s="488"/>
      <c r="AH145" s="488"/>
      <c r="AI145" s="488"/>
      <c r="AJ145" s="491" t="s">
        <v>17</v>
      </c>
      <c r="AK145" s="492"/>
      <c r="AL145" s="492"/>
      <c r="AM145" s="492"/>
      <c r="AN145" s="492"/>
      <c r="AO145" s="492"/>
      <c r="AP145" s="493"/>
      <c r="AQ145" s="453">
        <f>SUM(AQ141:AT144)</f>
        <v>1538.462375418083</v>
      </c>
      <c r="AR145" s="453"/>
      <c r="AS145" s="453"/>
      <c r="AT145" s="453"/>
      <c r="AU145" s="453">
        <f>SUM(AU141:AX144)</f>
        <v>384.61559385452074</v>
      </c>
      <c r="AV145" s="453"/>
      <c r="AW145" s="453"/>
      <c r="AX145" s="453"/>
      <c r="AY145" s="453">
        <f>SUM(AY141:BB144)</f>
        <v>5384.6183139632903</v>
      </c>
      <c r="AZ145" s="453"/>
      <c r="BA145" s="453"/>
      <c r="BB145" s="454"/>
    </row>
    <row r="146" spans="1:98" ht="30.75" customHeight="1" x14ac:dyDescent="0.2">
      <c r="A146" s="455" t="s">
        <v>75</v>
      </c>
      <c r="B146" s="456"/>
      <c r="C146" s="456"/>
      <c r="D146" s="456"/>
      <c r="E146" s="456"/>
      <c r="F146" s="456"/>
      <c r="G146" s="215">
        <v>0.3</v>
      </c>
      <c r="H146" s="457">
        <f>H145*G146</f>
        <v>57.692339078178108</v>
      </c>
      <c r="I146" s="457"/>
      <c r="J146" s="457"/>
      <c r="K146" s="457"/>
      <c r="L146" s="457"/>
      <c r="M146" s="457">
        <f>M145*G146</f>
        <v>57.692339078178108</v>
      </c>
      <c r="N146" s="457"/>
      <c r="O146" s="457"/>
      <c r="P146" s="457"/>
      <c r="Q146" s="457"/>
      <c r="R146" s="818">
        <f>R141</f>
        <v>28</v>
      </c>
      <c r="S146" s="819"/>
      <c r="T146" s="819"/>
      <c r="U146" s="820"/>
      <c r="V146" s="821">
        <f>V141</f>
        <v>12</v>
      </c>
      <c r="W146" s="819"/>
      <c r="X146" s="819"/>
      <c r="Y146" s="820"/>
      <c r="Z146" s="821">
        <f>Z141</f>
        <v>1</v>
      </c>
      <c r="AA146" s="819"/>
      <c r="AB146" s="819"/>
      <c r="AC146" s="820"/>
      <c r="AD146" s="462" t="s">
        <v>17</v>
      </c>
      <c r="AE146" s="462"/>
      <c r="AF146" s="462"/>
      <c r="AG146" s="462"/>
      <c r="AH146" s="462"/>
      <c r="AI146" s="462"/>
      <c r="AJ146" s="462" t="s">
        <v>17</v>
      </c>
      <c r="AK146" s="462"/>
      <c r="AL146" s="462"/>
      <c r="AM146" s="462"/>
      <c r="AN146" s="462"/>
      <c r="AO146" s="462"/>
      <c r="AP146" s="462"/>
      <c r="AQ146" s="466">
        <f>AQ145*G146</f>
        <v>461.53871262542486</v>
      </c>
      <c r="AR146" s="466"/>
      <c r="AS146" s="466"/>
      <c r="AT146" s="466"/>
      <c r="AU146" s="466">
        <f>AU145*G146</f>
        <v>115.38467815635622</v>
      </c>
      <c r="AV146" s="466"/>
      <c r="AW146" s="466"/>
      <c r="AX146" s="466"/>
      <c r="AY146" s="466">
        <f>AY145*G146</f>
        <v>1615.385494188987</v>
      </c>
      <c r="AZ146" s="466"/>
      <c r="BA146" s="466"/>
      <c r="BB146" s="467"/>
    </row>
    <row r="147" spans="1:98" ht="30.75" customHeight="1" thickBot="1" x14ac:dyDescent="0.25">
      <c r="A147" s="468" t="s">
        <v>81</v>
      </c>
      <c r="B147" s="469"/>
      <c r="C147" s="469"/>
      <c r="D147" s="469"/>
      <c r="E147" s="469"/>
      <c r="F147" s="469"/>
      <c r="G147" s="470"/>
      <c r="H147" s="464">
        <f>H145+H146</f>
        <v>250.00013600543849</v>
      </c>
      <c r="I147" s="464"/>
      <c r="J147" s="464"/>
      <c r="K147" s="464"/>
      <c r="L147" s="464"/>
      <c r="M147" s="471">
        <f>M145+M146</f>
        <v>250.00013600543849</v>
      </c>
      <c r="N147" s="472"/>
      <c r="O147" s="472"/>
      <c r="P147" s="472"/>
      <c r="Q147" s="473"/>
      <c r="R147" s="825">
        <f>R141</f>
        <v>28</v>
      </c>
      <c r="S147" s="826"/>
      <c r="T147" s="826"/>
      <c r="U147" s="827"/>
      <c r="V147" s="828">
        <f>V141</f>
        <v>12</v>
      </c>
      <c r="W147" s="829"/>
      <c r="X147" s="829"/>
      <c r="Y147" s="830"/>
      <c r="Z147" s="828">
        <f>Z141</f>
        <v>1</v>
      </c>
      <c r="AA147" s="829"/>
      <c r="AB147" s="829"/>
      <c r="AC147" s="830"/>
      <c r="AD147" s="463" t="s">
        <v>17</v>
      </c>
      <c r="AE147" s="463"/>
      <c r="AF147" s="463"/>
      <c r="AG147" s="463"/>
      <c r="AH147" s="463"/>
      <c r="AI147" s="463"/>
      <c r="AJ147" s="463" t="s">
        <v>17</v>
      </c>
      <c r="AK147" s="463"/>
      <c r="AL147" s="463"/>
      <c r="AM147" s="463"/>
      <c r="AN147" s="463"/>
      <c r="AO147" s="463"/>
      <c r="AP147" s="463"/>
      <c r="AQ147" s="464">
        <f>AQ145+AQ146</f>
        <v>2000.0010880435079</v>
      </c>
      <c r="AR147" s="464"/>
      <c r="AS147" s="464"/>
      <c r="AT147" s="464"/>
      <c r="AU147" s="464">
        <f>AU145+AU146</f>
        <v>500.00027201087698</v>
      </c>
      <c r="AV147" s="464"/>
      <c r="AW147" s="464"/>
      <c r="AX147" s="464"/>
      <c r="AY147" s="464">
        <f>AY145+AY146</f>
        <v>7000.0038081522771</v>
      </c>
      <c r="AZ147" s="464"/>
      <c r="BA147" s="464"/>
      <c r="BB147" s="465"/>
      <c r="BE147" s="216"/>
      <c r="BF147" s="216"/>
    </row>
    <row r="148" spans="1:98" ht="16.5" customHeight="1" x14ac:dyDescent="0.2">
      <c r="BC148" s="432"/>
      <c r="BD148" s="432"/>
      <c r="BE148" s="216"/>
      <c r="BF148" s="216"/>
      <c r="BG148" s="216"/>
      <c r="BH148" s="216"/>
      <c r="BI148" s="216"/>
    </row>
    <row r="149" spans="1:98" ht="12" customHeight="1" x14ac:dyDescent="0.2">
      <c r="BC149" s="432"/>
      <c r="BD149" s="432"/>
      <c r="BE149" s="216"/>
      <c r="BF149" s="216"/>
    </row>
    <row r="150" spans="1:98" ht="14.25" customHeight="1" x14ac:dyDescent="0.2">
      <c r="B150" s="452" t="s">
        <v>221</v>
      </c>
      <c r="C150" s="452"/>
      <c r="D150" s="452"/>
      <c r="E150" s="452"/>
      <c r="F150" s="452"/>
      <c r="G150" s="452"/>
      <c r="H150" s="452"/>
      <c r="I150" s="452"/>
      <c r="J150" s="452"/>
      <c r="K150" s="452"/>
      <c r="L150" s="452"/>
      <c r="M150" s="452"/>
      <c r="N150" s="452"/>
      <c r="O150" s="452"/>
      <c r="P150" s="452"/>
      <c r="Q150" s="452"/>
      <c r="R150" s="452"/>
      <c r="S150" s="452"/>
      <c r="U150" s="164"/>
      <c r="V150" s="164"/>
      <c r="W150" s="164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M150" s="442" t="s">
        <v>222</v>
      </c>
      <c r="AN150" s="763"/>
      <c r="AO150" s="763"/>
      <c r="AP150" s="763"/>
      <c r="AQ150" s="763"/>
      <c r="AR150" s="763"/>
      <c r="AS150" s="763"/>
      <c r="AT150" s="763"/>
      <c r="AU150" s="763"/>
      <c r="AV150" s="763"/>
      <c r="AW150" s="763"/>
      <c r="AX150" s="763"/>
      <c r="AY150" s="763"/>
      <c r="AZ150" s="763"/>
      <c r="BA150" s="763"/>
      <c r="BB150" s="763"/>
      <c r="BC150" s="442"/>
      <c r="BD150" s="442"/>
      <c r="BE150" s="216"/>
      <c r="BF150" s="216"/>
    </row>
    <row r="151" spans="1:98" ht="8.25" customHeight="1" x14ac:dyDescent="0.2">
      <c r="B151" s="452" t="s">
        <v>78</v>
      </c>
      <c r="C151" s="452"/>
      <c r="D151" s="452"/>
      <c r="E151" s="452"/>
      <c r="F151" s="452"/>
      <c r="G151" s="452"/>
      <c r="H151" s="452"/>
      <c r="I151" s="452"/>
      <c r="J151" s="452"/>
      <c r="K151" s="452"/>
      <c r="L151" s="452"/>
      <c r="M151" s="452"/>
      <c r="N151" s="452"/>
      <c r="O151" s="452"/>
      <c r="P151" s="452"/>
      <c r="Q151" s="452"/>
      <c r="R151" s="452"/>
      <c r="S151" s="452"/>
      <c r="AM151" s="442" t="s">
        <v>418</v>
      </c>
      <c r="AN151" s="442"/>
      <c r="AO151" s="442"/>
      <c r="AP151" s="442"/>
      <c r="AQ151" s="442"/>
      <c r="AR151" s="442"/>
      <c r="AS151" s="442"/>
      <c r="AT151" s="442"/>
      <c r="AU151" s="442"/>
      <c r="AV151" s="442"/>
      <c r="AW151" s="442"/>
      <c r="AX151" s="442"/>
      <c r="AY151" s="442"/>
      <c r="AZ151" s="442"/>
      <c r="BA151" s="442"/>
      <c r="BB151" s="442"/>
      <c r="BC151" s="442"/>
      <c r="BD151" s="219"/>
    </row>
    <row r="152" spans="1:98" ht="19.5" customHeight="1" x14ac:dyDescent="0.2">
      <c r="B152" s="452"/>
      <c r="C152" s="452"/>
      <c r="D152" s="452"/>
      <c r="E152" s="452"/>
      <c r="F152" s="452"/>
      <c r="G152" s="452"/>
      <c r="H152" s="452"/>
      <c r="I152" s="452"/>
      <c r="J152" s="452"/>
      <c r="K152" s="452"/>
      <c r="L152" s="452"/>
      <c r="M152" s="452"/>
      <c r="N152" s="452"/>
      <c r="O152" s="452"/>
      <c r="P152" s="452"/>
      <c r="Q152" s="452"/>
      <c r="R152" s="452"/>
      <c r="S152" s="452"/>
      <c r="U152" s="164"/>
      <c r="V152" s="164"/>
      <c r="W152" s="164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M152" s="442"/>
      <c r="AN152" s="442"/>
      <c r="AO152" s="442"/>
      <c r="AP152" s="442"/>
      <c r="AQ152" s="442"/>
      <c r="AR152" s="442"/>
      <c r="AS152" s="442"/>
      <c r="AT152" s="442"/>
      <c r="AU152" s="442"/>
      <c r="AV152" s="442"/>
      <c r="AW152" s="442"/>
      <c r="AX152" s="442"/>
      <c r="AY152" s="442"/>
      <c r="AZ152" s="442"/>
      <c r="BA152" s="442"/>
      <c r="BB152" s="442"/>
      <c r="BC152" s="442"/>
      <c r="BD152" s="219"/>
      <c r="BE152" s="432"/>
      <c r="BF152" s="432"/>
      <c r="BG152" s="432"/>
      <c r="BH152" s="432"/>
      <c r="BI152" s="432"/>
      <c r="BJ152" s="432"/>
      <c r="BK152" s="432"/>
      <c r="BL152" s="432"/>
      <c r="BM152" s="432"/>
      <c r="BN152" s="432"/>
      <c r="BO152" s="432"/>
      <c r="BP152" s="432"/>
      <c r="BQ152" s="432"/>
      <c r="BR152" s="432"/>
      <c r="BS152" s="432"/>
      <c r="BT152" s="432"/>
      <c r="BU152" s="432"/>
      <c r="BV152" s="432"/>
      <c r="BW152" s="432"/>
      <c r="BX152" s="432"/>
      <c r="BY152" s="432"/>
      <c r="BZ152" s="432"/>
      <c r="CA152" s="432"/>
    </row>
    <row r="153" spans="1:98" ht="15.75" customHeight="1" x14ac:dyDescent="0.2">
      <c r="BE153" s="432"/>
      <c r="BF153" s="432"/>
      <c r="BG153" s="432"/>
      <c r="BH153" s="433"/>
      <c r="BI153" s="433"/>
      <c r="BJ153" s="433"/>
      <c r="BK153" s="433"/>
      <c r="BL153" s="433"/>
      <c r="BM153" s="311"/>
      <c r="BN153" s="311"/>
      <c r="BO153" s="311"/>
      <c r="BP153" s="311"/>
      <c r="BQ153" s="311"/>
      <c r="BR153" s="311"/>
      <c r="BS153" s="311"/>
      <c r="BT153" s="311"/>
    </row>
    <row r="154" spans="1:98" ht="12.75" x14ac:dyDescent="0.2">
      <c r="A154" s="219" t="s">
        <v>125</v>
      </c>
      <c r="B154" s="219"/>
      <c r="C154" s="219"/>
      <c r="D154" s="219"/>
    </row>
    <row r="155" spans="1:98" ht="12" hidden="1" x14ac:dyDescent="0.2">
      <c r="BE155" s="432" t="s">
        <v>545</v>
      </c>
      <c r="BF155" s="432"/>
      <c r="BG155" s="432"/>
      <c r="BH155" s="432"/>
      <c r="BI155" s="432"/>
      <c r="BJ155" s="432"/>
      <c r="BK155" s="432"/>
      <c r="BL155" s="432"/>
      <c r="BM155" s="432"/>
      <c r="BN155" s="432"/>
      <c r="BO155" s="432"/>
      <c r="BP155" s="432"/>
      <c r="BQ155" s="432"/>
      <c r="BR155" s="432"/>
      <c r="BS155" s="432"/>
      <c r="BT155" s="432"/>
      <c r="BU155" s="432"/>
      <c r="BV155" s="432"/>
      <c r="BW155" s="432"/>
      <c r="BX155" s="432"/>
      <c r="BY155" s="432"/>
      <c r="BZ155" s="432"/>
      <c r="CA155" s="432"/>
    </row>
    <row r="156" spans="1:98" ht="12" hidden="1" x14ac:dyDescent="0.2">
      <c r="BE156" s="432" t="s">
        <v>126</v>
      </c>
      <c r="BF156" s="432"/>
      <c r="BG156" s="432"/>
      <c r="BH156" s="433">
        <f>220*127</f>
        <v>27940</v>
      </c>
      <c r="BI156" s="433"/>
      <c r="BJ156" s="433"/>
      <c r="BK156" s="433"/>
      <c r="BL156" s="433"/>
      <c r="BM156" s="311" t="s">
        <v>127</v>
      </c>
      <c r="BN156" s="311"/>
      <c r="BO156" s="311"/>
      <c r="BP156" s="311"/>
      <c r="BQ156" s="311"/>
      <c r="BR156" s="311"/>
      <c r="BS156" s="311"/>
      <c r="BT156" s="311"/>
    </row>
    <row r="157" spans="1:98" ht="15" hidden="1" x14ac:dyDescent="0.25">
      <c r="BE157" s="434">
        <v>0.6</v>
      </c>
      <c r="BF157" s="432"/>
      <c r="BG157" s="432"/>
      <c r="BH157" s="216">
        <f>BH156*BE157</f>
        <v>16764</v>
      </c>
      <c r="BI157" s="432" t="s">
        <v>128</v>
      </c>
      <c r="BJ157" s="432"/>
      <c r="BK157" s="432"/>
      <c r="BL157" s="432"/>
      <c r="BM157" s="432"/>
      <c r="BN157" s="432" t="s">
        <v>129</v>
      </c>
      <c r="BO157" s="432"/>
      <c r="BP157" s="432"/>
      <c r="BQ157" s="432"/>
      <c r="BR157" s="432"/>
      <c r="BS157" s="432"/>
      <c r="BT157" s="432"/>
      <c r="CE157" s="432" t="s">
        <v>368</v>
      </c>
      <c r="CF157" s="443"/>
      <c r="CG157" s="443"/>
      <c r="CH157" s="443"/>
      <c r="CI157" s="443"/>
      <c r="CJ157" s="443"/>
      <c r="CM157" s="432" t="s">
        <v>366</v>
      </c>
      <c r="CN157" s="443"/>
      <c r="CO157" s="443"/>
      <c r="CP157" s="443"/>
      <c r="CQ157" s="443"/>
      <c r="CR157" s="443"/>
      <c r="CS157" s="443"/>
      <c r="CT157" s="443"/>
    </row>
    <row r="158" spans="1:98" ht="15" hidden="1" x14ac:dyDescent="0.25">
      <c r="BE158" s="432">
        <v>211</v>
      </c>
      <c r="BF158" s="432"/>
      <c r="BG158" s="432"/>
      <c r="BH158" s="216">
        <f>BH157-BH159</f>
        <v>12875.57603686636</v>
      </c>
      <c r="BI158" s="435">
        <f>BH158*0.2</f>
        <v>2575.1152073732719</v>
      </c>
      <c r="BJ158" s="435"/>
      <c r="BK158" s="435"/>
      <c r="BL158" s="435"/>
      <c r="BM158" s="435"/>
      <c r="BN158" s="436">
        <f>BH158-BI158</f>
        <v>10300.460829493088</v>
      </c>
      <c r="BO158" s="445"/>
      <c r="BP158" s="445"/>
      <c r="BQ158" s="445"/>
      <c r="BR158" s="445"/>
      <c r="BS158" s="445"/>
      <c r="BT158" s="445"/>
      <c r="CE158" s="437">
        <f>BI158*15/20</f>
        <v>1931.3364055299539</v>
      </c>
      <c r="CF158" s="446"/>
      <c r="CG158" s="446"/>
      <c r="CH158" s="446"/>
      <c r="CI158" s="446"/>
      <c r="CJ158" s="446"/>
      <c r="CM158" s="437">
        <f>BI158*5/20</f>
        <v>643.77880184331798</v>
      </c>
      <c r="CN158" s="446"/>
      <c r="CO158" s="446"/>
      <c r="CP158" s="446"/>
      <c r="CQ158" s="446"/>
      <c r="CR158" s="446"/>
      <c r="CS158" s="446"/>
      <c r="CT158" s="446"/>
    </row>
    <row r="159" spans="1:98" ht="12" hidden="1" x14ac:dyDescent="0.2">
      <c r="BE159" s="432">
        <v>213</v>
      </c>
      <c r="BF159" s="432"/>
      <c r="BG159" s="432"/>
      <c r="BH159" s="216">
        <f>BH157*30.2/130.2</f>
        <v>3888.4239631336409</v>
      </c>
      <c r="BI159" s="435">
        <f>BI158*30.2%</f>
        <v>777.68479262672804</v>
      </c>
      <c r="BJ159" s="435"/>
      <c r="BK159" s="435"/>
      <c r="BL159" s="435"/>
      <c r="BM159" s="435"/>
      <c r="BN159" s="435">
        <f>BN158*30.2%</f>
        <v>3110.7391705069122</v>
      </c>
      <c r="BO159" s="435"/>
      <c r="BP159" s="435"/>
      <c r="BQ159" s="435"/>
      <c r="BR159" s="435"/>
      <c r="BS159" s="435"/>
      <c r="BT159" s="435"/>
    </row>
    <row r="160" spans="1:98" ht="8.25" hidden="1" customHeight="1" x14ac:dyDescent="0.2"/>
    <row r="161" spans="57:98" ht="8.25" hidden="1" customHeight="1" x14ac:dyDescent="0.2"/>
    <row r="162" spans="57:98" ht="15" hidden="1" x14ac:dyDescent="0.25">
      <c r="CM162" s="438"/>
      <c r="CN162" s="1378"/>
      <c r="CO162" s="1378"/>
      <c r="CP162" s="1378"/>
      <c r="CQ162" s="1378"/>
      <c r="CR162" s="1378"/>
      <c r="CS162" s="1378"/>
      <c r="CT162" s="1378"/>
    </row>
    <row r="163" spans="57:98" ht="12" hidden="1" x14ac:dyDescent="0.2">
      <c r="BE163" s="432" t="s">
        <v>568</v>
      </c>
      <c r="BF163" s="432"/>
      <c r="BG163" s="432"/>
      <c r="BH163" s="432"/>
      <c r="BI163" s="432"/>
      <c r="BJ163" s="432"/>
      <c r="BK163" s="432"/>
      <c r="BL163" s="432"/>
      <c r="BM163" s="432"/>
      <c r="BN163" s="432"/>
      <c r="BO163" s="432"/>
      <c r="BP163" s="432"/>
      <c r="BQ163" s="432"/>
      <c r="BR163" s="432"/>
      <c r="BS163" s="432"/>
      <c r="BT163" s="432"/>
      <c r="BU163" s="432"/>
      <c r="BV163" s="432"/>
      <c r="BW163" s="432"/>
      <c r="BX163" s="432"/>
      <c r="BY163" s="432"/>
      <c r="BZ163" s="432"/>
      <c r="CA163" s="432"/>
    </row>
    <row r="164" spans="57:98" ht="12" hidden="1" x14ac:dyDescent="0.2">
      <c r="BE164" s="432" t="s">
        <v>126</v>
      </c>
      <c r="BF164" s="432"/>
      <c r="BG164" s="432"/>
      <c r="BH164" s="433">
        <f>220*135</f>
        <v>29700</v>
      </c>
      <c r="BI164" s="433"/>
      <c r="BJ164" s="433"/>
      <c r="BK164" s="433"/>
      <c r="BL164" s="433"/>
      <c r="BM164" s="324" t="s">
        <v>127</v>
      </c>
      <c r="BN164" s="324"/>
      <c r="BO164" s="324"/>
      <c r="BP164" s="324"/>
      <c r="BQ164" s="324"/>
      <c r="BR164" s="324"/>
      <c r="BS164" s="324"/>
      <c r="BT164" s="324"/>
    </row>
    <row r="165" spans="57:98" ht="15" hidden="1" x14ac:dyDescent="0.25">
      <c r="BE165" s="434">
        <v>0.6</v>
      </c>
      <c r="BF165" s="432"/>
      <c r="BG165" s="432"/>
      <c r="BH165" s="216">
        <f>BH164*BE165</f>
        <v>17820</v>
      </c>
      <c r="BI165" s="432" t="s">
        <v>128</v>
      </c>
      <c r="BJ165" s="432"/>
      <c r="BK165" s="432"/>
      <c r="BL165" s="432"/>
      <c r="BM165" s="432"/>
      <c r="BN165" s="432" t="s">
        <v>129</v>
      </c>
      <c r="BO165" s="432"/>
      <c r="BP165" s="432"/>
      <c r="BQ165" s="432"/>
      <c r="BR165" s="432"/>
      <c r="BS165" s="432"/>
      <c r="BT165" s="432"/>
      <c r="CE165" s="432" t="s">
        <v>368</v>
      </c>
      <c r="CF165" s="443"/>
      <c r="CG165" s="443"/>
      <c r="CH165" s="443"/>
      <c r="CI165" s="443"/>
      <c r="CJ165" s="443"/>
      <c r="CM165" s="432" t="s">
        <v>366</v>
      </c>
      <c r="CN165" s="443"/>
      <c r="CO165" s="443"/>
      <c r="CP165" s="443"/>
      <c r="CQ165" s="443"/>
      <c r="CR165" s="443"/>
      <c r="CS165" s="443"/>
      <c r="CT165" s="443"/>
    </row>
    <row r="166" spans="57:98" ht="15" hidden="1" x14ac:dyDescent="0.25">
      <c r="BE166" s="432">
        <v>211</v>
      </c>
      <c r="BF166" s="432"/>
      <c r="BG166" s="432"/>
      <c r="BH166" s="216">
        <f>BH165-BH167</f>
        <v>13686.635944700462</v>
      </c>
      <c r="BI166" s="435">
        <f>BH166*0.2</f>
        <v>2737.3271889400926</v>
      </c>
      <c r="BJ166" s="435"/>
      <c r="BK166" s="435"/>
      <c r="BL166" s="435"/>
      <c r="BM166" s="435"/>
      <c r="BN166" s="436">
        <f>BH166-BI166</f>
        <v>10949.308755760369</v>
      </c>
      <c r="BO166" s="445"/>
      <c r="BP166" s="445"/>
      <c r="BQ166" s="445"/>
      <c r="BR166" s="445"/>
      <c r="BS166" s="445"/>
      <c r="BT166" s="445"/>
      <c r="CE166" s="437">
        <f>BI166*15/20</f>
        <v>2052.9953917050693</v>
      </c>
      <c r="CF166" s="446"/>
      <c r="CG166" s="446"/>
      <c r="CH166" s="446"/>
      <c r="CI166" s="446"/>
      <c r="CJ166" s="446"/>
      <c r="CM166" s="437">
        <f>BI166*5/20</f>
        <v>684.33179723502315</v>
      </c>
      <c r="CN166" s="446"/>
      <c r="CO166" s="446"/>
      <c r="CP166" s="446"/>
      <c r="CQ166" s="446"/>
      <c r="CR166" s="446"/>
      <c r="CS166" s="446"/>
      <c r="CT166" s="446"/>
    </row>
    <row r="167" spans="57:98" ht="12" hidden="1" x14ac:dyDescent="0.2">
      <c r="BE167" s="432">
        <v>213</v>
      </c>
      <c r="BF167" s="432"/>
      <c r="BG167" s="432"/>
      <c r="BH167" s="216">
        <f>BH165*30.2/130.2</f>
        <v>4133.3640552995394</v>
      </c>
      <c r="BI167" s="435">
        <f>BI166*30.2%</f>
        <v>826.67281105990799</v>
      </c>
      <c r="BJ167" s="435"/>
      <c r="BK167" s="435"/>
      <c r="BL167" s="435"/>
      <c r="BM167" s="435"/>
      <c r="BN167" s="435">
        <f>BN166*30.2%</f>
        <v>3306.691244239631</v>
      </c>
      <c r="BO167" s="435"/>
      <c r="BP167" s="435"/>
      <c r="BQ167" s="435"/>
      <c r="BR167" s="435"/>
      <c r="BS167" s="435"/>
      <c r="BT167" s="435"/>
    </row>
    <row r="168" spans="57:98" ht="8.25" hidden="1" customHeight="1" x14ac:dyDescent="0.2"/>
    <row r="169" spans="57:98" ht="8.25" hidden="1" customHeight="1" x14ac:dyDescent="0.2"/>
    <row r="170" spans="57:98" ht="12" hidden="1" x14ac:dyDescent="0.2">
      <c r="BE170" s="432" t="s">
        <v>583</v>
      </c>
      <c r="BF170" s="432"/>
      <c r="BG170" s="432"/>
      <c r="BH170" s="432"/>
      <c r="BI170" s="432"/>
      <c r="BJ170" s="432"/>
      <c r="BK170" s="432"/>
      <c r="BL170" s="432"/>
      <c r="BM170" s="432"/>
      <c r="BN170" s="432"/>
      <c r="BO170" s="432"/>
      <c r="BP170" s="432"/>
      <c r="BQ170" s="432"/>
      <c r="BR170" s="432"/>
      <c r="BS170" s="432"/>
      <c r="BT170" s="432"/>
      <c r="BU170" s="432"/>
      <c r="BV170" s="432"/>
      <c r="BW170" s="432"/>
      <c r="BX170" s="432"/>
      <c r="BY170" s="432"/>
      <c r="BZ170" s="432"/>
      <c r="CA170" s="432"/>
    </row>
    <row r="171" spans="57:98" ht="12" hidden="1" x14ac:dyDescent="0.2">
      <c r="BE171" s="432" t="s">
        <v>126</v>
      </c>
      <c r="BF171" s="432"/>
      <c r="BG171" s="432"/>
      <c r="BH171" s="433">
        <f>220*211</f>
        <v>46420</v>
      </c>
      <c r="BI171" s="433"/>
      <c r="BJ171" s="433"/>
      <c r="BK171" s="433"/>
      <c r="BL171" s="433"/>
      <c r="BM171" s="340" t="s">
        <v>127</v>
      </c>
      <c r="BN171" s="340"/>
      <c r="BO171" s="340"/>
      <c r="BP171" s="340"/>
      <c r="BQ171" s="340"/>
      <c r="BR171" s="340"/>
      <c r="BS171" s="340"/>
      <c r="BT171" s="340"/>
    </row>
    <row r="172" spans="57:98" ht="15" hidden="1" x14ac:dyDescent="0.25">
      <c r="BE172" s="434">
        <v>0.6</v>
      </c>
      <c r="BF172" s="432"/>
      <c r="BG172" s="432"/>
      <c r="BH172" s="216">
        <f>BH171*BE172</f>
        <v>27852</v>
      </c>
      <c r="BI172" s="432" t="s">
        <v>128</v>
      </c>
      <c r="BJ172" s="432"/>
      <c r="BK172" s="432"/>
      <c r="BL172" s="432"/>
      <c r="BM172" s="432"/>
      <c r="BN172" s="432" t="s">
        <v>129</v>
      </c>
      <c r="BO172" s="432"/>
      <c r="BP172" s="432"/>
      <c r="BQ172" s="432"/>
      <c r="BR172" s="432"/>
      <c r="BS172" s="432"/>
      <c r="BT172" s="432"/>
      <c r="CE172" s="432" t="s">
        <v>368</v>
      </c>
      <c r="CF172" s="443"/>
      <c r="CG172" s="443"/>
      <c r="CH172" s="443"/>
      <c r="CI172" s="443"/>
      <c r="CJ172" s="443"/>
      <c r="CM172" s="432" t="s">
        <v>366</v>
      </c>
      <c r="CN172" s="443"/>
      <c r="CO172" s="443"/>
      <c r="CP172" s="443"/>
      <c r="CQ172" s="443"/>
      <c r="CR172" s="443"/>
      <c r="CS172" s="443"/>
      <c r="CT172" s="443"/>
    </row>
    <row r="173" spans="57:98" ht="15" hidden="1" x14ac:dyDescent="0.25">
      <c r="BE173" s="432">
        <v>211</v>
      </c>
      <c r="BF173" s="432"/>
      <c r="BG173" s="432"/>
      <c r="BH173" s="216">
        <f>BH172-BH174</f>
        <v>21391.705069124422</v>
      </c>
      <c r="BI173" s="435">
        <f>BH173*0.2</f>
        <v>4278.3410138248846</v>
      </c>
      <c r="BJ173" s="435"/>
      <c r="BK173" s="435"/>
      <c r="BL173" s="435"/>
      <c r="BM173" s="435"/>
      <c r="BN173" s="436">
        <f>BH173-BI173</f>
        <v>17113.364055299538</v>
      </c>
      <c r="BO173" s="445"/>
      <c r="BP173" s="445"/>
      <c r="BQ173" s="445"/>
      <c r="BR173" s="445"/>
      <c r="BS173" s="445"/>
      <c r="BT173" s="445"/>
      <c r="CE173" s="437">
        <f>BI173*15/20</f>
        <v>3208.7557603686632</v>
      </c>
      <c r="CF173" s="446"/>
      <c r="CG173" s="446"/>
      <c r="CH173" s="446"/>
      <c r="CI173" s="446"/>
      <c r="CJ173" s="446"/>
      <c r="CM173" s="437">
        <f>BI173*5/20</f>
        <v>1069.5852534562212</v>
      </c>
      <c r="CN173" s="446"/>
      <c r="CO173" s="446"/>
      <c r="CP173" s="446"/>
      <c r="CQ173" s="446"/>
      <c r="CR173" s="446"/>
      <c r="CS173" s="446"/>
      <c r="CT173" s="446"/>
    </row>
    <row r="174" spans="57:98" ht="12" hidden="1" x14ac:dyDescent="0.2">
      <c r="BE174" s="432">
        <v>213</v>
      </c>
      <c r="BF174" s="432"/>
      <c r="BG174" s="432"/>
      <c r="BH174" s="216">
        <f>BH172*30.2/130.2</f>
        <v>6460.2949308755769</v>
      </c>
      <c r="BI174" s="435">
        <f>BI173*30.2%</f>
        <v>1292.058986175115</v>
      </c>
      <c r="BJ174" s="435"/>
      <c r="BK174" s="435"/>
      <c r="BL174" s="435"/>
      <c r="BM174" s="435"/>
      <c r="BN174" s="435">
        <f>BN173*30.2%</f>
        <v>5168.2359447004601</v>
      </c>
      <c r="BO174" s="435"/>
      <c r="BP174" s="435"/>
      <c r="BQ174" s="435"/>
      <c r="BR174" s="435"/>
      <c r="BS174" s="435"/>
      <c r="BT174" s="435"/>
    </row>
    <row r="175" spans="57:98" ht="18.75" hidden="1" customHeight="1" x14ac:dyDescent="0.2">
      <c r="BH175" s="236"/>
    </row>
    <row r="176" spans="57:98" ht="12" hidden="1" x14ac:dyDescent="0.2"/>
    <row r="177" spans="57:98" ht="12" hidden="1" x14ac:dyDescent="0.2">
      <c r="BE177" s="432" t="s">
        <v>603</v>
      </c>
      <c r="BF177" s="432"/>
      <c r="BG177" s="432"/>
      <c r="BH177" s="432"/>
      <c r="BI177" s="432"/>
      <c r="BJ177" s="432"/>
      <c r="BK177" s="432"/>
      <c r="BL177" s="432"/>
      <c r="BM177" s="432"/>
      <c r="BN177" s="432"/>
      <c r="BO177" s="432"/>
      <c r="BP177" s="432"/>
      <c r="BQ177" s="432"/>
      <c r="BR177" s="432"/>
      <c r="BS177" s="432"/>
      <c r="BT177" s="432"/>
      <c r="BU177" s="432"/>
      <c r="BV177" s="432"/>
      <c r="BW177" s="432"/>
      <c r="BX177" s="432"/>
      <c r="BY177" s="432"/>
      <c r="BZ177" s="432"/>
      <c r="CA177" s="432"/>
    </row>
    <row r="178" spans="57:98" ht="12" hidden="1" x14ac:dyDescent="0.2">
      <c r="BE178" s="432" t="s">
        <v>126</v>
      </c>
      <c r="BF178" s="432"/>
      <c r="BG178" s="432"/>
      <c r="BH178" s="433">
        <f>220*157</f>
        <v>34540</v>
      </c>
      <c r="BI178" s="433"/>
      <c r="BJ178" s="433"/>
      <c r="BK178" s="433"/>
      <c r="BL178" s="433"/>
      <c r="BM178" s="348" t="s">
        <v>127</v>
      </c>
      <c r="BN178" s="348"/>
      <c r="BO178" s="348"/>
      <c r="BP178" s="348"/>
      <c r="BQ178" s="348"/>
      <c r="BR178" s="348"/>
      <c r="BS178" s="348"/>
      <c r="BT178" s="348"/>
    </row>
    <row r="179" spans="57:98" ht="15" hidden="1" x14ac:dyDescent="0.25">
      <c r="BE179" s="434">
        <v>0.6</v>
      </c>
      <c r="BF179" s="432"/>
      <c r="BG179" s="432"/>
      <c r="BH179" s="216">
        <f>BH178*BE179</f>
        <v>20724</v>
      </c>
      <c r="BI179" s="432" t="s">
        <v>128</v>
      </c>
      <c r="BJ179" s="432"/>
      <c r="BK179" s="432"/>
      <c r="BL179" s="432"/>
      <c r="BM179" s="432"/>
      <c r="BN179" s="432" t="s">
        <v>129</v>
      </c>
      <c r="BO179" s="432"/>
      <c r="BP179" s="432"/>
      <c r="BQ179" s="432"/>
      <c r="BR179" s="432"/>
      <c r="BS179" s="432"/>
      <c r="BT179" s="432"/>
      <c r="CE179" s="432" t="s">
        <v>368</v>
      </c>
      <c r="CF179" s="443"/>
      <c r="CG179" s="443"/>
      <c r="CH179" s="443"/>
      <c r="CI179" s="443"/>
      <c r="CJ179" s="443"/>
      <c r="CM179" s="432" t="s">
        <v>366</v>
      </c>
      <c r="CN179" s="443"/>
      <c r="CO179" s="443"/>
      <c r="CP179" s="443"/>
      <c r="CQ179" s="443"/>
      <c r="CR179" s="443"/>
      <c r="CS179" s="443"/>
      <c r="CT179" s="443"/>
    </row>
    <row r="180" spans="57:98" ht="15" hidden="1" x14ac:dyDescent="0.25">
      <c r="BE180" s="432">
        <v>211</v>
      </c>
      <c r="BF180" s="432"/>
      <c r="BG180" s="432"/>
      <c r="BH180" s="216">
        <f>BH179-BH181</f>
        <v>15917.05069124424</v>
      </c>
      <c r="BI180" s="435">
        <f>BH180*0.2</f>
        <v>3183.4101382488479</v>
      </c>
      <c r="BJ180" s="435"/>
      <c r="BK180" s="435"/>
      <c r="BL180" s="435"/>
      <c r="BM180" s="435"/>
      <c r="BN180" s="436">
        <f>BH180-BI180</f>
        <v>12733.640552995392</v>
      </c>
      <c r="BO180" s="445"/>
      <c r="BP180" s="445"/>
      <c r="BQ180" s="445"/>
      <c r="BR180" s="445"/>
      <c r="BS180" s="445"/>
      <c r="BT180" s="445"/>
      <c r="CE180" s="437">
        <f>BI180*15/20</f>
        <v>2387.557603686636</v>
      </c>
      <c r="CF180" s="446"/>
      <c r="CG180" s="446"/>
      <c r="CH180" s="446"/>
      <c r="CI180" s="446"/>
      <c r="CJ180" s="446"/>
      <c r="CM180" s="437">
        <f>BI180*5/20</f>
        <v>795.85253456221199</v>
      </c>
      <c r="CN180" s="446"/>
      <c r="CO180" s="446"/>
      <c r="CP180" s="446"/>
      <c r="CQ180" s="446"/>
      <c r="CR180" s="446"/>
      <c r="CS180" s="446"/>
      <c r="CT180" s="446"/>
    </row>
    <row r="181" spans="57:98" ht="12" hidden="1" x14ac:dyDescent="0.2">
      <c r="BE181" s="432">
        <v>213</v>
      </c>
      <c r="BF181" s="432"/>
      <c r="BG181" s="432"/>
      <c r="BH181" s="216">
        <f>BH179*30.2/130.2</f>
        <v>4806.9493087557603</v>
      </c>
      <c r="BI181" s="435">
        <f>BI180*30.2%</f>
        <v>961.38986175115201</v>
      </c>
      <c r="BJ181" s="435"/>
      <c r="BK181" s="435"/>
      <c r="BL181" s="435"/>
      <c r="BM181" s="435"/>
      <c r="BN181" s="435">
        <f>BN180*30.2%</f>
        <v>3845.559447004608</v>
      </c>
      <c r="BO181" s="435"/>
      <c r="BP181" s="435"/>
      <c r="BQ181" s="435"/>
      <c r="BR181" s="435"/>
      <c r="BS181" s="435"/>
      <c r="BT181" s="435"/>
    </row>
    <row r="182" spans="57:98" ht="8.25" hidden="1" customHeight="1" x14ac:dyDescent="0.2"/>
    <row r="183" spans="57:98" ht="8.25" hidden="1" customHeight="1" x14ac:dyDescent="0.2"/>
    <row r="184" spans="57:98" ht="8.25" hidden="1" customHeight="1" x14ac:dyDescent="0.2"/>
    <row r="185" spans="57:98" ht="12" hidden="1" x14ac:dyDescent="0.2">
      <c r="BE185" s="432" t="s">
        <v>636</v>
      </c>
      <c r="BF185" s="432"/>
      <c r="BG185" s="432"/>
      <c r="BH185" s="432"/>
      <c r="BI185" s="432"/>
      <c r="BJ185" s="432"/>
      <c r="BK185" s="432"/>
      <c r="BL185" s="432"/>
      <c r="BM185" s="432"/>
      <c r="BN185" s="432"/>
      <c r="BO185" s="432"/>
      <c r="BP185" s="432"/>
      <c r="BQ185" s="432"/>
      <c r="BR185" s="432"/>
      <c r="BS185" s="432"/>
      <c r="BT185" s="432"/>
      <c r="BU185" s="432"/>
      <c r="BV185" s="432"/>
      <c r="BW185" s="432"/>
      <c r="BX185" s="432"/>
      <c r="BY185" s="432"/>
      <c r="BZ185" s="432"/>
      <c r="CA185" s="432"/>
    </row>
    <row r="186" spans="57:98" ht="12" hidden="1" x14ac:dyDescent="0.2">
      <c r="BE186" s="432" t="s">
        <v>126</v>
      </c>
      <c r="BF186" s="432"/>
      <c r="BG186" s="432"/>
      <c r="BH186" s="433">
        <f>220*194</f>
        <v>42680</v>
      </c>
      <c r="BI186" s="433"/>
      <c r="BJ186" s="433"/>
      <c r="BK186" s="433"/>
      <c r="BL186" s="433"/>
      <c r="BM186" s="382" t="s">
        <v>127</v>
      </c>
      <c r="BN186" s="382"/>
      <c r="BO186" s="382"/>
      <c r="BP186" s="382"/>
      <c r="BQ186" s="382"/>
      <c r="BR186" s="382"/>
      <c r="BS186" s="382"/>
      <c r="BT186" s="382"/>
    </row>
    <row r="187" spans="57:98" ht="15" hidden="1" x14ac:dyDescent="0.25">
      <c r="BE187" s="434">
        <v>0.6</v>
      </c>
      <c r="BF187" s="432"/>
      <c r="BG187" s="432"/>
      <c r="BH187" s="216">
        <f>BH186*BE187</f>
        <v>25608</v>
      </c>
      <c r="BI187" s="432" t="s">
        <v>128</v>
      </c>
      <c r="BJ187" s="432"/>
      <c r="BK187" s="432"/>
      <c r="BL187" s="432"/>
      <c r="BM187" s="432"/>
      <c r="BN187" s="432" t="s">
        <v>129</v>
      </c>
      <c r="BO187" s="432"/>
      <c r="BP187" s="432"/>
      <c r="BQ187" s="432"/>
      <c r="BR187" s="432"/>
      <c r="BS187" s="432"/>
      <c r="BT187" s="432"/>
      <c r="CE187" s="432" t="s">
        <v>368</v>
      </c>
      <c r="CF187" s="443"/>
      <c r="CG187" s="443"/>
      <c r="CH187" s="443"/>
      <c r="CI187" s="443"/>
      <c r="CJ187" s="443"/>
      <c r="CM187" s="432" t="s">
        <v>366</v>
      </c>
      <c r="CN187" s="443"/>
      <c r="CO187" s="443"/>
      <c r="CP187" s="443"/>
      <c r="CQ187" s="443"/>
      <c r="CR187" s="443"/>
      <c r="CS187" s="443"/>
      <c r="CT187" s="443"/>
    </row>
    <row r="188" spans="57:98" ht="15" hidden="1" x14ac:dyDescent="0.25">
      <c r="BE188" s="432">
        <v>211</v>
      </c>
      <c r="BF188" s="432"/>
      <c r="BG188" s="432"/>
      <c r="BH188" s="216">
        <f>BH187-BH189</f>
        <v>19668.202764976959</v>
      </c>
      <c r="BI188" s="435">
        <f>BH188*0.2</f>
        <v>3933.6405529953918</v>
      </c>
      <c r="BJ188" s="435"/>
      <c r="BK188" s="435"/>
      <c r="BL188" s="435"/>
      <c r="BM188" s="435"/>
      <c r="BN188" s="436">
        <f>BH188-BI188</f>
        <v>15734.562211981567</v>
      </c>
      <c r="BO188" s="445"/>
      <c r="BP188" s="445"/>
      <c r="BQ188" s="445"/>
      <c r="BR188" s="445"/>
      <c r="BS188" s="445"/>
      <c r="BT188" s="445"/>
      <c r="CE188" s="437">
        <f>BI188*15/20</f>
        <v>2950.2304147465438</v>
      </c>
      <c r="CF188" s="446"/>
      <c r="CG188" s="446"/>
      <c r="CH188" s="446"/>
      <c r="CI188" s="446"/>
      <c r="CJ188" s="446"/>
      <c r="CM188" s="437">
        <f>BI188*5/20</f>
        <v>983.41013824884794</v>
      </c>
      <c r="CN188" s="446"/>
      <c r="CO188" s="446"/>
      <c r="CP188" s="446"/>
      <c r="CQ188" s="446"/>
      <c r="CR188" s="446"/>
      <c r="CS188" s="446"/>
      <c r="CT188" s="446"/>
    </row>
    <row r="189" spans="57:98" ht="12" hidden="1" x14ac:dyDescent="0.2">
      <c r="BE189" s="432">
        <v>213</v>
      </c>
      <c r="BF189" s="432"/>
      <c r="BG189" s="432"/>
      <c r="BH189" s="216">
        <f>BH187*30.2/130.2</f>
        <v>5939.797235023042</v>
      </c>
      <c r="BI189" s="435">
        <f>BI188*30.2%</f>
        <v>1187.9594470046084</v>
      </c>
      <c r="BJ189" s="435"/>
      <c r="BK189" s="435"/>
      <c r="BL189" s="435"/>
      <c r="BM189" s="435"/>
      <c r="BN189" s="435">
        <f>BN188*30.2%</f>
        <v>4751.8377880184335</v>
      </c>
      <c r="BO189" s="435"/>
      <c r="BP189" s="435"/>
      <c r="BQ189" s="435"/>
      <c r="BR189" s="435"/>
      <c r="BS189" s="435"/>
      <c r="BT189" s="435"/>
    </row>
    <row r="190" spans="57:98" ht="8.25" hidden="1" customHeight="1" x14ac:dyDescent="0.2"/>
    <row r="191" spans="57:98" ht="8.25" hidden="1" customHeight="1" x14ac:dyDescent="0.2"/>
    <row r="192" spans="57:98" ht="8.25" hidden="1" customHeight="1" x14ac:dyDescent="0.2"/>
    <row r="193" spans="57:98" ht="12" hidden="1" x14ac:dyDescent="0.2">
      <c r="BE193" s="432" t="s">
        <v>647</v>
      </c>
      <c r="BF193" s="432"/>
      <c r="BG193" s="432"/>
      <c r="BH193" s="432"/>
      <c r="BI193" s="432"/>
      <c r="BJ193" s="432"/>
      <c r="BK193" s="432"/>
      <c r="BL193" s="432"/>
      <c r="BM193" s="432"/>
      <c r="BN193" s="432"/>
      <c r="BO193" s="432"/>
      <c r="BP193" s="432"/>
      <c r="BQ193" s="432"/>
      <c r="BR193" s="432"/>
      <c r="BS193" s="432"/>
      <c r="BT193" s="432"/>
      <c r="BU193" s="432"/>
      <c r="BV193" s="432"/>
      <c r="BW193" s="432"/>
      <c r="BX193" s="432"/>
      <c r="BY193" s="432"/>
      <c r="BZ193" s="432"/>
      <c r="CA193" s="432"/>
    </row>
    <row r="194" spans="57:98" ht="12" hidden="1" x14ac:dyDescent="0.2">
      <c r="BE194" s="432" t="s">
        <v>126</v>
      </c>
      <c r="BF194" s="432"/>
      <c r="BG194" s="432"/>
      <c r="BH194" s="433">
        <f>220*147</f>
        <v>32340</v>
      </c>
      <c r="BI194" s="433"/>
      <c r="BJ194" s="433"/>
      <c r="BK194" s="433"/>
      <c r="BL194" s="433"/>
      <c r="BM194" s="385" t="s">
        <v>127</v>
      </c>
      <c r="BN194" s="385"/>
      <c r="BO194" s="385"/>
      <c r="BP194" s="385"/>
      <c r="BQ194" s="385"/>
      <c r="BR194" s="385"/>
      <c r="BS194" s="385"/>
      <c r="BT194" s="385"/>
    </row>
    <row r="195" spans="57:98" ht="15" hidden="1" x14ac:dyDescent="0.25">
      <c r="BE195" s="434">
        <v>0.6</v>
      </c>
      <c r="BF195" s="432"/>
      <c r="BG195" s="432"/>
      <c r="BH195" s="216">
        <f>BH194*BE195</f>
        <v>19404</v>
      </c>
      <c r="BI195" s="432" t="s">
        <v>128</v>
      </c>
      <c r="BJ195" s="432"/>
      <c r="BK195" s="432"/>
      <c r="BL195" s="432"/>
      <c r="BM195" s="432"/>
      <c r="BN195" s="432" t="s">
        <v>129</v>
      </c>
      <c r="BO195" s="432"/>
      <c r="BP195" s="432"/>
      <c r="BQ195" s="432"/>
      <c r="BR195" s="432"/>
      <c r="BS195" s="432"/>
      <c r="BT195" s="432"/>
      <c r="CE195" s="432" t="s">
        <v>368</v>
      </c>
      <c r="CF195" s="443"/>
      <c r="CG195" s="443"/>
      <c r="CH195" s="443"/>
      <c r="CI195" s="443"/>
      <c r="CJ195" s="443"/>
      <c r="CM195" s="432" t="s">
        <v>366</v>
      </c>
      <c r="CN195" s="443"/>
      <c r="CO195" s="443"/>
      <c r="CP195" s="443"/>
      <c r="CQ195" s="443"/>
      <c r="CR195" s="443"/>
      <c r="CS195" s="443"/>
      <c r="CT195" s="443"/>
    </row>
    <row r="196" spans="57:98" ht="15" hidden="1" x14ac:dyDescent="0.25">
      <c r="BE196" s="432">
        <v>211</v>
      </c>
      <c r="BF196" s="432"/>
      <c r="BG196" s="432"/>
      <c r="BH196" s="216">
        <f>BH195-BH197</f>
        <v>14903.225806451614</v>
      </c>
      <c r="BI196" s="435">
        <f>BH196*0.2</f>
        <v>2980.6451612903229</v>
      </c>
      <c r="BJ196" s="435"/>
      <c r="BK196" s="435"/>
      <c r="BL196" s="435"/>
      <c r="BM196" s="435"/>
      <c r="BN196" s="436">
        <f>BH196-BI196</f>
        <v>11922.580645161292</v>
      </c>
      <c r="BO196" s="445"/>
      <c r="BP196" s="445"/>
      <c r="BQ196" s="445"/>
      <c r="BR196" s="445"/>
      <c r="BS196" s="445"/>
      <c r="BT196" s="445"/>
      <c r="CE196" s="437">
        <f>BI196*15/20</f>
        <v>2235.483870967742</v>
      </c>
      <c r="CF196" s="446"/>
      <c r="CG196" s="446"/>
      <c r="CH196" s="446"/>
      <c r="CI196" s="446"/>
      <c r="CJ196" s="446"/>
      <c r="CM196" s="437">
        <f>BI196*5/20</f>
        <v>745.16129032258073</v>
      </c>
      <c r="CN196" s="446"/>
      <c r="CO196" s="446"/>
      <c r="CP196" s="446"/>
      <c r="CQ196" s="446"/>
      <c r="CR196" s="446"/>
      <c r="CS196" s="446"/>
      <c r="CT196" s="446"/>
    </row>
    <row r="197" spans="57:98" ht="12" hidden="1" x14ac:dyDescent="0.2">
      <c r="BE197" s="432">
        <v>213</v>
      </c>
      <c r="BF197" s="432"/>
      <c r="BG197" s="432"/>
      <c r="BH197" s="216">
        <f>BH195*30.2/130.2</f>
        <v>4500.7741935483873</v>
      </c>
      <c r="BI197" s="435">
        <f>BI196*30.2%</f>
        <v>900.15483870967751</v>
      </c>
      <c r="BJ197" s="435"/>
      <c r="BK197" s="435"/>
      <c r="BL197" s="435"/>
      <c r="BM197" s="435"/>
      <c r="BN197" s="435">
        <f>BN196*30.2%</f>
        <v>3600.61935483871</v>
      </c>
      <c r="BO197" s="435"/>
      <c r="BP197" s="435"/>
      <c r="BQ197" s="435"/>
      <c r="BR197" s="435"/>
      <c r="BS197" s="435"/>
      <c r="BT197" s="435"/>
    </row>
    <row r="198" spans="57:98" ht="8.25" hidden="1" customHeight="1" x14ac:dyDescent="0.2"/>
    <row r="201" spans="57:98" ht="12" x14ac:dyDescent="0.2">
      <c r="BE201" s="432" t="s">
        <v>689</v>
      </c>
      <c r="BF201" s="432"/>
      <c r="BG201" s="432"/>
      <c r="BH201" s="432"/>
      <c r="BI201" s="432"/>
      <c r="BJ201" s="432"/>
      <c r="BK201" s="432"/>
      <c r="BL201" s="432"/>
      <c r="BM201" s="432"/>
      <c r="BN201" s="432"/>
      <c r="BO201" s="432"/>
      <c r="BP201" s="432"/>
      <c r="BQ201" s="432"/>
      <c r="BR201" s="432"/>
      <c r="BS201" s="432"/>
      <c r="BT201" s="432"/>
      <c r="BU201" s="432"/>
      <c r="BV201" s="432"/>
      <c r="BW201" s="432"/>
      <c r="BX201" s="432"/>
      <c r="BY201" s="432"/>
      <c r="BZ201" s="432"/>
      <c r="CA201" s="432"/>
    </row>
    <row r="202" spans="57:98" ht="12" x14ac:dyDescent="0.2">
      <c r="BE202" s="432" t="s">
        <v>126</v>
      </c>
      <c r="BF202" s="432"/>
      <c r="BG202" s="432"/>
      <c r="BH202" s="433">
        <f>250*53</f>
        <v>13250</v>
      </c>
      <c r="BI202" s="433"/>
      <c r="BJ202" s="433"/>
      <c r="BK202" s="433"/>
      <c r="BL202" s="433"/>
      <c r="BM202" s="398" t="s">
        <v>127</v>
      </c>
      <c r="BN202" s="398"/>
      <c r="BO202" s="398"/>
      <c r="BP202" s="398"/>
      <c r="BQ202" s="398"/>
      <c r="BR202" s="398"/>
      <c r="BS202" s="398"/>
      <c r="BT202" s="398"/>
    </row>
    <row r="203" spans="57:98" ht="15" x14ac:dyDescent="0.25">
      <c r="BE203" s="434">
        <v>0.6</v>
      </c>
      <c r="BF203" s="432"/>
      <c r="BG203" s="432"/>
      <c r="BH203" s="216">
        <f>BH202*BE203</f>
        <v>7950</v>
      </c>
      <c r="BI203" s="432" t="s">
        <v>128</v>
      </c>
      <c r="BJ203" s="432"/>
      <c r="BK203" s="432"/>
      <c r="BL203" s="432"/>
      <c r="BM203" s="432"/>
      <c r="BN203" s="432" t="s">
        <v>129</v>
      </c>
      <c r="BO203" s="432"/>
      <c r="BP203" s="432"/>
      <c r="BQ203" s="432"/>
      <c r="BR203" s="432"/>
      <c r="BS203" s="432"/>
      <c r="BT203" s="432"/>
      <c r="CE203" s="432" t="s">
        <v>368</v>
      </c>
      <c r="CF203" s="443"/>
      <c r="CG203" s="443"/>
      <c r="CH203" s="443"/>
      <c r="CI203" s="443"/>
      <c r="CJ203" s="443"/>
      <c r="CM203" s="432" t="s">
        <v>366</v>
      </c>
      <c r="CN203" s="443"/>
      <c r="CO203" s="443"/>
      <c r="CP203" s="443"/>
      <c r="CQ203" s="443"/>
      <c r="CR203" s="443"/>
      <c r="CS203" s="443"/>
      <c r="CT203" s="443"/>
    </row>
    <row r="204" spans="57:98" ht="15" x14ac:dyDescent="0.25">
      <c r="BE204" s="432">
        <v>211</v>
      </c>
      <c r="BF204" s="432"/>
      <c r="BG204" s="432"/>
      <c r="BH204" s="216">
        <f>BH203-BH205</f>
        <v>6105.9907834101377</v>
      </c>
      <c r="BI204" s="435">
        <f>BH204*0.2</f>
        <v>1221.1981566820275</v>
      </c>
      <c r="BJ204" s="435"/>
      <c r="BK204" s="435"/>
      <c r="BL204" s="435"/>
      <c r="BM204" s="435"/>
      <c r="BN204" s="436">
        <f>BH204-BI204</f>
        <v>4884.79262672811</v>
      </c>
      <c r="BO204" s="445"/>
      <c r="BP204" s="445"/>
      <c r="BQ204" s="445"/>
      <c r="BR204" s="445"/>
      <c r="BS204" s="445"/>
      <c r="BT204" s="445"/>
      <c r="CE204" s="437">
        <f>BI204*15/20</f>
        <v>915.89861751152057</v>
      </c>
      <c r="CF204" s="446"/>
      <c r="CG204" s="446"/>
      <c r="CH204" s="446"/>
      <c r="CI204" s="446"/>
      <c r="CJ204" s="446"/>
      <c r="CM204" s="437">
        <f>BI204*5/20</f>
        <v>305.29953917050688</v>
      </c>
      <c r="CN204" s="446"/>
      <c r="CO204" s="446"/>
      <c r="CP204" s="446"/>
      <c r="CQ204" s="446"/>
      <c r="CR204" s="446"/>
      <c r="CS204" s="446"/>
      <c r="CT204" s="446"/>
    </row>
    <row r="205" spans="57:98" ht="12" x14ac:dyDescent="0.2">
      <c r="BE205" s="432">
        <v>213</v>
      </c>
      <c r="BF205" s="432"/>
      <c r="BG205" s="432"/>
      <c r="BH205" s="216">
        <f>BH203*30.2/130.2</f>
        <v>1844.0092165898618</v>
      </c>
      <c r="BI205" s="435">
        <f>BI204*30.2%</f>
        <v>368.80184331797227</v>
      </c>
      <c r="BJ205" s="435"/>
      <c r="BK205" s="435"/>
      <c r="BL205" s="435"/>
      <c r="BM205" s="435"/>
      <c r="BN205" s="435">
        <f>BN204*30.2%</f>
        <v>1475.2073732718891</v>
      </c>
      <c r="BO205" s="435"/>
      <c r="BP205" s="435"/>
      <c r="BQ205" s="435"/>
      <c r="BR205" s="435"/>
      <c r="BS205" s="435"/>
      <c r="BT205" s="435"/>
    </row>
  </sheetData>
  <mergeCells count="516">
    <mergeCell ref="CE187:CJ187"/>
    <mergeCell ref="CM187:CT187"/>
    <mergeCell ref="BE188:BG188"/>
    <mergeCell ref="BI188:BM188"/>
    <mergeCell ref="BN188:BT188"/>
    <mergeCell ref="CE188:CJ188"/>
    <mergeCell ref="CM188:CT188"/>
    <mergeCell ref="BI172:BM172"/>
    <mergeCell ref="BN172:BT172"/>
    <mergeCell ref="CE179:CJ179"/>
    <mergeCell ref="CM179:CT179"/>
    <mergeCell ref="BE180:BG180"/>
    <mergeCell ref="BI180:BM180"/>
    <mergeCell ref="BN180:BT180"/>
    <mergeCell ref="CE180:CJ180"/>
    <mergeCell ref="CM180:CT180"/>
    <mergeCell ref="BE174:BG174"/>
    <mergeCell ref="BI174:BM174"/>
    <mergeCell ref="BN174:BT174"/>
    <mergeCell ref="BE181:BG181"/>
    <mergeCell ref="BI181:BM181"/>
    <mergeCell ref="BN181:BT181"/>
    <mergeCell ref="BE177:CA177"/>
    <mergeCell ref="BE178:BG178"/>
    <mergeCell ref="AV5:BC5"/>
    <mergeCell ref="A7:BA7"/>
    <mergeCell ref="A8:BA8"/>
    <mergeCell ref="C10:E10"/>
    <mergeCell ref="G10:L10"/>
    <mergeCell ref="N10:Q10"/>
    <mergeCell ref="U10:AG10"/>
    <mergeCell ref="AH10:AI10"/>
    <mergeCell ref="AJ10:AL10"/>
    <mergeCell ref="AN10:AT10"/>
    <mergeCell ref="AX20:BB22"/>
    <mergeCell ref="AV10:AY10"/>
    <mergeCell ref="A12:S12"/>
    <mergeCell ref="U12:W12"/>
    <mergeCell ref="A14:S14"/>
    <mergeCell ref="U14:W14"/>
    <mergeCell ref="A16:S16"/>
    <mergeCell ref="U16:W16"/>
    <mergeCell ref="Y16:AA16"/>
    <mergeCell ref="AX19:BB19"/>
    <mergeCell ref="A20:G22"/>
    <mergeCell ref="H20:AB22"/>
    <mergeCell ref="AC20:AG22"/>
    <mergeCell ref="AH20:AM22"/>
    <mergeCell ref="AN20:AR22"/>
    <mergeCell ref="AS20:AW22"/>
    <mergeCell ref="H34:M34"/>
    <mergeCell ref="AS34:AW34"/>
    <mergeCell ref="AX34:BB34"/>
    <mergeCell ref="AO35:AR35"/>
    <mergeCell ref="AS35:AW35"/>
    <mergeCell ref="AX35:BB35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H51:K51"/>
    <mergeCell ref="AS51:AW51"/>
    <mergeCell ref="AX51:BB51"/>
    <mergeCell ref="AO52:AR52"/>
    <mergeCell ref="AS52:AW52"/>
    <mergeCell ref="AX52:BB52"/>
    <mergeCell ref="AX37:BB39"/>
    <mergeCell ref="A40:BB4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37:G39"/>
    <mergeCell ref="H37:AB39"/>
    <mergeCell ref="AC37:AG39"/>
    <mergeCell ref="AH37:AM39"/>
    <mergeCell ref="AN37:AR39"/>
    <mergeCell ref="AS37:AW39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H61:X61"/>
    <mergeCell ref="AX63:BB67"/>
    <mergeCell ref="H64:M64"/>
    <mergeCell ref="N64:P64"/>
    <mergeCell ref="R64:V64"/>
    <mergeCell ref="I66:K66"/>
    <mergeCell ref="R59:V59"/>
    <mergeCell ref="Z61:AB61"/>
    <mergeCell ref="M66:O66"/>
    <mergeCell ref="Q66:S66"/>
    <mergeCell ref="U66:W66"/>
    <mergeCell ref="Z66:AB66"/>
    <mergeCell ref="A68:G72"/>
    <mergeCell ref="AC68:AG72"/>
    <mergeCell ref="U71:W71"/>
    <mergeCell ref="Z71:AB71"/>
    <mergeCell ref="A63:G67"/>
    <mergeCell ref="AC63:AG67"/>
    <mergeCell ref="AH73:AM77"/>
    <mergeCell ref="AN73:AR77"/>
    <mergeCell ref="AS73:AW77"/>
    <mergeCell ref="AH63:AM67"/>
    <mergeCell ref="AN63:AR67"/>
    <mergeCell ref="AS63:AW67"/>
    <mergeCell ref="AX73:BB77"/>
    <mergeCell ref="H74:M74"/>
    <mergeCell ref="N74:P74"/>
    <mergeCell ref="R74:V74"/>
    <mergeCell ref="I76:K76"/>
    <mergeCell ref="AH68:AM72"/>
    <mergeCell ref="AN68:AR72"/>
    <mergeCell ref="AS68:AW72"/>
    <mergeCell ref="AX68:BB72"/>
    <mergeCell ref="H69:M69"/>
    <mergeCell ref="N69:P69"/>
    <mergeCell ref="R69:V69"/>
    <mergeCell ref="I71:K71"/>
    <mergeCell ref="M71:O71"/>
    <mergeCell ref="Q71:S71"/>
    <mergeCell ref="M76:O76"/>
    <mergeCell ref="Q76:S76"/>
    <mergeCell ref="U76:W76"/>
    <mergeCell ref="Z76:AB76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AX78:BB82"/>
    <mergeCell ref="H79:M79"/>
    <mergeCell ref="N79:P79"/>
    <mergeCell ref="R79:V79"/>
    <mergeCell ref="I81:K81"/>
    <mergeCell ref="M81:O81"/>
    <mergeCell ref="Q81:S81"/>
    <mergeCell ref="AS83:AW83"/>
    <mergeCell ref="AX83:BB83"/>
    <mergeCell ref="AO84:AR84"/>
    <mergeCell ref="AS84:AW84"/>
    <mergeCell ref="AX84:BB84"/>
    <mergeCell ref="A86:N86"/>
    <mergeCell ref="O86:AN86"/>
    <mergeCell ref="AO86:AU86"/>
    <mergeCell ref="AV86:BB86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103:Z103"/>
    <mergeCell ref="AA103:AF103"/>
    <mergeCell ref="AG103:AL103"/>
    <mergeCell ref="AM103:AT103"/>
    <mergeCell ref="AU103:BB103"/>
    <mergeCell ref="A104:Z104"/>
    <mergeCell ref="AA104:AF104"/>
    <mergeCell ref="AG104:AL121"/>
    <mergeCell ref="AM104:AT121"/>
    <mergeCell ref="AU104:BB104"/>
    <mergeCell ref="A105:Z105"/>
    <mergeCell ref="AA105:AF105"/>
    <mergeCell ref="AU105:BB105"/>
    <mergeCell ref="A106:Z106"/>
    <mergeCell ref="AA106:AF106"/>
    <mergeCell ref="A109:Z109"/>
    <mergeCell ref="AA109:AF109"/>
    <mergeCell ref="AU109:BB109"/>
    <mergeCell ref="A110:Z110"/>
    <mergeCell ref="AA110:AF110"/>
    <mergeCell ref="AU110:BB110"/>
    <mergeCell ref="AU106:BB106"/>
    <mergeCell ref="A107:Z107"/>
    <mergeCell ref="AA107:AF107"/>
    <mergeCell ref="AU107:BB107"/>
    <mergeCell ref="A108:Z108"/>
    <mergeCell ref="AA108:AF108"/>
    <mergeCell ref="AU108:BB108"/>
    <mergeCell ref="A113:Z113"/>
    <mergeCell ref="AA113:AF113"/>
    <mergeCell ref="AU113:BB113"/>
    <mergeCell ref="A114:Z114"/>
    <mergeCell ref="AA114:AF114"/>
    <mergeCell ref="AU114:BB114"/>
    <mergeCell ref="A111:Z111"/>
    <mergeCell ref="AA111:AF111"/>
    <mergeCell ref="AU111:BB111"/>
    <mergeCell ref="A112:Z112"/>
    <mergeCell ref="AA112:AF112"/>
    <mergeCell ref="AU112:BB112"/>
    <mergeCell ref="A117:Z117"/>
    <mergeCell ref="AA117:AF117"/>
    <mergeCell ref="AU117:BB117"/>
    <mergeCell ref="A118:Z118"/>
    <mergeCell ref="AA118:AF118"/>
    <mergeCell ref="AU118:BB118"/>
    <mergeCell ref="A115:Z115"/>
    <mergeCell ref="AA115:AF115"/>
    <mergeCell ref="AU115:BB115"/>
    <mergeCell ref="A116:Z116"/>
    <mergeCell ref="AA116:AF116"/>
    <mergeCell ref="AU116:BB116"/>
    <mergeCell ref="A121:Z121"/>
    <mergeCell ref="AA121:AF121"/>
    <mergeCell ref="AU121:BB121"/>
    <mergeCell ref="A122:Z122"/>
    <mergeCell ref="AA122:AF122"/>
    <mergeCell ref="AG122:AL122"/>
    <mergeCell ref="AM122:AT122"/>
    <mergeCell ref="AU122:BB122"/>
    <mergeCell ref="A119:Z119"/>
    <mergeCell ref="AA119:AF119"/>
    <mergeCell ref="AU119:BB119"/>
    <mergeCell ref="A120:Z120"/>
    <mergeCell ref="AA120:AF120"/>
    <mergeCell ref="AU120:BB120"/>
    <mergeCell ref="A126:Z126"/>
    <mergeCell ref="AA126:AF126"/>
    <mergeCell ref="AG126:AL126"/>
    <mergeCell ref="AM126:AT126"/>
    <mergeCell ref="AU126:BB126"/>
    <mergeCell ref="A127:Z127"/>
    <mergeCell ref="AA127:AF127"/>
    <mergeCell ref="AG127:AL127"/>
    <mergeCell ref="AM127:AT127"/>
    <mergeCell ref="AU127:BB127"/>
    <mergeCell ref="A128:Z128"/>
    <mergeCell ref="AA128:AF128"/>
    <mergeCell ref="AG128:AL133"/>
    <mergeCell ref="AM128:AT133"/>
    <mergeCell ref="AU128:BB128"/>
    <mergeCell ref="A129:Z129"/>
    <mergeCell ref="AA129:AF129"/>
    <mergeCell ref="AU129:BB129"/>
    <mergeCell ref="A130:Z130"/>
    <mergeCell ref="AA130:AF130"/>
    <mergeCell ref="A133:Z133"/>
    <mergeCell ref="AA133:AF133"/>
    <mergeCell ref="AU133:BB133"/>
    <mergeCell ref="A134:Z134"/>
    <mergeCell ref="AA134:AF134"/>
    <mergeCell ref="AG134:AL134"/>
    <mergeCell ref="AM134:AT134"/>
    <mergeCell ref="AU134:BB134"/>
    <mergeCell ref="AU130:BB130"/>
    <mergeCell ref="A131:Z131"/>
    <mergeCell ref="AA131:AF131"/>
    <mergeCell ref="AU131:BB131"/>
    <mergeCell ref="A132:Z132"/>
    <mergeCell ref="AA132:AF132"/>
    <mergeCell ref="AU132:BB132"/>
    <mergeCell ref="AD138:AP138"/>
    <mergeCell ref="AQ138:AT138"/>
    <mergeCell ref="AU138:AX138"/>
    <mergeCell ref="AY138:BB138"/>
    <mergeCell ref="H139:L139"/>
    <mergeCell ref="M139:Q139"/>
    <mergeCell ref="AD139:AI139"/>
    <mergeCell ref="AJ139:AP139"/>
    <mergeCell ref="AQ139:AT139"/>
    <mergeCell ref="AU139:AX139"/>
    <mergeCell ref="H138:L138"/>
    <mergeCell ref="M138:Q138"/>
    <mergeCell ref="R138:U139"/>
    <mergeCell ref="V138:Y139"/>
    <mergeCell ref="Z138:AC139"/>
    <mergeCell ref="AY139:BB139"/>
    <mergeCell ref="A140:G140"/>
    <mergeCell ref="H140:L140"/>
    <mergeCell ref="M140:Q140"/>
    <mergeCell ref="R140:U140"/>
    <mergeCell ref="V140:Y140"/>
    <mergeCell ref="Z140:AC140"/>
    <mergeCell ref="AD140:AI140"/>
    <mergeCell ref="AJ140:AP140"/>
    <mergeCell ref="AQ140:AT140"/>
    <mergeCell ref="A138:G139"/>
    <mergeCell ref="AU140:AX140"/>
    <mergeCell ref="AY140:BB140"/>
    <mergeCell ref="A141:G141"/>
    <mergeCell ref="H141:L141"/>
    <mergeCell ref="M141:Q141"/>
    <mergeCell ref="R141:U144"/>
    <mergeCell ref="V141:Y144"/>
    <mergeCell ref="Z141:AC144"/>
    <mergeCell ref="AD141:AI141"/>
    <mergeCell ref="AJ141:AP141"/>
    <mergeCell ref="AQ141:AT141"/>
    <mergeCell ref="AU141:AX141"/>
    <mergeCell ref="AY141:BB141"/>
    <mergeCell ref="A142:G142"/>
    <mergeCell ref="H142:L142"/>
    <mergeCell ref="M142:Q142"/>
    <mergeCell ref="AD142:AI142"/>
    <mergeCell ref="AJ142:AP142"/>
    <mergeCell ref="AQ142:AT142"/>
    <mergeCell ref="AU142:AX142"/>
    <mergeCell ref="AY142:BB142"/>
    <mergeCell ref="A143:G143"/>
    <mergeCell ref="H143:L143"/>
    <mergeCell ref="M143:Q143"/>
    <mergeCell ref="AD143:AI143"/>
    <mergeCell ref="AJ143:AP143"/>
    <mergeCell ref="AQ143:AT143"/>
    <mergeCell ref="AU143:AX143"/>
    <mergeCell ref="AY143:BB143"/>
    <mergeCell ref="AU144:AX144"/>
    <mergeCell ref="AY144:BB144"/>
    <mergeCell ref="A145:G145"/>
    <mergeCell ref="H145:L145"/>
    <mergeCell ref="M145:Q145"/>
    <mergeCell ref="R145:U145"/>
    <mergeCell ref="V145:Y145"/>
    <mergeCell ref="Z145:AC145"/>
    <mergeCell ref="AD145:AI145"/>
    <mergeCell ref="AJ145:AP145"/>
    <mergeCell ref="A144:G144"/>
    <mergeCell ref="H144:L144"/>
    <mergeCell ref="M144:Q144"/>
    <mergeCell ref="AD144:AI144"/>
    <mergeCell ref="AJ144:AP144"/>
    <mergeCell ref="AQ144:AT144"/>
    <mergeCell ref="AQ145:AT145"/>
    <mergeCell ref="AU145:AX145"/>
    <mergeCell ref="AY145:BB145"/>
    <mergeCell ref="A146:F146"/>
    <mergeCell ref="H146:L146"/>
    <mergeCell ref="M146:Q146"/>
    <mergeCell ref="R146:U146"/>
    <mergeCell ref="V146:Y146"/>
    <mergeCell ref="Z146:AC146"/>
    <mergeCell ref="AD146:AI146"/>
    <mergeCell ref="AJ146:AP146"/>
    <mergeCell ref="AQ146:AT146"/>
    <mergeCell ref="AU146:AX146"/>
    <mergeCell ref="AY146:BB146"/>
    <mergeCell ref="BE155:CA155"/>
    <mergeCell ref="BE156:BG156"/>
    <mergeCell ref="BH156:BL156"/>
    <mergeCell ref="BE152:CA152"/>
    <mergeCell ref="BE153:BG153"/>
    <mergeCell ref="BH153:BL153"/>
    <mergeCell ref="B151:S152"/>
    <mergeCell ref="AM151:BC152"/>
    <mergeCell ref="AD147:AI147"/>
    <mergeCell ref="AJ147:AP147"/>
    <mergeCell ref="AQ147:AT147"/>
    <mergeCell ref="AU147:AX147"/>
    <mergeCell ref="AY147:BB147"/>
    <mergeCell ref="BC148:BD148"/>
    <mergeCell ref="A147:G147"/>
    <mergeCell ref="H147:L147"/>
    <mergeCell ref="M147:Q147"/>
    <mergeCell ref="R147:U147"/>
    <mergeCell ref="V147:Y147"/>
    <mergeCell ref="Z147:AC147"/>
    <mergeCell ref="BC149:BD149"/>
    <mergeCell ref="B150:S150"/>
    <mergeCell ref="AM150:BB150"/>
    <mergeCell ref="BC150:BD150"/>
    <mergeCell ref="BE157:BG157"/>
    <mergeCell ref="BI157:BM157"/>
    <mergeCell ref="BN157:BT157"/>
    <mergeCell ref="CE157:CJ157"/>
    <mergeCell ref="CM157:CT157"/>
    <mergeCell ref="BE158:BG158"/>
    <mergeCell ref="BI158:BM158"/>
    <mergeCell ref="BN158:BT158"/>
    <mergeCell ref="CE158:CJ158"/>
    <mergeCell ref="CM158:CT158"/>
    <mergeCell ref="CE165:CJ165"/>
    <mergeCell ref="CM165:CT165"/>
    <mergeCell ref="BE166:BG166"/>
    <mergeCell ref="BI166:BM166"/>
    <mergeCell ref="BN166:BT166"/>
    <mergeCell ref="CE166:CJ166"/>
    <mergeCell ref="CM166:CT166"/>
    <mergeCell ref="BE159:BG159"/>
    <mergeCell ref="BI159:BM159"/>
    <mergeCell ref="BN159:BT159"/>
    <mergeCell ref="CM162:CT162"/>
    <mergeCell ref="BE186:BG186"/>
    <mergeCell ref="BH186:BL186"/>
    <mergeCell ref="BE187:BG187"/>
    <mergeCell ref="BI187:BM187"/>
    <mergeCell ref="BN187:BT187"/>
    <mergeCell ref="BH164:BL164"/>
    <mergeCell ref="BE165:BG165"/>
    <mergeCell ref="BI165:BM165"/>
    <mergeCell ref="BN165:BT165"/>
    <mergeCell ref="CM173:CT173"/>
    <mergeCell ref="BE170:CA170"/>
    <mergeCell ref="BE171:BG171"/>
    <mergeCell ref="BH171:BL171"/>
    <mergeCell ref="BE172:BG172"/>
    <mergeCell ref="BE163:CA163"/>
    <mergeCell ref="BE164:BG164"/>
    <mergeCell ref="BE197:BG197"/>
    <mergeCell ref="BI197:BM197"/>
    <mergeCell ref="BN197:BT197"/>
    <mergeCell ref="BH178:BL178"/>
    <mergeCell ref="BE179:BG179"/>
    <mergeCell ref="BI179:BM179"/>
    <mergeCell ref="BN179:BT179"/>
    <mergeCell ref="BE193:CA193"/>
    <mergeCell ref="BE194:BG194"/>
    <mergeCell ref="BH194:BL194"/>
    <mergeCell ref="BE195:BG195"/>
    <mergeCell ref="BI195:BM195"/>
    <mergeCell ref="BN195:BT195"/>
    <mergeCell ref="BE189:BG189"/>
    <mergeCell ref="BI189:BM189"/>
    <mergeCell ref="BN189:BT189"/>
    <mergeCell ref="BE185:CA185"/>
    <mergeCell ref="CE203:CJ203"/>
    <mergeCell ref="CM203:CT203"/>
    <mergeCell ref="BE204:BG204"/>
    <mergeCell ref="BI204:BM204"/>
    <mergeCell ref="BN204:BT204"/>
    <mergeCell ref="CE204:CJ204"/>
    <mergeCell ref="CM204:CT204"/>
    <mergeCell ref="AQ2:BB2"/>
    <mergeCell ref="CE195:CJ195"/>
    <mergeCell ref="CM195:CT195"/>
    <mergeCell ref="BE196:BG196"/>
    <mergeCell ref="BI196:BM196"/>
    <mergeCell ref="BN196:BT196"/>
    <mergeCell ref="CE196:CJ196"/>
    <mergeCell ref="CM196:CT196"/>
    <mergeCell ref="BE167:BG167"/>
    <mergeCell ref="BI167:BM167"/>
    <mergeCell ref="BN167:BT167"/>
    <mergeCell ref="CE172:CJ172"/>
    <mergeCell ref="CM172:CT172"/>
    <mergeCell ref="BE173:BG173"/>
    <mergeCell ref="BI173:BM173"/>
    <mergeCell ref="BN173:BT173"/>
    <mergeCell ref="CE173:CJ173"/>
    <mergeCell ref="BE205:BG205"/>
    <mergeCell ref="BI205:BM205"/>
    <mergeCell ref="BN205:BT205"/>
    <mergeCell ref="BE201:CA201"/>
    <mergeCell ref="BE202:BG202"/>
    <mergeCell ref="BH202:BL202"/>
    <mergeCell ref="BE203:BG203"/>
    <mergeCell ref="BI203:BM203"/>
    <mergeCell ref="BN203:BT203"/>
  </mergeCells>
  <pageMargins left="0" right="0" top="0" bottom="0" header="0.31496062992125984" footer="0.31496062992125984"/>
  <pageSetup paperSize="9" scale="75" fitToHeight="0" orientation="portrait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S370"/>
  <sheetViews>
    <sheetView topLeftCell="A127" zoomScaleNormal="100" workbookViewId="0">
      <selection activeCell="B139" sqref="B139:S140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5" width="1.85546875" style="117"/>
    <col min="26" max="26" width="9.85546875" style="117" bestFit="1" customWidth="1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4.7109375" style="117" customWidth="1"/>
    <col min="55" max="55" width="4.5703125" style="117" customWidth="1"/>
    <col min="56" max="56" width="4.7109375" style="117" customWidth="1"/>
    <col min="57" max="57" width="17.42578125" style="117" customWidth="1"/>
    <col min="58" max="58" width="9.7109375" style="117" customWidth="1"/>
    <col min="59" max="59" width="10.140625" style="117" customWidth="1"/>
    <col min="60" max="60" width="10.42578125" style="117" customWidth="1"/>
    <col min="61" max="61" width="8.140625" style="117" customWidth="1"/>
    <col min="62" max="83" width="1.85546875" style="117" customWidth="1"/>
    <col min="84" max="16384" width="1.85546875" style="117"/>
  </cols>
  <sheetData>
    <row r="1" spans="1:55" s="100" customFormat="1" ht="15" customHeight="1" x14ac:dyDescent="0.25">
      <c r="AW1" s="100" t="s">
        <v>83</v>
      </c>
    </row>
    <row r="2" spans="1:55" s="100" customFormat="1" ht="15" x14ac:dyDescent="0.25">
      <c r="AQ2" s="1323" t="s">
        <v>217</v>
      </c>
      <c r="AR2" s="1323"/>
      <c r="AS2" s="1323"/>
      <c r="AT2" s="1300"/>
      <c r="AU2" s="1300"/>
      <c r="AV2" s="1" t="s">
        <v>218</v>
      </c>
      <c r="AW2" s="1300"/>
      <c r="AX2" s="1300"/>
      <c r="AY2" s="1300"/>
      <c r="AZ2" s="1300"/>
      <c r="BA2" s="1300"/>
      <c r="BB2" s="1300"/>
    </row>
    <row r="3" spans="1:55" s="100" customFormat="1" ht="15" customHeight="1" x14ac:dyDescent="0.25">
      <c r="AQ3" s="100" t="s">
        <v>91</v>
      </c>
    </row>
    <row r="4" spans="1:55" s="100" customFormat="1" ht="5.0999999999999996" customHeight="1" x14ac:dyDescent="0.25"/>
    <row r="5" spans="1:55" s="100" customFormat="1" ht="15" customHeight="1" x14ac:dyDescent="0.25">
      <c r="AM5" s="157"/>
      <c r="AN5" s="157"/>
      <c r="AO5" s="157"/>
      <c r="AP5" s="157"/>
      <c r="AQ5" s="156"/>
      <c r="AR5" s="156"/>
      <c r="AS5" s="156"/>
      <c r="AT5" s="156"/>
      <c r="AU5" s="156"/>
      <c r="AV5" s="156"/>
      <c r="AW5" s="1324" t="s">
        <v>515</v>
      </c>
      <c r="AX5" s="441"/>
      <c r="AY5" s="441"/>
      <c r="AZ5" s="441"/>
      <c r="BA5" s="441"/>
      <c r="BB5" s="441"/>
      <c r="BC5" s="441"/>
    </row>
    <row r="6" spans="1:55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5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5" s="100" customFormat="1" ht="15" customHeight="1" x14ac:dyDescent="0.25">
      <c r="A8" s="756" t="s">
        <v>694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5" s="100" customFormat="1" ht="26.25" customHeight="1" x14ac:dyDescent="0.25">
      <c r="A9" s="403"/>
      <c r="B9" s="403"/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403"/>
      <c r="AF9" s="403"/>
      <c r="AG9" s="403"/>
      <c r="AH9" s="403"/>
      <c r="AI9" s="403"/>
      <c r="AJ9" s="403"/>
      <c r="AK9" s="403"/>
      <c r="AL9" s="403"/>
      <c r="AM9" s="403"/>
      <c r="AN9" s="403"/>
      <c r="AO9" s="403"/>
      <c r="AP9" s="403"/>
      <c r="AQ9" s="403"/>
      <c r="AR9" s="403"/>
      <c r="AS9" s="403"/>
      <c r="AT9" s="403"/>
      <c r="AU9" s="403"/>
      <c r="AV9" s="403"/>
      <c r="AW9" s="403"/>
      <c r="AX9" s="403"/>
      <c r="AY9" s="403"/>
      <c r="AZ9" s="403"/>
      <c r="BA9" s="403"/>
    </row>
    <row r="10" spans="1:55" s="100" customFormat="1" ht="15" customHeight="1" x14ac:dyDescent="0.25">
      <c r="A10" s="403"/>
      <c r="B10" s="403" t="s">
        <v>113</v>
      </c>
      <c r="C10" s="757">
        <v>1</v>
      </c>
      <c r="D10" s="757"/>
      <c r="E10" s="757"/>
      <c r="F10" s="403"/>
      <c r="G10" s="757" t="s">
        <v>695</v>
      </c>
      <c r="H10" s="757"/>
      <c r="I10" s="757"/>
      <c r="J10" s="757"/>
      <c r="K10" s="757"/>
      <c r="L10" s="757"/>
      <c r="M10" s="403"/>
      <c r="N10" s="756">
        <v>2021</v>
      </c>
      <c r="O10" s="756"/>
      <c r="P10" s="756"/>
      <c r="Q10" s="756"/>
      <c r="R10" s="403"/>
      <c r="S10" s="403" t="s">
        <v>114</v>
      </c>
      <c r="T10" s="403"/>
      <c r="U10" s="756" t="s">
        <v>115</v>
      </c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758"/>
      <c r="AI10" s="758"/>
      <c r="AJ10" s="757">
        <v>1</v>
      </c>
      <c r="AK10" s="757"/>
      <c r="AL10" s="757"/>
      <c r="AM10" s="403"/>
      <c r="AN10" s="757" t="s">
        <v>695</v>
      </c>
      <c r="AO10" s="757"/>
      <c r="AP10" s="757"/>
      <c r="AQ10" s="757"/>
      <c r="AR10" s="757"/>
      <c r="AS10" s="757"/>
      <c r="AT10" s="757"/>
      <c r="AU10" s="403"/>
      <c r="AV10" s="756">
        <v>2022</v>
      </c>
      <c r="AW10" s="756"/>
      <c r="AX10" s="756"/>
      <c r="AY10" s="756"/>
      <c r="AZ10" s="403"/>
      <c r="BA10" s="403" t="s">
        <v>114</v>
      </c>
    </row>
    <row r="11" spans="1:55" s="82" customFormat="1" ht="6" customHeight="1" x14ac:dyDescent="0.2"/>
    <row r="12" spans="1:55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36</v>
      </c>
      <c r="V12" s="761"/>
      <c r="W12" s="761"/>
    </row>
    <row r="13" spans="1:55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5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2">
        <v>36</v>
      </c>
      <c r="V14" s="762"/>
      <c r="W14" s="762"/>
    </row>
    <row r="15" spans="1:55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5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3</v>
      </c>
      <c r="V16" s="761"/>
      <c r="W16" s="761"/>
      <c r="X16" s="407" t="s">
        <v>4</v>
      </c>
      <c r="Y16" s="761">
        <v>12</v>
      </c>
      <c r="Z16" s="761"/>
      <c r="AA16" s="761"/>
    </row>
    <row r="17" spans="1:54" ht="13.5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531</v>
      </c>
      <c r="AR19" s="162"/>
      <c r="AS19" s="164"/>
      <c r="AX19" s="708">
        <v>15600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419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4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customHeight="1" x14ac:dyDescent="0.2">
      <c r="A24" s="764" t="s">
        <v>417</v>
      </c>
      <c r="B24" s="765"/>
      <c r="C24" s="765"/>
      <c r="D24" s="765"/>
      <c r="E24" s="765"/>
      <c r="F24" s="765"/>
      <c r="G24" s="766"/>
      <c r="H24" s="714" t="s">
        <v>16</v>
      </c>
      <c r="I24" s="704"/>
      <c r="J24" s="704"/>
      <c r="K24" s="704"/>
      <c r="L24" s="704"/>
      <c r="M24" s="704"/>
      <c r="N24" s="704"/>
      <c r="O24" s="704"/>
      <c r="P24" s="704"/>
      <c r="Q24" s="704"/>
      <c r="R24" s="704"/>
      <c r="S24" s="704"/>
      <c r="T24" s="704"/>
      <c r="U24" s="704"/>
      <c r="V24" s="704"/>
      <c r="W24" s="704"/>
      <c r="X24" s="704"/>
      <c r="Y24" s="704"/>
      <c r="Z24" s="723">
        <v>0.2</v>
      </c>
      <c r="AA24" s="723"/>
      <c r="AB24" s="723"/>
      <c r="AC24" s="781">
        <f>(AX51+AX67)*Z24*AH24</f>
        <v>8923.2000000000007</v>
      </c>
      <c r="AD24" s="781"/>
      <c r="AE24" s="781"/>
      <c r="AF24" s="781"/>
      <c r="AG24" s="781"/>
      <c r="AH24" s="668">
        <v>2</v>
      </c>
      <c r="AI24" s="668"/>
      <c r="AJ24" s="668"/>
      <c r="AK24" s="668"/>
      <c r="AL24" s="668"/>
      <c r="AM24" s="668"/>
      <c r="AN24" s="781">
        <f>AC24/U12</f>
        <v>247.86666666666667</v>
      </c>
      <c r="AO24" s="781"/>
      <c r="AP24" s="781"/>
      <c r="AQ24" s="781"/>
      <c r="AR24" s="781"/>
      <c r="AS24" s="668" t="s">
        <v>17</v>
      </c>
      <c r="AT24" s="668"/>
      <c r="AU24" s="668"/>
      <c r="AV24" s="668"/>
      <c r="AW24" s="668"/>
      <c r="AX24" s="781" t="s">
        <v>17</v>
      </c>
      <c r="AY24" s="781"/>
      <c r="AZ24" s="781"/>
      <c r="BA24" s="781"/>
      <c r="BB24" s="782"/>
    </row>
    <row r="25" spans="1:54" s="165" customFormat="1" ht="26.25" customHeight="1" x14ac:dyDescent="0.2">
      <c r="A25" s="767"/>
      <c r="B25" s="768"/>
      <c r="C25" s="768"/>
      <c r="D25" s="768"/>
      <c r="E25" s="768"/>
      <c r="F25" s="768"/>
      <c r="G25" s="769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771" t="s">
        <v>89</v>
      </c>
      <c r="B26" s="772"/>
      <c r="C26" s="772"/>
      <c r="D26" s="772"/>
      <c r="E26" s="772"/>
      <c r="F26" s="772"/>
      <c r="G26" s="773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11.25" customHeight="1" x14ac:dyDescent="0.2">
      <c r="A27" s="750"/>
      <c r="B27" s="751"/>
      <c r="C27" s="751"/>
      <c r="D27" s="751"/>
      <c r="E27" s="751"/>
      <c r="F27" s="751"/>
      <c r="G27" s="7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17.25" customHeight="1" thickBot="1" x14ac:dyDescent="0.25">
      <c r="A33" s="753"/>
      <c r="B33" s="754"/>
      <c r="C33" s="754"/>
      <c r="D33" s="754"/>
      <c r="E33" s="754"/>
      <c r="F33" s="754"/>
      <c r="G33" s="775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9"/>
      <c r="AA33" s="729"/>
      <c r="AB33" s="729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95"/>
      <c r="R34" s="169" t="s">
        <v>18</v>
      </c>
      <c r="S34" s="170"/>
      <c r="T34" s="170"/>
      <c r="U34" s="171"/>
      <c r="V34" s="171"/>
      <c r="W34" s="171"/>
      <c r="X34" s="171"/>
      <c r="Y34" s="171"/>
      <c r="Z34" s="162"/>
      <c r="AA34" s="162"/>
      <c r="AB34" s="162"/>
      <c r="AC34" s="171"/>
      <c r="AD34" s="171" t="s">
        <v>19</v>
      </c>
      <c r="AE34" s="171" t="s">
        <v>20</v>
      </c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2"/>
      <c r="AS34" s="453">
        <f>AN24</f>
        <v>247.86666666666667</v>
      </c>
      <c r="AT34" s="453"/>
      <c r="AU34" s="453"/>
      <c r="AV34" s="453"/>
      <c r="AW34" s="453"/>
      <c r="AX34" s="453">
        <f>AC24</f>
        <v>8923.2000000000007</v>
      </c>
      <c r="AY34" s="453"/>
      <c r="AZ34" s="453"/>
      <c r="BA34" s="453"/>
      <c r="BB34" s="454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402"/>
      <c r="I35" s="402"/>
      <c r="J35" s="402"/>
      <c r="K35" s="402"/>
      <c r="L35" s="402"/>
      <c r="M35" s="402"/>
      <c r="P35" s="168"/>
      <c r="Q35" s="405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74.855733333333333</v>
      </c>
      <c r="AT35" s="463"/>
      <c r="AU35" s="463"/>
      <c r="AV35" s="463"/>
      <c r="AW35" s="463"/>
      <c r="AX35" s="463">
        <f>AX34*AO35</f>
        <v>2694.8063999999999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402"/>
      <c r="I36" s="402"/>
      <c r="J36" s="402"/>
      <c r="K36" s="402"/>
      <c r="L36" s="402"/>
      <c r="M36" s="402"/>
      <c r="P36" s="168"/>
      <c r="Q36" s="405"/>
      <c r="R36" s="405"/>
      <c r="S36" s="405"/>
      <c r="U36" s="405"/>
      <c r="V36" s="405"/>
      <c r="W36" s="405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410"/>
      <c r="AT36" s="408"/>
      <c r="AU36" s="408"/>
      <c r="AV36" s="408"/>
      <c r="AW36" s="408"/>
      <c r="AX36" s="410"/>
      <c r="AY36" s="408"/>
      <c r="AZ36" s="408"/>
      <c r="BA36" s="408"/>
      <c r="BB36" s="408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420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842"/>
      <c r="B41" s="843"/>
      <c r="C41" s="843"/>
      <c r="D41" s="843"/>
      <c r="E41" s="843"/>
      <c r="F41" s="843"/>
      <c r="G41" s="843"/>
      <c r="H41" s="848" t="s">
        <v>16</v>
      </c>
      <c r="I41" s="848"/>
      <c r="J41" s="848"/>
      <c r="K41" s="848"/>
      <c r="L41" s="848"/>
      <c r="M41" s="848"/>
      <c r="N41" s="848"/>
      <c r="O41" s="848"/>
      <c r="P41" s="848"/>
      <c r="Q41" s="848"/>
      <c r="R41" s="848"/>
      <c r="S41" s="848"/>
      <c r="T41" s="848"/>
      <c r="U41" s="848"/>
      <c r="V41" s="848"/>
      <c r="W41" s="848"/>
      <c r="X41" s="848"/>
      <c r="Y41" s="848"/>
      <c r="Z41" s="723">
        <v>0</v>
      </c>
      <c r="AA41" s="723"/>
      <c r="AB41" s="723"/>
      <c r="AC41" s="848">
        <f>AX67*Z41*AH41</f>
        <v>0</v>
      </c>
      <c r="AD41" s="848"/>
      <c r="AE41" s="848"/>
      <c r="AF41" s="848"/>
      <c r="AG41" s="848"/>
      <c r="AH41" s="1327">
        <v>1</v>
      </c>
      <c r="AI41" s="1327"/>
      <c r="AJ41" s="1327"/>
      <c r="AK41" s="1327"/>
      <c r="AL41" s="1327"/>
      <c r="AM41" s="1327"/>
      <c r="AN41" s="711">
        <f>AC41/U12</f>
        <v>0</v>
      </c>
      <c r="AO41" s="712"/>
      <c r="AP41" s="712"/>
      <c r="AQ41" s="712"/>
      <c r="AR41" s="734"/>
      <c r="AS41" s="508" t="s">
        <v>17</v>
      </c>
      <c r="AT41" s="509"/>
      <c r="AU41" s="509"/>
      <c r="AV41" s="509"/>
      <c r="AW41" s="510"/>
      <c r="AX41" s="711" t="s">
        <v>17</v>
      </c>
      <c r="AY41" s="712"/>
      <c r="AZ41" s="712"/>
      <c r="BA41" s="712"/>
      <c r="BB41" s="713"/>
    </row>
    <row r="42" spans="1:54" s="165" customFormat="1" ht="0.75" hidden="1" customHeight="1" x14ac:dyDescent="0.2">
      <c r="A42" s="844"/>
      <c r="B42" s="845"/>
      <c r="C42" s="845"/>
      <c r="D42" s="845"/>
      <c r="E42" s="845"/>
      <c r="F42" s="845"/>
      <c r="G42" s="845"/>
      <c r="H42" s="849"/>
      <c r="I42" s="849"/>
      <c r="J42" s="849"/>
      <c r="K42" s="849"/>
      <c r="L42" s="849"/>
      <c r="M42" s="849"/>
      <c r="N42" s="849"/>
      <c r="O42" s="849"/>
      <c r="P42" s="849"/>
      <c r="Q42" s="849"/>
      <c r="R42" s="849"/>
      <c r="S42" s="849"/>
      <c r="T42" s="849"/>
      <c r="U42" s="849"/>
      <c r="V42" s="849"/>
      <c r="W42" s="849"/>
      <c r="X42" s="849"/>
      <c r="Y42" s="849"/>
      <c r="Z42" s="726"/>
      <c r="AA42" s="726"/>
      <c r="AB42" s="726"/>
      <c r="AC42" s="849"/>
      <c r="AD42" s="849"/>
      <c r="AE42" s="849"/>
      <c r="AF42" s="849"/>
      <c r="AG42" s="849"/>
      <c r="AH42" s="1328"/>
      <c r="AI42" s="1328"/>
      <c r="AJ42" s="1328"/>
      <c r="AK42" s="1328"/>
      <c r="AL42" s="1328"/>
      <c r="AM42" s="1328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714"/>
      <c r="AY42" s="704"/>
      <c r="AZ42" s="704"/>
      <c r="BA42" s="704"/>
      <c r="BB42" s="715"/>
    </row>
    <row r="43" spans="1:54" ht="18" customHeight="1" thickBot="1" x14ac:dyDescent="0.25">
      <c r="A43" s="844"/>
      <c r="B43" s="845"/>
      <c r="C43" s="845"/>
      <c r="D43" s="845"/>
      <c r="E43" s="845"/>
      <c r="F43" s="845"/>
      <c r="G43" s="845"/>
      <c r="H43" s="849"/>
      <c r="I43" s="849"/>
      <c r="J43" s="849"/>
      <c r="K43" s="849"/>
      <c r="L43" s="849"/>
      <c r="M43" s="849"/>
      <c r="N43" s="849"/>
      <c r="O43" s="849"/>
      <c r="P43" s="849"/>
      <c r="Q43" s="849"/>
      <c r="R43" s="849"/>
      <c r="S43" s="849"/>
      <c r="T43" s="849"/>
      <c r="U43" s="849"/>
      <c r="V43" s="849"/>
      <c r="W43" s="849"/>
      <c r="X43" s="849"/>
      <c r="Y43" s="849"/>
      <c r="Z43" s="726"/>
      <c r="AA43" s="726"/>
      <c r="AB43" s="726"/>
      <c r="AC43" s="850"/>
      <c r="AD43" s="850"/>
      <c r="AE43" s="850"/>
      <c r="AF43" s="850"/>
      <c r="AG43" s="850"/>
      <c r="AH43" s="1329"/>
      <c r="AI43" s="1329"/>
      <c r="AJ43" s="1329"/>
      <c r="AK43" s="1329"/>
      <c r="AL43" s="1329"/>
      <c r="AM43" s="1329"/>
      <c r="AN43" s="770"/>
      <c r="AO43" s="721"/>
      <c r="AP43" s="721"/>
      <c r="AQ43" s="721"/>
      <c r="AR43" s="851"/>
      <c r="AS43" s="514"/>
      <c r="AT43" s="515"/>
      <c r="AU43" s="515"/>
      <c r="AV43" s="515"/>
      <c r="AW43" s="516"/>
      <c r="AX43" s="770"/>
      <c r="AY43" s="721"/>
      <c r="AZ43" s="721"/>
      <c r="BA43" s="721"/>
      <c r="BB43" s="908"/>
    </row>
    <row r="44" spans="1:54" s="165" customFormat="1" ht="21" hidden="1" customHeight="1" x14ac:dyDescent="0.2">
      <c r="A44" s="844"/>
      <c r="B44" s="845"/>
      <c r="C44" s="845"/>
      <c r="D44" s="845"/>
      <c r="E44" s="845"/>
      <c r="F44" s="845"/>
      <c r="G44" s="845"/>
      <c r="H44" s="849"/>
      <c r="I44" s="849"/>
      <c r="J44" s="849"/>
      <c r="K44" s="849"/>
      <c r="L44" s="849"/>
      <c r="M44" s="849"/>
      <c r="N44" s="849"/>
      <c r="O44" s="849"/>
      <c r="P44" s="849"/>
      <c r="Q44" s="849"/>
      <c r="R44" s="849"/>
      <c r="S44" s="849"/>
      <c r="T44" s="849"/>
      <c r="U44" s="849"/>
      <c r="V44" s="849"/>
      <c r="W44" s="849"/>
      <c r="X44" s="849"/>
      <c r="Y44" s="849"/>
      <c r="Z44" s="726"/>
      <c r="AA44" s="726"/>
      <c r="AB44" s="726"/>
      <c r="AC44" s="277"/>
      <c r="AD44" s="277"/>
      <c r="AE44" s="277"/>
      <c r="AF44" s="277"/>
      <c r="AG44" s="277"/>
      <c r="AH44" s="281"/>
      <c r="AI44" s="281"/>
      <c r="AJ44" s="281"/>
      <c r="AK44" s="281"/>
      <c r="AL44" s="281"/>
      <c r="AM44" s="281"/>
      <c r="AN44" s="86"/>
      <c r="AO44" s="84"/>
      <c r="AP44" s="84"/>
      <c r="AQ44" s="84"/>
      <c r="AR44" s="85"/>
      <c r="AS44" s="180"/>
      <c r="AT44" s="181"/>
      <c r="AU44" s="181"/>
      <c r="AV44" s="181"/>
      <c r="AW44" s="182"/>
      <c r="AX44" s="86"/>
      <c r="AY44" s="84"/>
      <c r="AZ44" s="84"/>
      <c r="BA44" s="84"/>
      <c r="BB44" s="255"/>
    </row>
    <row r="45" spans="1:54" s="165" customFormat="1" ht="21.75" hidden="1" customHeight="1" x14ac:dyDescent="0.2">
      <c r="A45" s="844"/>
      <c r="B45" s="845"/>
      <c r="C45" s="845"/>
      <c r="D45" s="845"/>
      <c r="E45" s="845"/>
      <c r="F45" s="845"/>
      <c r="G45" s="845"/>
      <c r="H45" s="849"/>
      <c r="I45" s="849"/>
      <c r="J45" s="849"/>
      <c r="K45" s="849"/>
      <c r="L45" s="849"/>
      <c r="M45" s="849"/>
      <c r="N45" s="849"/>
      <c r="O45" s="849"/>
      <c r="P45" s="849"/>
      <c r="Q45" s="849"/>
      <c r="R45" s="849"/>
      <c r="S45" s="849"/>
      <c r="T45" s="849"/>
      <c r="U45" s="849"/>
      <c r="V45" s="849"/>
      <c r="W45" s="849"/>
      <c r="X45" s="849"/>
      <c r="Y45" s="849"/>
      <c r="Z45" s="726"/>
      <c r="AA45" s="726"/>
      <c r="AB45" s="726"/>
      <c r="AC45" s="277"/>
      <c r="AD45" s="277"/>
      <c r="AE45" s="277"/>
      <c r="AF45" s="277"/>
      <c r="AG45" s="277"/>
      <c r="AH45" s="281"/>
      <c r="AI45" s="281"/>
      <c r="AJ45" s="281"/>
      <c r="AK45" s="281"/>
      <c r="AL45" s="281"/>
      <c r="AM45" s="281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255"/>
    </row>
    <row r="46" spans="1:54" s="165" customFormat="1" ht="24" hidden="1" customHeight="1" x14ac:dyDescent="0.2">
      <c r="A46" s="844"/>
      <c r="B46" s="845"/>
      <c r="C46" s="845"/>
      <c r="D46" s="845"/>
      <c r="E46" s="845"/>
      <c r="F46" s="845"/>
      <c r="G46" s="845"/>
      <c r="H46" s="849"/>
      <c r="I46" s="849"/>
      <c r="J46" s="849"/>
      <c r="K46" s="849"/>
      <c r="L46" s="849"/>
      <c r="M46" s="849"/>
      <c r="N46" s="849"/>
      <c r="O46" s="849"/>
      <c r="P46" s="849"/>
      <c r="Q46" s="849"/>
      <c r="R46" s="849"/>
      <c r="S46" s="849"/>
      <c r="T46" s="849"/>
      <c r="U46" s="849"/>
      <c r="V46" s="849"/>
      <c r="W46" s="849"/>
      <c r="X46" s="849"/>
      <c r="Y46" s="849"/>
      <c r="Z46" s="726"/>
      <c r="AA46" s="726"/>
      <c r="AB46" s="726"/>
      <c r="AC46" s="277"/>
      <c r="AD46" s="277"/>
      <c r="AE46" s="277"/>
      <c r="AF46" s="277"/>
      <c r="AG46" s="277"/>
      <c r="AH46" s="281"/>
      <c r="AI46" s="281"/>
      <c r="AJ46" s="281"/>
      <c r="AK46" s="281"/>
      <c r="AL46" s="281"/>
      <c r="AM46" s="281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255"/>
    </row>
    <row r="47" spans="1:54" s="165" customFormat="1" ht="18" hidden="1" customHeight="1" x14ac:dyDescent="0.2">
      <c r="A47" s="844"/>
      <c r="B47" s="845"/>
      <c r="C47" s="845"/>
      <c r="D47" s="845"/>
      <c r="E47" s="845"/>
      <c r="F47" s="845"/>
      <c r="G47" s="845"/>
      <c r="H47" s="849"/>
      <c r="I47" s="849"/>
      <c r="J47" s="849"/>
      <c r="K47" s="849"/>
      <c r="L47" s="849"/>
      <c r="M47" s="849"/>
      <c r="N47" s="849"/>
      <c r="O47" s="849"/>
      <c r="P47" s="849"/>
      <c r="Q47" s="849"/>
      <c r="R47" s="849"/>
      <c r="S47" s="849"/>
      <c r="T47" s="849"/>
      <c r="U47" s="849"/>
      <c r="V47" s="849"/>
      <c r="W47" s="849"/>
      <c r="X47" s="849"/>
      <c r="Y47" s="849"/>
      <c r="Z47" s="726"/>
      <c r="AA47" s="726"/>
      <c r="AB47" s="726"/>
      <c r="AC47" s="277"/>
      <c r="AD47" s="277"/>
      <c r="AE47" s="277"/>
      <c r="AF47" s="277"/>
      <c r="AG47" s="277"/>
      <c r="AH47" s="281"/>
      <c r="AI47" s="281"/>
      <c r="AJ47" s="281"/>
      <c r="AK47" s="281"/>
      <c r="AL47" s="281"/>
      <c r="AM47" s="281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255"/>
    </row>
    <row r="48" spans="1:54" s="165" customFormat="1" ht="17.25" hidden="1" customHeight="1" x14ac:dyDescent="0.2">
      <c r="A48" s="844"/>
      <c r="B48" s="845"/>
      <c r="C48" s="845"/>
      <c r="D48" s="845"/>
      <c r="E48" s="845"/>
      <c r="F48" s="845"/>
      <c r="G48" s="845"/>
      <c r="H48" s="849"/>
      <c r="I48" s="849"/>
      <c r="J48" s="849"/>
      <c r="K48" s="849"/>
      <c r="L48" s="849"/>
      <c r="M48" s="849"/>
      <c r="N48" s="849"/>
      <c r="O48" s="849"/>
      <c r="P48" s="849"/>
      <c r="Q48" s="849"/>
      <c r="R48" s="849"/>
      <c r="S48" s="849"/>
      <c r="T48" s="849"/>
      <c r="U48" s="849"/>
      <c r="V48" s="849"/>
      <c r="W48" s="849"/>
      <c r="X48" s="849"/>
      <c r="Y48" s="849"/>
      <c r="Z48" s="726"/>
      <c r="AA48" s="726"/>
      <c r="AB48" s="726"/>
      <c r="AC48" s="277"/>
      <c r="AD48" s="277"/>
      <c r="AE48" s="277"/>
      <c r="AF48" s="277"/>
      <c r="AG48" s="277"/>
      <c r="AH48" s="281"/>
      <c r="AI48" s="281"/>
      <c r="AJ48" s="281"/>
      <c r="AK48" s="281"/>
      <c r="AL48" s="281"/>
      <c r="AM48" s="281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255"/>
    </row>
    <row r="49" spans="1:54" s="165" customFormat="1" ht="14.25" hidden="1" customHeight="1" x14ac:dyDescent="0.2">
      <c r="A49" s="844"/>
      <c r="B49" s="845"/>
      <c r="C49" s="845"/>
      <c r="D49" s="845"/>
      <c r="E49" s="845"/>
      <c r="F49" s="845"/>
      <c r="G49" s="845"/>
      <c r="H49" s="849"/>
      <c r="I49" s="849"/>
      <c r="J49" s="849"/>
      <c r="K49" s="849"/>
      <c r="L49" s="849"/>
      <c r="M49" s="849"/>
      <c r="N49" s="849"/>
      <c r="O49" s="849"/>
      <c r="P49" s="849"/>
      <c r="Q49" s="849"/>
      <c r="R49" s="849"/>
      <c r="S49" s="849"/>
      <c r="T49" s="849"/>
      <c r="U49" s="849"/>
      <c r="V49" s="849"/>
      <c r="W49" s="849"/>
      <c r="X49" s="849"/>
      <c r="Y49" s="849"/>
      <c r="Z49" s="726"/>
      <c r="AA49" s="726"/>
      <c r="AB49" s="726"/>
      <c r="AC49" s="277"/>
      <c r="AD49" s="277"/>
      <c r="AE49" s="277"/>
      <c r="AF49" s="277"/>
      <c r="AG49" s="277"/>
      <c r="AH49" s="281"/>
      <c r="AI49" s="281"/>
      <c r="AJ49" s="281"/>
      <c r="AK49" s="281"/>
      <c r="AL49" s="281"/>
      <c r="AM49" s="281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255"/>
    </row>
    <row r="50" spans="1:54" ht="0.75" customHeight="1" thickBot="1" x14ac:dyDescent="0.25">
      <c r="A50" s="846"/>
      <c r="B50" s="847"/>
      <c r="C50" s="847"/>
      <c r="D50" s="847"/>
      <c r="E50" s="847"/>
      <c r="F50" s="847"/>
      <c r="G50" s="847"/>
      <c r="H50" s="850"/>
      <c r="I50" s="850"/>
      <c r="J50" s="850"/>
      <c r="K50" s="850"/>
      <c r="L50" s="850"/>
      <c r="M50" s="850"/>
      <c r="N50" s="850"/>
      <c r="O50" s="850"/>
      <c r="P50" s="850"/>
      <c r="Q50" s="850"/>
      <c r="R50" s="850"/>
      <c r="S50" s="850"/>
      <c r="T50" s="850"/>
      <c r="U50" s="850"/>
      <c r="V50" s="850"/>
      <c r="W50" s="850"/>
      <c r="X50" s="850"/>
      <c r="Y50" s="850"/>
      <c r="Z50" s="729"/>
      <c r="AA50" s="729"/>
      <c r="AB50" s="729"/>
      <c r="AC50" s="278"/>
      <c r="AD50" s="278"/>
      <c r="AE50" s="278"/>
      <c r="AF50" s="278"/>
      <c r="AG50" s="278"/>
      <c r="AH50" s="282"/>
      <c r="AI50" s="282"/>
      <c r="AJ50" s="282"/>
      <c r="AK50" s="282"/>
      <c r="AL50" s="282"/>
      <c r="AM50" s="282"/>
      <c r="AN50" s="256"/>
      <c r="AO50" s="257"/>
      <c r="AP50" s="257"/>
      <c r="AQ50" s="257"/>
      <c r="AR50" s="258"/>
      <c r="AS50" s="259"/>
      <c r="AT50" s="260"/>
      <c r="AU50" s="260"/>
      <c r="AV50" s="260"/>
      <c r="AW50" s="261"/>
      <c r="AX50" s="256"/>
      <c r="AY50" s="257"/>
      <c r="AZ50" s="257"/>
      <c r="BA50" s="257"/>
      <c r="BB50" s="262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404"/>
      <c r="I52" s="404"/>
      <c r="J52" s="404"/>
      <c r="K52" s="404"/>
      <c r="L52" s="164"/>
      <c r="M52" s="164"/>
      <c r="N52" s="164"/>
      <c r="O52" s="164"/>
      <c r="P52" s="164"/>
      <c r="Q52" s="406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660" t="s">
        <v>106</v>
      </c>
      <c r="B58" s="661"/>
      <c r="C58" s="661"/>
      <c r="D58" s="661"/>
      <c r="E58" s="661"/>
      <c r="F58" s="661"/>
      <c r="G58" s="661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275"/>
      <c r="AC58" s="606">
        <f>((R59+(R59*U61)+(R59*Q61)+(R59*M61)+(R59*I61))*Z61)</f>
        <v>40560</v>
      </c>
      <c r="AD58" s="662"/>
      <c r="AE58" s="662"/>
      <c r="AF58" s="662"/>
      <c r="AG58" s="662"/>
      <c r="AH58" s="711">
        <v>120</v>
      </c>
      <c r="AI58" s="712"/>
      <c r="AJ58" s="712"/>
      <c r="AK58" s="712"/>
      <c r="AL58" s="712"/>
      <c r="AM58" s="734"/>
      <c r="AN58" s="662">
        <f>AC58/AH58</f>
        <v>338</v>
      </c>
      <c r="AO58" s="662"/>
      <c r="AP58" s="662"/>
      <c r="AQ58" s="662"/>
      <c r="AR58" s="662"/>
      <c r="AS58" s="663">
        <f>U12</f>
        <v>36</v>
      </c>
      <c r="AT58" s="663"/>
      <c r="AU58" s="663"/>
      <c r="AV58" s="663"/>
      <c r="AW58" s="663"/>
      <c r="AX58" s="662">
        <f>AN58*AS58</f>
        <v>12168</v>
      </c>
      <c r="AY58" s="662"/>
      <c r="AZ58" s="662"/>
      <c r="BA58" s="662"/>
      <c r="BB58" s="684"/>
    </row>
    <row r="59" spans="1:54" s="165" customFormat="1" ht="24.6" customHeight="1" x14ac:dyDescent="0.2">
      <c r="A59" s="652"/>
      <c r="B59" s="653"/>
      <c r="C59" s="653"/>
      <c r="D59" s="653"/>
      <c r="E59" s="653"/>
      <c r="F59" s="653"/>
      <c r="G59" s="653"/>
      <c r="H59" s="685" t="s">
        <v>530</v>
      </c>
      <c r="I59" s="686"/>
      <c r="J59" s="686"/>
      <c r="K59" s="686"/>
      <c r="L59" s="686"/>
      <c r="M59" s="686"/>
      <c r="N59" s="669"/>
      <c r="O59" s="669"/>
      <c r="P59" s="669"/>
      <c r="Q59" s="84" t="s">
        <v>27</v>
      </c>
      <c r="R59" s="669">
        <v>15600</v>
      </c>
      <c r="S59" s="669"/>
      <c r="T59" s="669"/>
      <c r="U59" s="669"/>
      <c r="V59" s="669"/>
      <c r="W59" s="84" t="s">
        <v>28</v>
      </c>
      <c r="X59" s="84"/>
      <c r="Y59" s="84"/>
      <c r="Z59" s="84"/>
      <c r="AA59" s="84"/>
      <c r="AB59" s="85"/>
      <c r="AC59" s="598"/>
      <c r="AD59" s="601"/>
      <c r="AE59" s="601"/>
      <c r="AF59" s="601"/>
      <c r="AG59" s="601"/>
      <c r="AH59" s="714"/>
      <c r="AI59" s="704"/>
      <c r="AJ59" s="704"/>
      <c r="AK59" s="704"/>
      <c r="AL59" s="704"/>
      <c r="AM59" s="735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652"/>
      <c r="B60" s="653"/>
      <c r="C60" s="653"/>
      <c r="D60" s="653"/>
      <c r="E60" s="653"/>
      <c r="F60" s="653"/>
      <c r="G60" s="653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598"/>
      <c r="AD60" s="601"/>
      <c r="AE60" s="601"/>
      <c r="AF60" s="601"/>
      <c r="AG60" s="601"/>
      <c r="AH60" s="714"/>
      <c r="AI60" s="704"/>
      <c r="AJ60" s="704"/>
      <c r="AK60" s="704"/>
      <c r="AL60" s="704"/>
      <c r="AM60" s="735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1.25" customHeight="1" x14ac:dyDescent="0.2">
      <c r="A61" s="652"/>
      <c r="B61" s="653"/>
      <c r="C61" s="653"/>
      <c r="D61" s="653"/>
      <c r="E61" s="653"/>
      <c r="F61" s="653"/>
      <c r="G61" s="653"/>
      <c r="H61" s="706" t="s">
        <v>656</v>
      </c>
      <c r="I61" s="1326"/>
      <c r="J61" s="1326"/>
      <c r="K61" s="1326"/>
      <c r="L61" s="1326"/>
      <c r="M61" s="1326"/>
      <c r="N61" s="1326"/>
      <c r="O61" s="1326"/>
      <c r="P61" s="1326"/>
      <c r="Q61" s="1326"/>
      <c r="R61" s="1326"/>
      <c r="S61" s="1326"/>
      <c r="T61" s="1326"/>
      <c r="U61" s="1326"/>
      <c r="V61" s="1326"/>
      <c r="W61" s="1326"/>
      <c r="X61" s="1326"/>
      <c r="Y61" s="401" t="s">
        <v>28</v>
      </c>
      <c r="Z61" s="669">
        <v>2.6</v>
      </c>
      <c r="AA61" s="669"/>
      <c r="AB61" s="670"/>
      <c r="AC61" s="598"/>
      <c r="AD61" s="601"/>
      <c r="AE61" s="601"/>
      <c r="AF61" s="601"/>
      <c r="AG61" s="601"/>
      <c r="AH61" s="714"/>
      <c r="AI61" s="704"/>
      <c r="AJ61" s="704"/>
      <c r="AK61" s="704"/>
      <c r="AL61" s="704"/>
      <c r="AM61" s="735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" customHeight="1" thickBot="1" x14ac:dyDescent="0.25">
      <c r="A62" s="681"/>
      <c r="B62" s="682"/>
      <c r="C62" s="682"/>
      <c r="D62" s="682"/>
      <c r="E62" s="682"/>
      <c r="F62" s="682"/>
      <c r="G62" s="682"/>
      <c r="H62" s="256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393"/>
      <c r="AC62" s="907"/>
      <c r="AD62" s="656"/>
      <c r="AE62" s="656"/>
      <c r="AF62" s="656"/>
      <c r="AG62" s="656"/>
      <c r="AH62" s="770"/>
      <c r="AI62" s="721"/>
      <c r="AJ62" s="721"/>
      <c r="AK62" s="721"/>
      <c r="AL62" s="721"/>
      <c r="AM62" s="851"/>
      <c r="AN62" s="656"/>
      <c r="AO62" s="656"/>
      <c r="AP62" s="656"/>
      <c r="AQ62" s="656"/>
      <c r="AR62" s="656"/>
      <c r="AS62" s="683"/>
      <c r="AT62" s="683"/>
      <c r="AU62" s="683"/>
      <c r="AV62" s="683"/>
      <c r="AW62" s="683"/>
      <c r="AX62" s="656"/>
      <c r="AY62" s="656"/>
      <c r="AZ62" s="656"/>
      <c r="BA62" s="656"/>
      <c r="BB62" s="657"/>
    </row>
    <row r="63" spans="1:54" s="165" customFormat="1" ht="12" x14ac:dyDescent="0.2">
      <c r="A63" s="666" t="s">
        <v>86</v>
      </c>
      <c r="B63" s="667"/>
      <c r="C63" s="667"/>
      <c r="D63" s="667"/>
      <c r="E63" s="667"/>
      <c r="F63" s="667"/>
      <c r="G63" s="667"/>
      <c r="H63" s="686" t="s">
        <v>530</v>
      </c>
      <c r="I63" s="686"/>
      <c r="J63" s="686"/>
      <c r="K63" s="686"/>
      <c r="L63" s="686"/>
      <c r="M63" s="686"/>
      <c r="N63" s="669"/>
      <c r="O63" s="669"/>
      <c r="P63" s="669"/>
      <c r="Q63" s="84" t="s">
        <v>27</v>
      </c>
      <c r="R63" s="669">
        <v>15600</v>
      </c>
      <c r="S63" s="669"/>
      <c r="T63" s="669"/>
      <c r="U63" s="669"/>
      <c r="V63" s="669"/>
      <c r="W63" s="84" t="s">
        <v>28</v>
      </c>
      <c r="X63" s="84"/>
      <c r="Y63" s="84"/>
      <c r="Z63" s="84"/>
      <c r="AA63" s="84"/>
      <c r="AB63" s="85"/>
      <c r="AC63" s="670">
        <f>R63*Z65</f>
        <v>40560</v>
      </c>
      <c r="AD63" s="781"/>
      <c r="AE63" s="781"/>
      <c r="AF63" s="781"/>
      <c r="AG63" s="781"/>
      <c r="AH63" s="781">
        <v>144</v>
      </c>
      <c r="AI63" s="781"/>
      <c r="AJ63" s="781"/>
      <c r="AK63" s="781"/>
      <c r="AL63" s="781"/>
      <c r="AM63" s="781"/>
      <c r="AN63" s="781">
        <f>AC63/AH63</f>
        <v>281.66666666666669</v>
      </c>
      <c r="AO63" s="781"/>
      <c r="AP63" s="781"/>
      <c r="AQ63" s="781"/>
      <c r="AR63" s="781"/>
      <c r="AS63" s="668">
        <v>36</v>
      </c>
      <c r="AT63" s="668"/>
      <c r="AU63" s="668"/>
      <c r="AV63" s="668"/>
      <c r="AW63" s="668"/>
      <c r="AX63" s="781">
        <f>AN63*AS63</f>
        <v>10140</v>
      </c>
      <c r="AY63" s="781"/>
      <c r="AZ63" s="781"/>
      <c r="BA63" s="781"/>
      <c r="BB63" s="782"/>
    </row>
    <row r="64" spans="1:54" s="165" customFormat="1" ht="12" x14ac:dyDescent="0.2">
      <c r="A64" s="652"/>
      <c r="B64" s="653"/>
      <c r="C64" s="653"/>
      <c r="D64" s="653"/>
      <c r="E64" s="653"/>
      <c r="F64" s="653"/>
      <c r="G64" s="653"/>
      <c r="H64" s="1326"/>
      <c r="I64" s="1326"/>
      <c r="J64" s="1326"/>
      <c r="K64" s="1326"/>
      <c r="L64" s="1326"/>
      <c r="M64" s="1326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5"/>
      <c r="AC64" s="598"/>
      <c r="AD64" s="601"/>
      <c r="AE64" s="601"/>
      <c r="AF64" s="601"/>
      <c r="AG64" s="601"/>
      <c r="AH64" s="601"/>
      <c r="AI64" s="601"/>
      <c r="AJ64" s="601"/>
      <c r="AK64" s="601"/>
      <c r="AL64" s="601"/>
      <c r="AM64" s="601"/>
      <c r="AN64" s="601"/>
      <c r="AO64" s="601"/>
      <c r="AP64" s="601"/>
      <c r="AQ64" s="601"/>
      <c r="AR64" s="601"/>
      <c r="AS64" s="664"/>
      <c r="AT64" s="664"/>
      <c r="AU64" s="664"/>
      <c r="AV64" s="664"/>
      <c r="AW64" s="664"/>
      <c r="AX64" s="601"/>
      <c r="AY64" s="601"/>
      <c r="AZ64" s="601"/>
      <c r="BA64" s="601"/>
      <c r="BB64" s="655"/>
    </row>
    <row r="65" spans="1:54" s="165" customFormat="1" ht="15" x14ac:dyDescent="0.2">
      <c r="A65" s="652"/>
      <c r="B65" s="653"/>
      <c r="C65" s="653"/>
      <c r="D65" s="653"/>
      <c r="E65" s="653"/>
      <c r="F65" s="653"/>
      <c r="G65" s="653"/>
      <c r="H65" s="1325" t="s">
        <v>656</v>
      </c>
      <c r="I65" s="1326"/>
      <c r="J65" s="1326"/>
      <c r="K65" s="1326"/>
      <c r="L65" s="1326"/>
      <c r="M65" s="1326"/>
      <c r="N65" s="1326"/>
      <c r="O65" s="1326"/>
      <c r="P65" s="1326"/>
      <c r="Q65" s="1326"/>
      <c r="R65" s="1326"/>
      <c r="S65" s="1326"/>
      <c r="T65" s="1326"/>
      <c r="U65" s="1326"/>
      <c r="V65" s="1326"/>
      <c r="W65" s="1326"/>
      <c r="X65" s="1326"/>
      <c r="Y65" s="401" t="s">
        <v>28</v>
      </c>
      <c r="Z65" s="704">
        <v>2.6</v>
      </c>
      <c r="AA65" s="704"/>
      <c r="AB65" s="735"/>
      <c r="AC65" s="598"/>
      <c r="AD65" s="601"/>
      <c r="AE65" s="601"/>
      <c r="AF65" s="601"/>
      <c r="AG65" s="601"/>
      <c r="AH65" s="601"/>
      <c r="AI65" s="601"/>
      <c r="AJ65" s="601"/>
      <c r="AK65" s="601"/>
      <c r="AL65" s="601"/>
      <c r="AM65" s="601"/>
      <c r="AN65" s="601"/>
      <c r="AO65" s="601"/>
      <c r="AP65" s="601"/>
      <c r="AQ65" s="601"/>
      <c r="AR65" s="601"/>
      <c r="AS65" s="664"/>
      <c r="AT65" s="664"/>
      <c r="AU65" s="664"/>
      <c r="AV65" s="664"/>
      <c r="AW65" s="664"/>
      <c r="AX65" s="601"/>
      <c r="AY65" s="601"/>
      <c r="AZ65" s="601"/>
      <c r="BA65" s="601"/>
      <c r="BB65" s="655"/>
    </row>
    <row r="66" spans="1:54" ht="12" customHeight="1" thickBot="1" x14ac:dyDescent="0.25">
      <c r="A66" s="681"/>
      <c r="B66" s="682"/>
      <c r="C66" s="682"/>
      <c r="D66" s="682"/>
      <c r="E66" s="682"/>
      <c r="F66" s="682"/>
      <c r="G66" s="682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8"/>
      <c r="AC66" s="907"/>
      <c r="AD66" s="656"/>
      <c r="AE66" s="656"/>
      <c r="AF66" s="656"/>
      <c r="AG66" s="656"/>
      <c r="AH66" s="656"/>
      <c r="AI66" s="656"/>
      <c r="AJ66" s="656"/>
      <c r="AK66" s="656"/>
      <c r="AL66" s="656"/>
      <c r="AM66" s="656"/>
      <c r="AN66" s="656"/>
      <c r="AO66" s="656"/>
      <c r="AP66" s="656"/>
      <c r="AQ66" s="656"/>
      <c r="AR66" s="656"/>
      <c r="AS66" s="683"/>
      <c r="AT66" s="683"/>
      <c r="AU66" s="683"/>
      <c r="AV66" s="683"/>
      <c r="AW66" s="683"/>
      <c r="AX66" s="656"/>
      <c r="AY66" s="656"/>
      <c r="AZ66" s="656"/>
      <c r="BA66" s="656"/>
      <c r="BB66" s="657"/>
    </row>
    <row r="67" spans="1:54" ht="11.25" customHeight="1" x14ac:dyDescent="0.2">
      <c r="R67" s="187" t="s">
        <v>18</v>
      </c>
      <c r="S67" s="163"/>
      <c r="T67" s="163"/>
      <c r="U67" s="162"/>
      <c r="V67" s="162"/>
      <c r="W67" s="162"/>
      <c r="X67" s="162"/>
      <c r="Y67" s="162"/>
      <c r="Z67" s="162"/>
      <c r="AA67" s="162"/>
      <c r="AB67" s="162"/>
      <c r="AC67" s="162"/>
      <c r="AD67" s="162" t="s">
        <v>19</v>
      </c>
      <c r="AE67" s="162" t="s">
        <v>20</v>
      </c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88"/>
      <c r="AS67" s="702">
        <f>AX67/U12</f>
        <v>619.66666666666663</v>
      </c>
      <c r="AT67" s="702"/>
      <c r="AU67" s="702"/>
      <c r="AV67" s="702"/>
      <c r="AW67" s="702"/>
      <c r="AX67" s="702">
        <f>SUM(AX58:BB66)</f>
        <v>22308</v>
      </c>
      <c r="AY67" s="702"/>
      <c r="AZ67" s="702"/>
      <c r="BA67" s="702"/>
      <c r="BB67" s="703"/>
    </row>
    <row r="68" spans="1:54" ht="11.25" customHeight="1" thickBot="1" x14ac:dyDescent="0.25">
      <c r="R68" s="175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 t="s">
        <v>19</v>
      </c>
      <c r="AE68" s="176" t="s">
        <v>21</v>
      </c>
      <c r="AF68" s="176"/>
      <c r="AG68" s="176"/>
      <c r="AH68" s="176"/>
      <c r="AI68" s="176"/>
      <c r="AJ68" s="176"/>
      <c r="AK68" s="176"/>
      <c r="AL68" s="176"/>
      <c r="AM68" s="176"/>
      <c r="AN68" s="176"/>
      <c r="AO68" s="630">
        <v>0.30199999999999999</v>
      </c>
      <c r="AP68" s="631"/>
      <c r="AQ68" s="631"/>
      <c r="AR68" s="632"/>
      <c r="AS68" s="463">
        <f>AX68/U12</f>
        <v>187.13933333333333</v>
      </c>
      <c r="AT68" s="463"/>
      <c r="AU68" s="463"/>
      <c r="AV68" s="463"/>
      <c r="AW68" s="463"/>
      <c r="AX68" s="463">
        <f>AX67*AO68</f>
        <v>6737.0159999999996</v>
      </c>
      <c r="AY68" s="463"/>
      <c r="AZ68" s="463"/>
      <c r="BA68" s="463"/>
      <c r="BB68" s="633"/>
    </row>
    <row r="69" spans="1:54" ht="11.25" customHeight="1" thickBot="1" x14ac:dyDescent="0.25">
      <c r="M69" s="164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206"/>
      <c r="AP69" s="408"/>
      <c r="AQ69" s="408"/>
      <c r="AR69" s="408"/>
      <c r="AS69" s="409"/>
      <c r="AT69" s="409"/>
      <c r="AU69" s="409"/>
      <c r="AV69" s="409"/>
      <c r="AW69" s="409"/>
      <c r="AX69" s="409"/>
      <c r="AY69" s="409"/>
      <c r="AZ69" s="409"/>
      <c r="BA69" s="409"/>
      <c r="BB69" s="409"/>
    </row>
    <row r="70" spans="1:54" ht="12" customHeight="1" x14ac:dyDescent="0.2">
      <c r="A70" s="634" t="s">
        <v>32</v>
      </c>
      <c r="B70" s="634"/>
      <c r="C70" s="634"/>
      <c r="D70" s="634"/>
      <c r="E70" s="634"/>
      <c r="F70" s="634"/>
      <c r="G70" s="634"/>
      <c r="H70" s="634"/>
      <c r="I70" s="634"/>
      <c r="J70" s="634"/>
      <c r="K70" s="634"/>
      <c r="L70" s="634"/>
      <c r="M70" s="634"/>
      <c r="N70" s="634"/>
      <c r="O70" s="635" t="s">
        <v>33</v>
      </c>
      <c r="P70" s="636"/>
      <c r="Q70" s="636"/>
      <c r="R70" s="636"/>
      <c r="S70" s="636"/>
      <c r="T70" s="636"/>
      <c r="U70" s="636"/>
      <c r="V70" s="636"/>
      <c r="W70" s="636"/>
      <c r="X70" s="636"/>
      <c r="Y70" s="636"/>
      <c r="Z70" s="636"/>
      <c r="AA70" s="636"/>
      <c r="AB70" s="636"/>
      <c r="AC70" s="636"/>
      <c r="AD70" s="636"/>
      <c r="AE70" s="636"/>
      <c r="AF70" s="636"/>
      <c r="AG70" s="636"/>
      <c r="AH70" s="636"/>
      <c r="AI70" s="636"/>
      <c r="AJ70" s="636"/>
      <c r="AK70" s="636"/>
      <c r="AL70" s="636"/>
      <c r="AM70" s="636"/>
      <c r="AN70" s="636"/>
      <c r="AO70" s="637">
        <f>AS34+AS51+AS67</f>
        <v>867.5333333333333</v>
      </c>
      <c r="AP70" s="637"/>
      <c r="AQ70" s="637"/>
      <c r="AR70" s="637"/>
      <c r="AS70" s="637"/>
      <c r="AT70" s="637"/>
      <c r="AU70" s="637"/>
      <c r="AV70" s="637">
        <f>AX34+AX51+AX67</f>
        <v>31231.200000000001</v>
      </c>
      <c r="AW70" s="637"/>
      <c r="AX70" s="637"/>
      <c r="AY70" s="637"/>
      <c r="AZ70" s="637"/>
      <c r="BA70" s="637"/>
      <c r="BB70" s="638"/>
    </row>
    <row r="71" spans="1:54" ht="12" customHeight="1" thickBot="1" x14ac:dyDescent="0.25">
      <c r="M71" s="163"/>
      <c r="O71" s="643" t="s">
        <v>34</v>
      </c>
      <c r="P71" s="644"/>
      <c r="Q71" s="644"/>
      <c r="R71" s="644"/>
      <c r="S71" s="644"/>
      <c r="T71" s="644"/>
      <c r="U71" s="644"/>
      <c r="V71" s="644"/>
      <c r="W71" s="644"/>
      <c r="X71" s="644"/>
      <c r="Y71" s="644"/>
      <c r="Z71" s="644"/>
      <c r="AA71" s="644"/>
      <c r="AB71" s="644"/>
      <c r="AC71" s="644"/>
      <c r="AD71" s="644"/>
      <c r="AE71" s="644"/>
      <c r="AF71" s="644"/>
      <c r="AG71" s="644"/>
      <c r="AH71" s="644"/>
      <c r="AI71" s="644"/>
      <c r="AJ71" s="644"/>
      <c r="AK71" s="644"/>
      <c r="AL71" s="644"/>
      <c r="AM71" s="644"/>
      <c r="AN71" s="644"/>
      <c r="AO71" s="645">
        <f>AS35+AS52+AS68</f>
        <v>261.99506666666667</v>
      </c>
      <c r="AP71" s="645"/>
      <c r="AQ71" s="645"/>
      <c r="AR71" s="645"/>
      <c r="AS71" s="645"/>
      <c r="AT71" s="645"/>
      <c r="AU71" s="645"/>
      <c r="AV71" s="645">
        <f>AX35+AX52+AX68</f>
        <v>9431.8223999999991</v>
      </c>
      <c r="AW71" s="645"/>
      <c r="AX71" s="645"/>
      <c r="AY71" s="645"/>
      <c r="AZ71" s="645"/>
      <c r="BA71" s="645"/>
      <c r="BB71" s="646"/>
    </row>
    <row r="72" spans="1:54" ht="12" customHeight="1" thickBot="1" x14ac:dyDescent="0.25">
      <c r="M72" s="208" t="s">
        <v>35</v>
      </c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  <c r="AJ72" s="209"/>
      <c r="AK72" s="209"/>
      <c r="AL72" s="209"/>
      <c r="AM72" s="209"/>
      <c r="AN72" s="210"/>
      <c r="AO72" s="647">
        <f>AO71+AO70</f>
        <v>1129.5283999999999</v>
      </c>
      <c r="AP72" s="648"/>
      <c r="AQ72" s="648"/>
      <c r="AR72" s="648"/>
      <c r="AS72" s="648"/>
      <c r="AT72" s="648"/>
      <c r="AU72" s="648"/>
      <c r="AV72" s="648">
        <f>AV70+AV71</f>
        <v>40663.022400000002</v>
      </c>
      <c r="AW72" s="648"/>
      <c r="AX72" s="648"/>
      <c r="AY72" s="648"/>
      <c r="AZ72" s="648"/>
      <c r="BA72" s="648"/>
      <c r="BB72" s="649"/>
    </row>
    <row r="73" spans="1:54" ht="18" customHeight="1" x14ac:dyDescent="0.2"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</row>
    <row r="74" spans="1:54" s="159" customFormat="1" ht="15" customHeight="1" x14ac:dyDescent="0.2">
      <c r="A74" s="159" t="s">
        <v>36</v>
      </c>
      <c r="C74" s="159" t="s">
        <v>37</v>
      </c>
      <c r="AX74" s="160"/>
      <c r="AY74" s="160"/>
      <c r="AZ74" s="160"/>
      <c r="BA74" s="160"/>
      <c r="BB74" s="160"/>
    </row>
    <row r="75" spans="1:54" ht="21.75" customHeight="1" thickBot="1" x14ac:dyDescent="0.25"/>
    <row r="76" spans="1:54" s="163" customFormat="1" ht="39" customHeight="1" x14ac:dyDescent="0.2">
      <c r="A76" s="499" t="s">
        <v>38</v>
      </c>
      <c r="B76" s="500"/>
      <c r="C76" s="500"/>
      <c r="D76" s="500"/>
      <c r="E76" s="500"/>
      <c r="F76" s="500"/>
      <c r="G76" s="500"/>
      <c r="H76" s="500"/>
      <c r="I76" s="500"/>
      <c r="J76" s="500"/>
      <c r="K76" s="500"/>
      <c r="L76" s="500"/>
      <c r="M76" s="500"/>
      <c r="N76" s="500"/>
      <c r="O76" s="500"/>
      <c r="P76" s="500"/>
      <c r="Q76" s="535" t="s">
        <v>39</v>
      </c>
      <c r="R76" s="535"/>
      <c r="S76" s="535"/>
      <c r="T76" s="535"/>
      <c r="U76" s="535"/>
      <c r="V76" s="535"/>
      <c r="W76" s="535"/>
      <c r="X76" s="535" t="s">
        <v>40</v>
      </c>
      <c r="Y76" s="535"/>
      <c r="Z76" s="535"/>
      <c r="AA76" s="535"/>
      <c r="AB76" s="535"/>
      <c r="AC76" s="535"/>
      <c r="AD76" s="535"/>
      <c r="AE76" s="535" t="s">
        <v>41</v>
      </c>
      <c r="AF76" s="535"/>
      <c r="AG76" s="535"/>
      <c r="AH76" s="535"/>
      <c r="AI76" s="535"/>
      <c r="AJ76" s="535"/>
      <c r="AK76" s="535"/>
      <c r="AL76" s="535"/>
      <c r="AM76" s="500" t="s">
        <v>42</v>
      </c>
      <c r="AN76" s="500"/>
      <c r="AO76" s="500"/>
      <c r="AP76" s="500"/>
      <c r="AQ76" s="500"/>
      <c r="AR76" s="500"/>
      <c r="AS76" s="500"/>
      <c r="AT76" s="500"/>
      <c r="AU76" s="500"/>
      <c r="AV76" s="500" t="s">
        <v>43</v>
      </c>
      <c r="AW76" s="500"/>
      <c r="AX76" s="500"/>
      <c r="AY76" s="500"/>
      <c r="AZ76" s="500"/>
      <c r="BA76" s="500"/>
      <c r="BB76" s="639"/>
    </row>
    <row r="77" spans="1:54" s="163" customFormat="1" ht="12" customHeight="1" thickBot="1" x14ac:dyDescent="0.25">
      <c r="A77" s="640">
        <v>1</v>
      </c>
      <c r="B77" s="641"/>
      <c r="C77" s="641"/>
      <c r="D77" s="641"/>
      <c r="E77" s="641"/>
      <c r="F77" s="641"/>
      <c r="G77" s="641"/>
      <c r="H77" s="641"/>
      <c r="I77" s="641"/>
      <c r="J77" s="641"/>
      <c r="K77" s="641"/>
      <c r="L77" s="641"/>
      <c r="M77" s="641"/>
      <c r="N77" s="641"/>
      <c r="O77" s="641"/>
      <c r="P77" s="641"/>
      <c r="Q77" s="641">
        <v>2</v>
      </c>
      <c r="R77" s="641"/>
      <c r="S77" s="641"/>
      <c r="T77" s="641"/>
      <c r="U77" s="641"/>
      <c r="V77" s="641"/>
      <c r="W77" s="641"/>
      <c r="X77" s="641">
        <v>3</v>
      </c>
      <c r="Y77" s="641"/>
      <c r="Z77" s="641"/>
      <c r="AA77" s="641"/>
      <c r="AB77" s="641"/>
      <c r="AC77" s="641"/>
      <c r="AD77" s="641"/>
      <c r="AE77" s="641">
        <v>4</v>
      </c>
      <c r="AF77" s="641"/>
      <c r="AG77" s="641"/>
      <c r="AH77" s="641"/>
      <c r="AI77" s="641"/>
      <c r="AJ77" s="641"/>
      <c r="AK77" s="641"/>
      <c r="AL77" s="641"/>
      <c r="AM77" s="641">
        <v>5</v>
      </c>
      <c r="AN77" s="641"/>
      <c r="AO77" s="641"/>
      <c r="AP77" s="641"/>
      <c r="AQ77" s="641"/>
      <c r="AR77" s="641"/>
      <c r="AS77" s="641"/>
      <c r="AT77" s="641"/>
      <c r="AU77" s="641"/>
      <c r="AV77" s="641">
        <v>6</v>
      </c>
      <c r="AW77" s="641"/>
      <c r="AX77" s="641"/>
      <c r="AY77" s="641"/>
      <c r="AZ77" s="641"/>
      <c r="BA77" s="641"/>
      <c r="BB77" s="642"/>
    </row>
    <row r="78" spans="1:54" ht="15" customHeight="1" x14ac:dyDescent="0.2">
      <c r="A78" s="618" t="s">
        <v>44</v>
      </c>
      <c r="B78" s="619"/>
      <c r="C78" s="619"/>
      <c r="D78" s="619"/>
      <c r="E78" s="619"/>
      <c r="F78" s="619"/>
      <c r="G78" s="619"/>
      <c r="H78" s="619"/>
      <c r="I78" s="619"/>
      <c r="J78" s="619"/>
      <c r="K78" s="619"/>
      <c r="L78" s="619"/>
      <c r="M78" s="619"/>
      <c r="N78" s="619"/>
      <c r="O78" s="619"/>
      <c r="P78" s="619"/>
      <c r="Q78" s="572">
        <v>5014.7</v>
      </c>
      <c r="R78" s="573"/>
      <c r="S78" s="573"/>
      <c r="T78" s="573"/>
      <c r="U78" s="573"/>
      <c r="V78" s="573"/>
      <c r="W78" s="574"/>
      <c r="X78" s="572">
        <v>153</v>
      </c>
      <c r="Y78" s="573"/>
      <c r="Z78" s="573"/>
      <c r="AA78" s="573"/>
      <c r="AB78" s="573"/>
      <c r="AC78" s="573"/>
      <c r="AD78" s="574"/>
      <c r="AE78" s="477">
        <v>1543273.99</v>
      </c>
      <c r="AF78" s="477"/>
      <c r="AG78" s="477"/>
      <c r="AH78" s="477"/>
      <c r="AI78" s="477"/>
      <c r="AJ78" s="477"/>
      <c r="AK78" s="477"/>
      <c r="AL78" s="477"/>
      <c r="AM78" s="620" t="s">
        <v>45</v>
      </c>
      <c r="AN78" s="621"/>
      <c r="AO78" s="621"/>
      <c r="AP78" s="621"/>
      <c r="AQ78" s="621"/>
      <c r="AR78" s="621"/>
      <c r="AS78" s="621"/>
      <c r="AT78" s="621"/>
      <c r="AU78" s="622"/>
      <c r="AV78" s="615">
        <f>AE78/$Q$78*$X$78/($AN$79*$AN$80)</f>
        <v>15.885881235887139</v>
      </c>
      <c r="AW78" s="615"/>
      <c r="AX78" s="615"/>
      <c r="AY78" s="615"/>
      <c r="AZ78" s="615"/>
      <c r="BA78" s="615"/>
      <c r="BB78" s="616"/>
    </row>
    <row r="79" spans="1:54" ht="15" customHeight="1" x14ac:dyDescent="0.2">
      <c r="A79" s="618" t="s">
        <v>46</v>
      </c>
      <c r="B79" s="619"/>
      <c r="C79" s="619"/>
      <c r="D79" s="619"/>
      <c r="E79" s="619"/>
      <c r="F79" s="619"/>
      <c r="G79" s="619"/>
      <c r="H79" s="619"/>
      <c r="I79" s="619"/>
      <c r="J79" s="619"/>
      <c r="K79" s="619"/>
      <c r="L79" s="619"/>
      <c r="M79" s="619"/>
      <c r="N79" s="619"/>
      <c r="O79" s="619"/>
      <c r="P79" s="619"/>
      <c r="Q79" s="572"/>
      <c r="R79" s="573"/>
      <c r="S79" s="573"/>
      <c r="T79" s="573"/>
      <c r="U79" s="573"/>
      <c r="V79" s="573"/>
      <c r="W79" s="574"/>
      <c r="X79" s="572"/>
      <c r="Y79" s="573"/>
      <c r="Z79" s="573"/>
      <c r="AA79" s="573"/>
      <c r="AB79" s="573"/>
      <c r="AC79" s="573"/>
      <c r="AD79" s="574"/>
      <c r="AE79" s="529">
        <v>2640483.81</v>
      </c>
      <c r="AF79" s="529"/>
      <c r="AG79" s="529"/>
      <c r="AH79" s="529"/>
      <c r="AI79" s="529"/>
      <c r="AJ79" s="529"/>
      <c r="AK79" s="529"/>
      <c r="AL79" s="529"/>
      <c r="AM79" s="213"/>
      <c r="AN79" s="623">
        <v>247</v>
      </c>
      <c r="AO79" s="623"/>
      <c r="AP79" s="623"/>
      <c r="AQ79" s="617" t="s">
        <v>47</v>
      </c>
      <c r="AR79" s="617"/>
      <c r="AS79" s="617"/>
      <c r="AT79" s="617"/>
      <c r="AU79" s="214"/>
      <c r="AV79" s="615">
        <f>AE79/$Q$78*$X$78/($AN$79*$AN$80)</f>
        <v>27.180145899395864</v>
      </c>
      <c r="AW79" s="615"/>
      <c r="AX79" s="615"/>
      <c r="AY79" s="615"/>
      <c r="AZ79" s="615"/>
      <c r="BA79" s="615"/>
      <c r="BB79" s="616"/>
    </row>
    <row r="80" spans="1:54" ht="15" customHeight="1" x14ac:dyDescent="0.2">
      <c r="A80" s="449" t="s">
        <v>48</v>
      </c>
      <c r="B80" s="450"/>
      <c r="C80" s="450"/>
      <c r="D80" s="450"/>
      <c r="E80" s="450"/>
      <c r="F80" s="450"/>
      <c r="G80" s="450"/>
      <c r="H80" s="450"/>
      <c r="I80" s="450"/>
      <c r="J80" s="450"/>
      <c r="K80" s="450"/>
      <c r="L80" s="450"/>
      <c r="M80" s="450"/>
      <c r="N80" s="450"/>
      <c r="O80" s="450"/>
      <c r="P80" s="451"/>
      <c r="Q80" s="572"/>
      <c r="R80" s="573"/>
      <c r="S80" s="573"/>
      <c r="T80" s="573"/>
      <c r="U80" s="573"/>
      <c r="V80" s="573"/>
      <c r="W80" s="574"/>
      <c r="X80" s="572"/>
      <c r="Y80" s="573"/>
      <c r="Z80" s="573"/>
      <c r="AA80" s="573"/>
      <c r="AB80" s="573"/>
      <c r="AC80" s="573"/>
      <c r="AD80" s="574"/>
      <c r="AE80" s="529">
        <v>4214618.8899999997</v>
      </c>
      <c r="AF80" s="529"/>
      <c r="AG80" s="529"/>
      <c r="AH80" s="529"/>
      <c r="AI80" s="529"/>
      <c r="AJ80" s="529"/>
      <c r="AK80" s="529"/>
      <c r="AL80" s="529"/>
      <c r="AM80" s="213"/>
      <c r="AN80" s="562">
        <v>12</v>
      </c>
      <c r="AO80" s="562"/>
      <c r="AP80" s="562"/>
      <c r="AQ80" s="617" t="s">
        <v>49</v>
      </c>
      <c r="AR80" s="617"/>
      <c r="AS80" s="617"/>
      <c r="AT80" s="617"/>
      <c r="AU80" s="214"/>
      <c r="AV80" s="615">
        <f>AE80/$Q$78*$X$78/($AN$79*$AN$80)</f>
        <v>43.383699573052795</v>
      </c>
      <c r="AW80" s="615"/>
      <c r="AX80" s="615"/>
      <c r="AY80" s="615"/>
      <c r="AZ80" s="615"/>
      <c r="BA80" s="615"/>
      <c r="BB80" s="616"/>
    </row>
    <row r="81" spans="1:57" ht="15" customHeight="1" thickBot="1" x14ac:dyDescent="0.25">
      <c r="A81" s="624" t="s">
        <v>50</v>
      </c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6"/>
      <c r="Q81" s="572"/>
      <c r="R81" s="573"/>
      <c r="S81" s="573"/>
      <c r="T81" s="573"/>
      <c r="U81" s="573"/>
      <c r="V81" s="573"/>
      <c r="W81" s="574"/>
      <c r="X81" s="572"/>
      <c r="Y81" s="573"/>
      <c r="Z81" s="573"/>
      <c r="AA81" s="573"/>
      <c r="AB81" s="573"/>
      <c r="AC81" s="573"/>
      <c r="AD81" s="574"/>
      <c r="AE81" s="627">
        <v>1852856.09</v>
      </c>
      <c r="AF81" s="627"/>
      <c r="AG81" s="627"/>
      <c r="AH81" s="627"/>
      <c r="AI81" s="627"/>
      <c r="AJ81" s="627"/>
      <c r="AK81" s="627"/>
      <c r="AL81" s="627"/>
      <c r="AM81" s="213"/>
      <c r="AN81" s="186"/>
      <c r="AO81" s="186"/>
      <c r="AP81" s="186"/>
      <c r="AQ81" s="186"/>
      <c r="AR81" s="186"/>
      <c r="AS81" s="186"/>
      <c r="AT81" s="186"/>
      <c r="AU81" s="214"/>
      <c r="AV81" s="628">
        <f>AE81/$Q$78*$X$78/($AN$79*$AN$80)</f>
        <v>19.072602780618507</v>
      </c>
      <c r="AW81" s="628"/>
      <c r="AX81" s="628"/>
      <c r="AY81" s="628"/>
      <c r="AZ81" s="628"/>
      <c r="BA81" s="628"/>
      <c r="BB81" s="629"/>
    </row>
    <row r="82" spans="1:57" s="161" customFormat="1" ht="15" customHeight="1" thickBot="1" x14ac:dyDescent="0.25">
      <c r="A82" s="610" t="s">
        <v>51</v>
      </c>
      <c r="B82" s="611"/>
      <c r="C82" s="611"/>
      <c r="D82" s="611"/>
      <c r="E82" s="611"/>
      <c r="F82" s="611"/>
      <c r="G82" s="611"/>
      <c r="H82" s="611"/>
      <c r="I82" s="611"/>
      <c r="J82" s="611"/>
      <c r="K82" s="611"/>
      <c r="L82" s="611"/>
      <c r="M82" s="611"/>
      <c r="N82" s="611"/>
      <c r="O82" s="611"/>
      <c r="P82" s="611"/>
      <c r="Q82" s="531">
        <f>Q78</f>
        <v>5014.7</v>
      </c>
      <c r="R82" s="533"/>
      <c r="S82" s="533"/>
      <c r="T82" s="533"/>
      <c r="U82" s="533"/>
      <c r="V82" s="533"/>
      <c r="W82" s="534"/>
      <c r="X82" s="531">
        <f>X78</f>
        <v>153</v>
      </c>
      <c r="Y82" s="533"/>
      <c r="Z82" s="533"/>
      <c r="AA82" s="533"/>
      <c r="AB82" s="533"/>
      <c r="AC82" s="533"/>
      <c r="AD82" s="534"/>
      <c r="AE82" s="612">
        <f>SUM(AE78:AL81)</f>
        <v>10251232.779999999</v>
      </c>
      <c r="AF82" s="612"/>
      <c r="AG82" s="612"/>
      <c r="AH82" s="612"/>
      <c r="AI82" s="612"/>
      <c r="AJ82" s="612"/>
      <c r="AK82" s="612"/>
      <c r="AL82" s="612"/>
      <c r="AM82" s="531" t="s">
        <v>17</v>
      </c>
      <c r="AN82" s="533"/>
      <c r="AO82" s="533"/>
      <c r="AP82" s="533"/>
      <c r="AQ82" s="533"/>
      <c r="AR82" s="533"/>
      <c r="AS82" s="533"/>
      <c r="AT82" s="533"/>
      <c r="AU82" s="534"/>
      <c r="AV82" s="613">
        <f>SUM(AV78:BB81)</f>
        <v>105.5223294889543</v>
      </c>
      <c r="AW82" s="613"/>
      <c r="AX82" s="613"/>
      <c r="AY82" s="613"/>
      <c r="AZ82" s="613"/>
      <c r="BA82" s="613"/>
      <c r="BB82" s="614"/>
    </row>
    <row r="83" spans="1:57" ht="31.5" customHeight="1" x14ac:dyDescent="0.2"/>
    <row r="84" spans="1:57" s="159" customFormat="1" ht="15" customHeight="1" x14ac:dyDescent="0.2">
      <c r="A84" s="159" t="s">
        <v>52</v>
      </c>
      <c r="C84" s="159" t="s">
        <v>53</v>
      </c>
      <c r="AX84" s="160"/>
      <c r="AY84" s="160"/>
      <c r="AZ84" s="160"/>
      <c r="BA84" s="160"/>
      <c r="BB84" s="160"/>
    </row>
    <row r="85" spans="1:57" ht="12" customHeight="1" thickBot="1" x14ac:dyDescent="0.25"/>
    <row r="86" spans="1:57" ht="39" customHeight="1" x14ac:dyDescent="0.2">
      <c r="A86" s="585" t="s">
        <v>54</v>
      </c>
      <c r="B86" s="586"/>
      <c r="C86" s="586"/>
      <c r="D86" s="586"/>
      <c r="E86" s="586"/>
      <c r="F86" s="586"/>
      <c r="G86" s="586"/>
      <c r="H86" s="586"/>
      <c r="I86" s="586"/>
      <c r="J86" s="586"/>
      <c r="K86" s="586"/>
      <c r="L86" s="586"/>
      <c r="M86" s="586"/>
      <c r="N86" s="586"/>
      <c r="O86" s="586"/>
      <c r="P86" s="586"/>
      <c r="Q86" s="586"/>
      <c r="R86" s="586"/>
      <c r="S86" s="586"/>
      <c r="T86" s="586"/>
      <c r="U86" s="586"/>
      <c r="V86" s="586"/>
      <c r="W86" s="586"/>
      <c r="X86" s="586"/>
      <c r="Y86" s="586"/>
      <c r="Z86" s="587"/>
      <c r="AA86" s="536" t="s">
        <v>55</v>
      </c>
      <c r="AB86" s="537"/>
      <c r="AC86" s="537"/>
      <c r="AD86" s="537"/>
      <c r="AE86" s="537"/>
      <c r="AF86" s="538"/>
      <c r="AG86" s="536" t="s">
        <v>56</v>
      </c>
      <c r="AH86" s="537"/>
      <c r="AI86" s="537"/>
      <c r="AJ86" s="537"/>
      <c r="AK86" s="537"/>
      <c r="AL86" s="538"/>
      <c r="AM86" s="588" t="s">
        <v>57</v>
      </c>
      <c r="AN86" s="586"/>
      <c r="AO86" s="586"/>
      <c r="AP86" s="586"/>
      <c r="AQ86" s="586"/>
      <c r="AR86" s="586"/>
      <c r="AS86" s="586"/>
      <c r="AT86" s="587"/>
      <c r="AU86" s="588" t="s">
        <v>43</v>
      </c>
      <c r="AV86" s="586"/>
      <c r="AW86" s="586"/>
      <c r="AX86" s="586"/>
      <c r="AY86" s="586"/>
      <c r="AZ86" s="586"/>
      <c r="BA86" s="586"/>
      <c r="BB86" s="589"/>
    </row>
    <row r="87" spans="1:57" ht="15.75" customHeight="1" thickBot="1" x14ac:dyDescent="0.25">
      <c r="A87" s="564">
        <v>1</v>
      </c>
      <c r="B87" s="475"/>
      <c r="C87" s="475"/>
      <c r="D87" s="475"/>
      <c r="E87" s="475"/>
      <c r="F87" s="475"/>
      <c r="G87" s="475"/>
      <c r="H87" s="475"/>
      <c r="I87" s="475"/>
      <c r="J87" s="475"/>
      <c r="K87" s="475"/>
      <c r="L87" s="475"/>
      <c r="M87" s="475"/>
      <c r="N87" s="475"/>
      <c r="O87" s="475"/>
      <c r="P87" s="475"/>
      <c r="Q87" s="475"/>
      <c r="R87" s="475"/>
      <c r="S87" s="475"/>
      <c r="T87" s="475"/>
      <c r="U87" s="475"/>
      <c r="V87" s="475"/>
      <c r="W87" s="475"/>
      <c r="X87" s="475"/>
      <c r="Y87" s="475"/>
      <c r="Z87" s="476"/>
      <c r="AA87" s="474">
        <v>2</v>
      </c>
      <c r="AB87" s="475"/>
      <c r="AC87" s="475"/>
      <c r="AD87" s="475"/>
      <c r="AE87" s="475"/>
      <c r="AF87" s="476"/>
      <c r="AG87" s="474">
        <v>3</v>
      </c>
      <c r="AH87" s="475"/>
      <c r="AI87" s="475"/>
      <c r="AJ87" s="475"/>
      <c r="AK87" s="475"/>
      <c r="AL87" s="476"/>
      <c r="AM87" s="474">
        <v>4</v>
      </c>
      <c r="AN87" s="475"/>
      <c r="AO87" s="475"/>
      <c r="AP87" s="475"/>
      <c r="AQ87" s="475"/>
      <c r="AR87" s="475"/>
      <c r="AS87" s="475"/>
      <c r="AT87" s="476"/>
      <c r="AU87" s="474">
        <v>5</v>
      </c>
      <c r="AV87" s="475"/>
      <c r="AW87" s="475"/>
      <c r="AX87" s="475"/>
      <c r="AY87" s="475"/>
      <c r="AZ87" s="475"/>
      <c r="BA87" s="475"/>
      <c r="BB87" s="565"/>
    </row>
    <row r="88" spans="1:57" ht="1.5" hidden="1" customHeight="1" x14ac:dyDescent="0.2">
      <c r="A88" s="566" t="s">
        <v>77</v>
      </c>
      <c r="B88" s="567"/>
      <c r="C88" s="567"/>
      <c r="D88" s="567"/>
      <c r="E88" s="567"/>
      <c r="F88" s="567"/>
      <c r="G88" s="567"/>
      <c r="H88" s="567"/>
      <c r="I88" s="567"/>
      <c r="J88" s="567"/>
      <c r="K88" s="567"/>
      <c r="L88" s="567"/>
      <c r="M88" s="567"/>
      <c r="N88" s="567"/>
      <c r="O88" s="567"/>
      <c r="P88" s="567"/>
      <c r="Q88" s="567"/>
      <c r="R88" s="567"/>
      <c r="S88" s="567"/>
      <c r="T88" s="567"/>
      <c r="U88" s="567"/>
      <c r="V88" s="567"/>
      <c r="W88" s="567"/>
      <c r="X88" s="567"/>
      <c r="Y88" s="567"/>
      <c r="Z88" s="568"/>
      <c r="AA88" s="604"/>
      <c r="AB88" s="605"/>
      <c r="AC88" s="605"/>
      <c r="AD88" s="605"/>
      <c r="AE88" s="605"/>
      <c r="AF88" s="606"/>
      <c r="AG88" s="569">
        <f>U12</f>
        <v>36</v>
      </c>
      <c r="AH88" s="570"/>
      <c r="AI88" s="570"/>
      <c r="AJ88" s="570"/>
      <c r="AK88" s="570"/>
      <c r="AL88" s="571"/>
      <c r="AM88" s="569" t="s">
        <v>58</v>
      </c>
      <c r="AN88" s="570"/>
      <c r="AO88" s="570"/>
      <c r="AP88" s="570"/>
      <c r="AQ88" s="570"/>
      <c r="AR88" s="570"/>
      <c r="AS88" s="570"/>
      <c r="AT88" s="571"/>
      <c r="AU88" s="607">
        <f>AA88/AG88</f>
        <v>0</v>
      </c>
      <c r="AV88" s="608"/>
      <c r="AW88" s="608"/>
      <c r="AX88" s="608"/>
      <c r="AY88" s="608"/>
      <c r="AZ88" s="608"/>
      <c r="BA88" s="608"/>
      <c r="BB88" s="609"/>
    </row>
    <row r="89" spans="1:57" ht="16.5" customHeight="1" x14ac:dyDescent="0.2">
      <c r="A89" s="449" t="s">
        <v>145</v>
      </c>
      <c r="B89" s="450"/>
      <c r="C89" s="450"/>
      <c r="D89" s="450"/>
      <c r="E89" s="450"/>
      <c r="F89" s="450"/>
      <c r="G89" s="450"/>
      <c r="H89" s="450"/>
      <c r="I89" s="450"/>
      <c r="J89" s="450"/>
      <c r="K89" s="450"/>
      <c r="L89" s="450"/>
      <c r="M89" s="450"/>
      <c r="N89" s="450"/>
      <c r="O89" s="450"/>
      <c r="P89" s="450"/>
      <c r="Q89" s="450"/>
      <c r="R89" s="450"/>
      <c r="S89" s="450"/>
      <c r="T89" s="450"/>
      <c r="U89" s="450"/>
      <c r="V89" s="450"/>
      <c r="W89" s="450"/>
      <c r="X89" s="450"/>
      <c r="Y89" s="450"/>
      <c r="Z89" s="451"/>
      <c r="AA89" s="596">
        <v>150</v>
      </c>
      <c r="AB89" s="597"/>
      <c r="AC89" s="597"/>
      <c r="AD89" s="597"/>
      <c r="AE89" s="597"/>
      <c r="AF89" s="598"/>
      <c r="AG89" s="572"/>
      <c r="AH89" s="573"/>
      <c r="AI89" s="573"/>
      <c r="AJ89" s="573"/>
      <c r="AK89" s="573"/>
      <c r="AL89" s="574"/>
      <c r="AM89" s="572"/>
      <c r="AN89" s="573"/>
      <c r="AO89" s="573"/>
      <c r="AP89" s="573"/>
      <c r="AQ89" s="573"/>
      <c r="AR89" s="573"/>
      <c r="AS89" s="573"/>
      <c r="AT89" s="574"/>
      <c r="AU89" s="590">
        <f>AA89/AG88</f>
        <v>4.166666666666667</v>
      </c>
      <c r="AV89" s="591"/>
      <c r="AW89" s="591"/>
      <c r="AX89" s="591"/>
      <c r="AY89" s="591"/>
      <c r="AZ89" s="591"/>
      <c r="BA89" s="591"/>
      <c r="BB89" s="592"/>
    </row>
    <row r="90" spans="1:57" ht="17.25" customHeight="1" x14ac:dyDescent="0.2">
      <c r="A90" s="593" t="s">
        <v>146</v>
      </c>
      <c r="B90" s="594"/>
      <c r="C90" s="594"/>
      <c r="D90" s="594"/>
      <c r="E90" s="594"/>
      <c r="F90" s="594"/>
      <c r="G90" s="594"/>
      <c r="H90" s="594"/>
      <c r="I90" s="594"/>
      <c r="J90" s="594"/>
      <c r="K90" s="594"/>
      <c r="L90" s="594"/>
      <c r="M90" s="594"/>
      <c r="N90" s="594"/>
      <c r="O90" s="594"/>
      <c r="P90" s="594"/>
      <c r="Q90" s="594"/>
      <c r="R90" s="594"/>
      <c r="S90" s="594"/>
      <c r="T90" s="594"/>
      <c r="U90" s="594"/>
      <c r="V90" s="594"/>
      <c r="W90" s="594"/>
      <c r="X90" s="594"/>
      <c r="Y90" s="594"/>
      <c r="Z90" s="595"/>
      <c r="AA90" s="596">
        <v>284.92</v>
      </c>
      <c r="AB90" s="597"/>
      <c r="AC90" s="597"/>
      <c r="AD90" s="597"/>
      <c r="AE90" s="597"/>
      <c r="AF90" s="598"/>
      <c r="AG90" s="572"/>
      <c r="AH90" s="573"/>
      <c r="AI90" s="573"/>
      <c r="AJ90" s="573"/>
      <c r="AK90" s="573"/>
      <c r="AL90" s="574"/>
      <c r="AM90" s="572"/>
      <c r="AN90" s="573"/>
      <c r="AO90" s="573"/>
      <c r="AP90" s="573"/>
      <c r="AQ90" s="573"/>
      <c r="AR90" s="573"/>
      <c r="AS90" s="573"/>
      <c r="AT90" s="574"/>
      <c r="AU90" s="590">
        <f>AA90/AG88</f>
        <v>7.9144444444444453</v>
      </c>
      <c r="AV90" s="591"/>
      <c r="AW90" s="591"/>
      <c r="AX90" s="591"/>
      <c r="AY90" s="591"/>
      <c r="AZ90" s="591"/>
      <c r="BA90" s="591"/>
      <c r="BB90" s="592"/>
    </row>
    <row r="91" spans="1:57" ht="25.5" hidden="1" customHeight="1" x14ac:dyDescent="0.2">
      <c r="A91" s="593"/>
      <c r="B91" s="594"/>
      <c r="C91" s="594"/>
      <c r="D91" s="594"/>
      <c r="E91" s="594"/>
      <c r="F91" s="594"/>
      <c r="G91" s="594"/>
      <c r="H91" s="594"/>
      <c r="I91" s="594"/>
      <c r="J91" s="594"/>
      <c r="K91" s="594"/>
      <c r="L91" s="594"/>
      <c r="M91" s="594"/>
      <c r="N91" s="594"/>
      <c r="O91" s="594"/>
      <c r="P91" s="594"/>
      <c r="Q91" s="594"/>
      <c r="R91" s="594"/>
      <c r="S91" s="594"/>
      <c r="T91" s="594"/>
      <c r="U91" s="594"/>
      <c r="V91" s="594"/>
      <c r="W91" s="594"/>
      <c r="X91" s="594"/>
      <c r="Y91" s="594"/>
      <c r="Z91" s="595"/>
      <c r="AA91" s="596">
        <v>0</v>
      </c>
      <c r="AB91" s="597"/>
      <c r="AC91" s="597"/>
      <c r="AD91" s="597"/>
      <c r="AE91" s="597"/>
      <c r="AF91" s="598"/>
      <c r="AG91" s="572"/>
      <c r="AH91" s="573"/>
      <c r="AI91" s="573"/>
      <c r="AJ91" s="573"/>
      <c r="AK91" s="573"/>
      <c r="AL91" s="574"/>
      <c r="AM91" s="572"/>
      <c r="AN91" s="573"/>
      <c r="AO91" s="573"/>
      <c r="AP91" s="573"/>
      <c r="AQ91" s="573"/>
      <c r="AR91" s="573"/>
      <c r="AS91" s="573"/>
      <c r="AT91" s="574"/>
      <c r="AU91" s="590">
        <f>AA91/AG88</f>
        <v>0</v>
      </c>
      <c r="AV91" s="591"/>
      <c r="AW91" s="591"/>
      <c r="AX91" s="591"/>
      <c r="AY91" s="591"/>
      <c r="AZ91" s="591"/>
      <c r="BA91" s="591"/>
      <c r="BB91" s="592"/>
      <c r="BE91" s="117">
        <f>AU91*12*4</f>
        <v>0</v>
      </c>
    </row>
    <row r="92" spans="1:57" ht="25.5" hidden="1" customHeight="1" x14ac:dyDescent="0.2">
      <c r="A92" s="593"/>
      <c r="B92" s="594"/>
      <c r="C92" s="594"/>
      <c r="D92" s="594"/>
      <c r="E92" s="594"/>
      <c r="F92" s="594"/>
      <c r="G92" s="594"/>
      <c r="H92" s="594"/>
      <c r="I92" s="594"/>
      <c r="J92" s="594"/>
      <c r="K92" s="594"/>
      <c r="L92" s="594"/>
      <c r="M92" s="594"/>
      <c r="N92" s="594"/>
      <c r="O92" s="594"/>
      <c r="P92" s="594"/>
      <c r="Q92" s="594"/>
      <c r="R92" s="594"/>
      <c r="S92" s="594"/>
      <c r="T92" s="594"/>
      <c r="U92" s="594"/>
      <c r="V92" s="594"/>
      <c r="W92" s="594"/>
      <c r="X92" s="594"/>
      <c r="Y92" s="594"/>
      <c r="Z92" s="595"/>
      <c r="AA92" s="596"/>
      <c r="AB92" s="597"/>
      <c r="AC92" s="597"/>
      <c r="AD92" s="597"/>
      <c r="AE92" s="597"/>
      <c r="AF92" s="598"/>
      <c r="AG92" s="572"/>
      <c r="AH92" s="573"/>
      <c r="AI92" s="573"/>
      <c r="AJ92" s="573"/>
      <c r="AK92" s="573"/>
      <c r="AL92" s="574"/>
      <c r="AM92" s="572"/>
      <c r="AN92" s="573"/>
      <c r="AO92" s="573"/>
      <c r="AP92" s="573"/>
      <c r="AQ92" s="573"/>
      <c r="AR92" s="573"/>
      <c r="AS92" s="573"/>
      <c r="AT92" s="574"/>
      <c r="AU92" s="590">
        <f>AA92/AG88</f>
        <v>0</v>
      </c>
      <c r="AV92" s="591"/>
      <c r="AW92" s="591"/>
      <c r="AX92" s="591"/>
      <c r="AY92" s="591"/>
      <c r="AZ92" s="591"/>
      <c r="BA92" s="591"/>
      <c r="BB92" s="592"/>
    </row>
    <row r="93" spans="1:57" ht="26.25" hidden="1" customHeight="1" x14ac:dyDescent="0.2">
      <c r="A93" s="449"/>
      <c r="B93" s="450"/>
      <c r="C93" s="450"/>
      <c r="D93" s="450"/>
      <c r="E93" s="450"/>
      <c r="F93" s="450"/>
      <c r="G93" s="450"/>
      <c r="H93" s="450"/>
      <c r="I93" s="450"/>
      <c r="J93" s="450"/>
      <c r="K93" s="450"/>
      <c r="L93" s="450"/>
      <c r="M93" s="450"/>
      <c r="N93" s="450"/>
      <c r="O93" s="450"/>
      <c r="P93" s="450"/>
      <c r="Q93" s="450"/>
      <c r="R93" s="450"/>
      <c r="S93" s="450"/>
      <c r="T93" s="450"/>
      <c r="U93" s="450"/>
      <c r="V93" s="450"/>
      <c r="W93" s="450"/>
      <c r="X93" s="450"/>
      <c r="Y93" s="450"/>
      <c r="Z93" s="451"/>
      <c r="AA93" s="596"/>
      <c r="AB93" s="597"/>
      <c r="AC93" s="597"/>
      <c r="AD93" s="597"/>
      <c r="AE93" s="597"/>
      <c r="AF93" s="598"/>
      <c r="AG93" s="572"/>
      <c r="AH93" s="573"/>
      <c r="AI93" s="573"/>
      <c r="AJ93" s="573"/>
      <c r="AK93" s="573"/>
      <c r="AL93" s="574"/>
      <c r="AM93" s="572"/>
      <c r="AN93" s="573"/>
      <c r="AO93" s="573"/>
      <c r="AP93" s="573"/>
      <c r="AQ93" s="573"/>
      <c r="AR93" s="573"/>
      <c r="AS93" s="573"/>
      <c r="AT93" s="574"/>
      <c r="AU93" s="590">
        <f>AA93/AG88</f>
        <v>0</v>
      </c>
      <c r="AV93" s="591"/>
      <c r="AW93" s="591"/>
      <c r="AX93" s="591"/>
      <c r="AY93" s="591"/>
      <c r="AZ93" s="591"/>
      <c r="BA93" s="591"/>
      <c r="BB93" s="592"/>
    </row>
    <row r="94" spans="1:57" ht="19.5" hidden="1" customHeight="1" x14ac:dyDescent="0.2">
      <c r="A94" s="593"/>
      <c r="B94" s="594"/>
      <c r="C94" s="594"/>
      <c r="D94" s="594"/>
      <c r="E94" s="594"/>
      <c r="F94" s="594"/>
      <c r="G94" s="594"/>
      <c r="H94" s="594"/>
      <c r="I94" s="594"/>
      <c r="J94" s="594"/>
      <c r="K94" s="594"/>
      <c r="L94" s="594"/>
      <c r="M94" s="594"/>
      <c r="N94" s="594"/>
      <c r="O94" s="594"/>
      <c r="P94" s="594"/>
      <c r="Q94" s="594"/>
      <c r="R94" s="594"/>
      <c r="S94" s="594"/>
      <c r="T94" s="594"/>
      <c r="U94" s="594"/>
      <c r="V94" s="594"/>
      <c r="W94" s="594"/>
      <c r="X94" s="594"/>
      <c r="Y94" s="594"/>
      <c r="Z94" s="595"/>
      <c r="AA94" s="596"/>
      <c r="AB94" s="597"/>
      <c r="AC94" s="597"/>
      <c r="AD94" s="597"/>
      <c r="AE94" s="597"/>
      <c r="AF94" s="598"/>
      <c r="AG94" s="572"/>
      <c r="AH94" s="573"/>
      <c r="AI94" s="573"/>
      <c r="AJ94" s="573"/>
      <c r="AK94" s="573"/>
      <c r="AL94" s="574"/>
      <c r="AM94" s="572"/>
      <c r="AN94" s="573"/>
      <c r="AO94" s="573"/>
      <c r="AP94" s="573"/>
      <c r="AQ94" s="573"/>
      <c r="AR94" s="573"/>
      <c r="AS94" s="573"/>
      <c r="AT94" s="574"/>
      <c r="AU94" s="590">
        <f>AA94/AG88</f>
        <v>0</v>
      </c>
      <c r="AV94" s="591"/>
      <c r="AW94" s="591"/>
      <c r="AX94" s="591"/>
      <c r="AY94" s="591"/>
      <c r="AZ94" s="591"/>
      <c r="BA94" s="591"/>
      <c r="BB94" s="592"/>
    </row>
    <row r="95" spans="1:57" ht="0.75" hidden="1" customHeight="1" x14ac:dyDescent="0.2">
      <c r="A95" s="593"/>
      <c r="B95" s="594"/>
      <c r="C95" s="594"/>
      <c r="D95" s="594"/>
      <c r="E95" s="594"/>
      <c r="F95" s="594"/>
      <c r="G95" s="594"/>
      <c r="H95" s="594"/>
      <c r="I95" s="594"/>
      <c r="J95" s="594"/>
      <c r="K95" s="594"/>
      <c r="L95" s="594"/>
      <c r="M95" s="594"/>
      <c r="N95" s="594"/>
      <c r="O95" s="594"/>
      <c r="P95" s="594"/>
      <c r="Q95" s="594"/>
      <c r="R95" s="594"/>
      <c r="S95" s="594"/>
      <c r="T95" s="594"/>
      <c r="U95" s="594"/>
      <c r="V95" s="594"/>
      <c r="W95" s="594"/>
      <c r="X95" s="594"/>
      <c r="Y95" s="594"/>
      <c r="Z95" s="595"/>
      <c r="AA95" s="596"/>
      <c r="AB95" s="597"/>
      <c r="AC95" s="597"/>
      <c r="AD95" s="597"/>
      <c r="AE95" s="597"/>
      <c r="AF95" s="598"/>
      <c r="AG95" s="572"/>
      <c r="AH95" s="573"/>
      <c r="AI95" s="573"/>
      <c r="AJ95" s="573"/>
      <c r="AK95" s="573"/>
      <c r="AL95" s="574"/>
      <c r="AM95" s="572"/>
      <c r="AN95" s="573"/>
      <c r="AO95" s="573"/>
      <c r="AP95" s="573"/>
      <c r="AQ95" s="573"/>
      <c r="AR95" s="573"/>
      <c r="AS95" s="573"/>
      <c r="AT95" s="574"/>
      <c r="AU95" s="590">
        <f>AA95/AG88</f>
        <v>0</v>
      </c>
      <c r="AV95" s="591"/>
      <c r="AW95" s="591"/>
      <c r="AX95" s="591"/>
      <c r="AY95" s="591"/>
      <c r="AZ95" s="591"/>
      <c r="BA95" s="591"/>
      <c r="BB95" s="592"/>
    </row>
    <row r="96" spans="1:57" ht="19.5" hidden="1" customHeight="1" x14ac:dyDescent="0.2">
      <c r="A96" s="593"/>
      <c r="B96" s="594"/>
      <c r="C96" s="594"/>
      <c r="D96" s="594"/>
      <c r="E96" s="594"/>
      <c r="F96" s="594"/>
      <c r="G96" s="594"/>
      <c r="H96" s="594"/>
      <c r="I96" s="594"/>
      <c r="J96" s="594"/>
      <c r="K96" s="594"/>
      <c r="L96" s="594"/>
      <c r="M96" s="594"/>
      <c r="N96" s="594"/>
      <c r="O96" s="594"/>
      <c r="P96" s="594"/>
      <c r="Q96" s="594"/>
      <c r="R96" s="594"/>
      <c r="S96" s="594"/>
      <c r="T96" s="594"/>
      <c r="U96" s="594"/>
      <c r="V96" s="594"/>
      <c r="W96" s="594"/>
      <c r="X96" s="594"/>
      <c r="Y96" s="594"/>
      <c r="Z96" s="595"/>
      <c r="AA96" s="596"/>
      <c r="AB96" s="597"/>
      <c r="AC96" s="597"/>
      <c r="AD96" s="597"/>
      <c r="AE96" s="597"/>
      <c r="AF96" s="598"/>
      <c r="AG96" s="572"/>
      <c r="AH96" s="573"/>
      <c r="AI96" s="573"/>
      <c r="AJ96" s="573"/>
      <c r="AK96" s="573"/>
      <c r="AL96" s="574"/>
      <c r="AM96" s="572"/>
      <c r="AN96" s="573"/>
      <c r="AO96" s="573"/>
      <c r="AP96" s="573"/>
      <c r="AQ96" s="573"/>
      <c r="AR96" s="573"/>
      <c r="AS96" s="573"/>
      <c r="AT96" s="574"/>
      <c r="AU96" s="590">
        <f>AA96/AG88</f>
        <v>0</v>
      </c>
      <c r="AV96" s="591"/>
      <c r="AW96" s="591"/>
      <c r="AX96" s="591"/>
      <c r="AY96" s="591"/>
      <c r="AZ96" s="591"/>
      <c r="BA96" s="591"/>
      <c r="BB96" s="592"/>
    </row>
    <row r="97" spans="1:54" ht="20.25" hidden="1" customHeight="1" x14ac:dyDescent="0.2">
      <c r="A97" s="593"/>
      <c r="B97" s="594"/>
      <c r="C97" s="594"/>
      <c r="D97" s="594"/>
      <c r="E97" s="594"/>
      <c r="F97" s="594"/>
      <c r="G97" s="594"/>
      <c r="H97" s="594"/>
      <c r="I97" s="594"/>
      <c r="J97" s="594"/>
      <c r="K97" s="594"/>
      <c r="L97" s="594"/>
      <c r="M97" s="594"/>
      <c r="N97" s="594"/>
      <c r="O97" s="594"/>
      <c r="P97" s="594"/>
      <c r="Q97" s="594"/>
      <c r="R97" s="594"/>
      <c r="S97" s="594"/>
      <c r="T97" s="594"/>
      <c r="U97" s="594"/>
      <c r="V97" s="594"/>
      <c r="W97" s="594"/>
      <c r="X97" s="594"/>
      <c r="Y97" s="594"/>
      <c r="Z97" s="595"/>
      <c r="AA97" s="596"/>
      <c r="AB97" s="597"/>
      <c r="AC97" s="597"/>
      <c r="AD97" s="597"/>
      <c r="AE97" s="597"/>
      <c r="AF97" s="598"/>
      <c r="AG97" s="572"/>
      <c r="AH97" s="573"/>
      <c r="AI97" s="573"/>
      <c r="AJ97" s="573"/>
      <c r="AK97" s="573"/>
      <c r="AL97" s="574"/>
      <c r="AM97" s="572"/>
      <c r="AN97" s="573"/>
      <c r="AO97" s="573"/>
      <c r="AP97" s="573"/>
      <c r="AQ97" s="573"/>
      <c r="AR97" s="573"/>
      <c r="AS97" s="573"/>
      <c r="AT97" s="574"/>
      <c r="AU97" s="590">
        <f>AA97/AG88</f>
        <v>0</v>
      </c>
      <c r="AV97" s="591"/>
      <c r="AW97" s="591"/>
      <c r="AX97" s="591"/>
      <c r="AY97" s="591"/>
      <c r="AZ97" s="591"/>
      <c r="BA97" s="591"/>
      <c r="BB97" s="592"/>
    </row>
    <row r="98" spans="1:54" ht="16.5" hidden="1" customHeight="1" x14ac:dyDescent="0.2">
      <c r="A98" s="593"/>
      <c r="B98" s="594"/>
      <c r="C98" s="594"/>
      <c r="D98" s="594"/>
      <c r="E98" s="594"/>
      <c r="F98" s="594"/>
      <c r="G98" s="594"/>
      <c r="H98" s="594"/>
      <c r="I98" s="594"/>
      <c r="J98" s="594"/>
      <c r="K98" s="594"/>
      <c r="L98" s="594"/>
      <c r="M98" s="594"/>
      <c r="N98" s="594"/>
      <c r="O98" s="594"/>
      <c r="P98" s="594"/>
      <c r="Q98" s="594"/>
      <c r="R98" s="594"/>
      <c r="S98" s="594"/>
      <c r="T98" s="594"/>
      <c r="U98" s="594"/>
      <c r="V98" s="594"/>
      <c r="W98" s="594"/>
      <c r="X98" s="594"/>
      <c r="Y98" s="594"/>
      <c r="Z98" s="595"/>
      <c r="AA98" s="596"/>
      <c r="AB98" s="597"/>
      <c r="AC98" s="597"/>
      <c r="AD98" s="597"/>
      <c r="AE98" s="597"/>
      <c r="AF98" s="598"/>
      <c r="AG98" s="572"/>
      <c r="AH98" s="573"/>
      <c r="AI98" s="573"/>
      <c r="AJ98" s="573"/>
      <c r="AK98" s="573"/>
      <c r="AL98" s="574"/>
      <c r="AM98" s="572"/>
      <c r="AN98" s="573"/>
      <c r="AO98" s="573"/>
      <c r="AP98" s="573"/>
      <c r="AQ98" s="573"/>
      <c r="AR98" s="573"/>
      <c r="AS98" s="573"/>
      <c r="AT98" s="574"/>
      <c r="AU98" s="590">
        <f>AA98/AG88</f>
        <v>0</v>
      </c>
      <c r="AV98" s="591"/>
      <c r="AW98" s="591"/>
      <c r="AX98" s="591"/>
      <c r="AY98" s="591"/>
      <c r="AZ98" s="591"/>
      <c r="BA98" s="591"/>
      <c r="BB98" s="592"/>
    </row>
    <row r="99" spans="1:54" s="161" customFormat="1" ht="19.5" hidden="1" customHeight="1" x14ac:dyDescent="0.2">
      <c r="A99" s="593"/>
      <c r="B99" s="594"/>
      <c r="C99" s="594"/>
      <c r="D99" s="594"/>
      <c r="E99" s="594"/>
      <c r="F99" s="594"/>
      <c r="G99" s="594"/>
      <c r="H99" s="594"/>
      <c r="I99" s="594"/>
      <c r="J99" s="594"/>
      <c r="K99" s="594"/>
      <c r="L99" s="594"/>
      <c r="M99" s="594"/>
      <c r="N99" s="594"/>
      <c r="O99" s="594"/>
      <c r="P99" s="594"/>
      <c r="Q99" s="594"/>
      <c r="R99" s="594"/>
      <c r="S99" s="594"/>
      <c r="T99" s="594"/>
      <c r="U99" s="594"/>
      <c r="V99" s="594"/>
      <c r="W99" s="594"/>
      <c r="X99" s="594"/>
      <c r="Y99" s="594"/>
      <c r="Z99" s="595"/>
      <c r="AA99" s="596"/>
      <c r="AB99" s="597"/>
      <c r="AC99" s="597"/>
      <c r="AD99" s="597"/>
      <c r="AE99" s="597"/>
      <c r="AF99" s="598"/>
      <c r="AG99" s="572"/>
      <c r="AH99" s="573"/>
      <c r="AI99" s="573"/>
      <c r="AJ99" s="573"/>
      <c r="AK99" s="573"/>
      <c r="AL99" s="574"/>
      <c r="AM99" s="572"/>
      <c r="AN99" s="573"/>
      <c r="AO99" s="573"/>
      <c r="AP99" s="573"/>
      <c r="AQ99" s="573"/>
      <c r="AR99" s="573"/>
      <c r="AS99" s="573"/>
      <c r="AT99" s="574"/>
      <c r="AU99" s="590">
        <f>AA99/AG88</f>
        <v>0</v>
      </c>
      <c r="AV99" s="591"/>
      <c r="AW99" s="591"/>
      <c r="AX99" s="591"/>
      <c r="AY99" s="591"/>
      <c r="AZ99" s="591"/>
      <c r="BA99" s="591"/>
      <c r="BB99" s="592"/>
    </row>
    <row r="100" spans="1:54" ht="1.5" hidden="1" customHeight="1" x14ac:dyDescent="0.2">
      <c r="A100" s="593"/>
      <c r="B100" s="594"/>
      <c r="C100" s="594"/>
      <c r="D100" s="594"/>
      <c r="E100" s="594"/>
      <c r="F100" s="594"/>
      <c r="G100" s="594"/>
      <c r="H100" s="594"/>
      <c r="I100" s="594"/>
      <c r="J100" s="594"/>
      <c r="K100" s="594"/>
      <c r="L100" s="594"/>
      <c r="M100" s="594"/>
      <c r="N100" s="594"/>
      <c r="O100" s="594"/>
      <c r="P100" s="594"/>
      <c r="Q100" s="594"/>
      <c r="R100" s="594"/>
      <c r="S100" s="594"/>
      <c r="T100" s="594"/>
      <c r="U100" s="594"/>
      <c r="V100" s="594"/>
      <c r="W100" s="594"/>
      <c r="X100" s="594"/>
      <c r="Y100" s="594"/>
      <c r="Z100" s="595"/>
      <c r="AA100" s="596"/>
      <c r="AB100" s="597"/>
      <c r="AC100" s="597"/>
      <c r="AD100" s="597"/>
      <c r="AE100" s="597"/>
      <c r="AF100" s="598"/>
      <c r="AG100" s="572"/>
      <c r="AH100" s="573"/>
      <c r="AI100" s="573"/>
      <c r="AJ100" s="573"/>
      <c r="AK100" s="573"/>
      <c r="AL100" s="574"/>
      <c r="AM100" s="572"/>
      <c r="AN100" s="573"/>
      <c r="AO100" s="573"/>
      <c r="AP100" s="573"/>
      <c r="AQ100" s="573"/>
      <c r="AR100" s="573"/>
      <c r="AS100" s="573"/>
      <c r="AT100" s="574"/>
      <c r="AU100" s="590">
        <f>AA100/AG88</f>
        <v>0</v>
      </c>
      <c r="AV100" s="591"/>
      <c r="AW100" s="591"/>
      <c r="AX100" s="591"/>
      <c r="AY100" s="591"/>
      <c r="AZ100" s="591"/>
      <c r="BA100" s="591"/>
      <c r="BB100" s="592"/>
    </row>
    <row r="101" spans="1:54" s="159" customFormat="1" ht="17.25" hidden="1" customHeight="1" x14ac:dyDescent="0.2">
      <c r="A101" s="593"/>
      <c r="B101" s="594"/>
      <c r="C101" s="594"/>
      <c r="D101" s="594"/>
      <c r="E101" s="594"/>
      <c r="F101" s="594"/>
      <c r="G101" s="594"/>
      <c r="H101" s="594"/>
      <c r="I101" s="594"/>
      <c r="J101" s="594"/>
      <c r="K101" s="594"/>
      <c r="L101" s="594"/>
      <c r="M101" s="594"/>
      <c r="N101" s="594"/>
      <c r="O101" s="594"/>
      <c r="P101" s="594"/>
      <c r="Q101" s="594"/>
      <c r="R101" s="594"/>
      <c r="S101" s="594"/>
      <c r="T101" s="594"/>
      <c r="U101" s="594"/>
      <c r="V101" s="594"/>
      <c r="W101" s="594"/>
      <c r="X101" s="594"/>
      <c r="Y101" s="594"/>
      <c r="Z101" s="595"/>
      <c r="AA101" s="596"/>
      <c r="AB101" s="597"/>
      <c r="AC101" s="597"/>
      <c r="AD101" s="597"/>
      <c r="AE101" s="597"/>
      <c r="AF101" s="598"/>
      <c r="AG101" s="572"/>
      <c r="AH101" s="573"/>
      <c r="AI101" s="573"/>
      <c r="AJ101" s="573"/>
      <c r="AK101" s="573"/>
      <c r="AL101" s="574"/>
      <c r="AM101" s="572"/>
      <c r="AN101" s="573"/>
      <c r="AO101" s="573"/>
      <c r="AP101" s="573"/>
      <c r="AQ101" s="573"/>
      <c r="AR101" s="573"/>
      <c r="AS101" s="573"/>
      <c r="AT101" s="574"/>
      <c r="AU101" s="590">
        <f>AA101/AG88</f>
        <v>0</v>
      </c>
      <c r="AV101" s="591"/>
      <c r="AW101" s="591"/>
      <c r="AX101" s="591"/>
      <c r="AY101" s="591"/>
      <c r="AZ101" s="591"/>
      <c r="BA101" s="591"/>
      <c r="BB101" s="592"/>
    </row>
    <row r="102" spans="1:54" ht="17.25" customHeight="1" x14ac:dyDescent="0.2">
      <c r="A102" s="593" t="s">
        <v>149</v>
      </c>
      <c r="B102" s="594"/>
      <c r="C102" s="594"/>
      <c r="D102" s="594"/>
      <c r="E102" s="594"/>
      <c r="F102" s="594"/>
      <c r="G102" s="594"/>
      <c r="H102" s="594"/>
      <c r="I102" s="594"/>
      <c r="J102" s="594"/>
      <c r="K102" s="594"/>
      <c r="L102" s="594"/>
      <c r="M102" s="594"/>
      <c r="N102" s="594"/>
      <c r="O102" s="594"/>
      <c r="P102" s="594"/>
      <c r="Q102" s="594"/>
      <c r="R102" s="594"/>
      <c r="S102" s="594"/>
      <c r="T102" s="594"/>
      <c r="U102" s="594"/>
      <c r="V102" s="594"/>
      <c r="W102" s="594"/>
      <c r="X102" s="594"/>
      <c r="Y102" s="594"/>
      <c r="Z102" s="595"/>
      <c r="AA102" s="596">
        <v>350</v>
      </c>
      <c r="AB102" s="597"/>
      <c r="AC102" s="597"/>
      <c r="AD102" s="597"/>
      <c r="AE102" s="597"/>
      <c r="AF102" s="598"/>
      <c r="AG102" s="572"/>
      <c r="AH102" s="573"/>
      <c r="AI102" s="573"/>
      <c r="AJ102" s="573"/>
      <c r="AK102" s="573"/>
      <c r="AL102" s="574"/>
      <c r="AM102" s="572"/>
      <c r="AN102" s="573"/>
      <c r="AO102" s="573"/>
      <c r="AP102" s="573"/>
      <c r="AQ102" s="573"/>
      <c r="AR102" s="573"/>
      <c r="AS102" s="573"/>
      <c r="AT102" s="574"/>
      <c r="AU102" s="590">
        <f>AA102/AG88</f>
        <v>9.7222222222222214</v>
      </c>
      <c r="AV102" s="591"/>
      <c r="AW102" s="591"/>
      <c r="AX102" s="591"/>
      <c r="AY102" s="591"/>
      <c r="AZ102" s="591"/>
      <c r="BA102" s="591"/>
      <c r="BB102" s="592"/>
    </row>
    <row r="103" spans="1:54" ht="14.25" customHeight="1" x14ac:dyDescent="0.2">
      <c r="A103" s="593" t="s">
        <v>150</v>
      </c>
      <c r="B103" s="594"/>
      <c r="C103" s="594"/>
      <c r="D103" s="594"/>
      <c r="E103" s="594"/>
      <c r="F103" s="594"/>
      <c r="G103" s="594"/>
      <c r="H103" s="594"/>
      <c r="I103" s="594"/>
      <c r="J103" s="594"/>
      <c r="K103" s="594"/>
      <c r="L103" s="594"/>
      <c r="M103" s="594"/>
      <c r="N103" s="594"/>
      <c r="O103" s="594"/>
      <c r="P103" s="594"/>
      <c r="Q103" s="594"/>
      <c r="R103" s="594"/>
      <c r="S103" s="594"/>
      <c r="T103" s="594"/>
      <c r="U103" s="594"/>
      <c r="V103" s="594"/>
      <c r="W103" s="594"/>
      <c r="X103" s="594"/>
      <c r="Y103" s="594"/>
      <c r="Z103" s="595"/>
      <c r="AA103" s="596">
        <v>370</v>
      </c>
      <c r="AB103" s="597"/>
      <c r="AC103" s="597"/>
      <c r="AD103" s="597"/>
      <c r="AE103" s="597"/>
      <c r="AF103" s="598"/>
      <c r="AG103" s="572"/>
      <c r="AH103" s="573"/>
      <c r="AI103" s="573"/>
      <c r="AJ103" s="573"/>
      <c r="AK103" s="573"/>
      <c r="AL103" s="574"/>
      <c r="AM103" s="572"/>
      <c r="AN103" s="573"/>
      <c r="AO103" s="573"/>
      <c r="AP103" s="573"/>
      <c r="AQ103" s="573"/>
      <c r="AR103" s="573"/>
      <c r="AS103" s="573"/>
      <c r="AT103" s="574"/>
      <c r="AU103" s="590">
        <f>AA103/AG88</f>
        <v>10.277777777777779</v>
      </c>
      <c r="AV103" s="591"/>
      <c r="AW103" s="591"/>
      <c r="AX103" s="591"/>
      <c r="AY103" s="591"/>
      <c r="AZ103" s="591"/>
      <c r="BA103" s="591"/>
      <c r="BB103" s="592"/>
    </row>
    <row r="104" spans="1:54" ht="19.5" hidden="1" customHeight="1" x14ac:dyDescent="0.2">
      <c r="A104" s="593"/>
      <c r="B104" s="594"/>
      <c r="C104" s="594"/>
      <c r="D104" s="594"/>
      <c r="E104" s="594"/>
      <c r="F104" s="594"/>
      <c r="G104" s="594"/>
      <c r="H104" s="594"/>
      <c r="I104" s="594"/>
      <c r="J104" s="594"/>
      <c r="K104" s="594"/>
      <c r="L104" s="594"/>
      <c r="M104" s="594"/>
      <c r="N104" s="594"/>
      <c r="O104" s="594"/>
      <c r="P104" s="594"/>
      <c r="Q104" s="594"/>
      <c r="R104" s="594"/>
      <c r="S104" s="594"/>
      <c r="T104" s="594"/>
      <c r="U104" s="594"/>
      <c r="V104" s="594"/>
      <c r="W104" s="594"/>
      <c r="X104" s="594"/>
      <c r="Y104" s="594"/>
      <c r="Z104" s="595"/>
      <c r="AA104" s="596"/>
      <c r="AB104" s="597"/>
      <c r="AC104" s="597"/>
      <c r="AD104" s="597"/>
      <c r="AE104" s="597"/>
      <c r="AF104" s="598"/>
      <c r="AG104" s="572"/>
      <c r="AH104" s="573"/>
      <c r="AI104" s="573"/>
      <c r="AJ104" s="573"/>
      <c r="AK104" s="573"/>
      <c r="AL104" s="574"/>
      <c r="AM104" s="572"/>
      <c r="AN104" s="573"/>
      <c r="AO104" s="573"/>
      <c r="AP104" s="573"/>
      <c r="AQ104" s="573"/>
      <c r="AR104" s="573"/>
      <c r="AS104" s="573"/>
      <c r="AT104" s="574"/>
      <c r="AU104" s="590">
        <f>AA104/AG88</f>
        <v>0</v>
      </c>
      <c r="AV104" s="591"/>
      <c r="AW104" s="591"/>
      <c r="AX104" s="591"/>
      <c r="AY104" s="591"/>
      <c r="AZ104" s="591"/>
      <c r="BA104" s="591"/>
      <c r="BB104" s="592"/>
    </row>
    <row r="105" spans="1:54" ht="14.25" customHeight="1" x14ac:dyDescent="0.2">
      <c r="A105" s="593" t="s">
        <v>516</v>
      </c>
      <c r="B105" s="594"/>
      <c r="C105" s="594"/>
      <c r="D105" s="594"/>
      <c r="E105" s="594"/>
      <c r="F105" s="594"/>
      <c r="G105" s="594"/>
      <c r="H105" s="594"/>
      <c r="I105" s="594"/>
      <c r="J105" s="594"/>
      <c r="K105" s="594"/>
      <c r="L105" s="594"/>
      <c r="M105" s="594"/>
      <c r="N105" s="594"/>
      <c r="O105" s="594"/>
      <c r="P105" s="594"/>
      <c r="Q105" s="594"/>
      <c r="R105" s="594"/>
      <c r="S105" s="594"/>
      <c r="T105" s="594"/>
      <c r="U105" s="594"/>
      <c r="V105" s="594"/>
      <c r="W105" s="594"/>
      <c r="X105" s="594"/>
      <c r="Y105" s="594"/>
      <c r="Z105" s="595"/>
      <c r="AA105" s="596">
        <v>450</v>
      </c>
      <c r="AB105" s="597"/>
      <c r="AC105" s="597"/>
      <c r="AD105" s="597"/>
      <c r="AE105" s="597"/>
      <c r="AF105" s="59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590">
        <f>AA105/AG88</f>
        <v>12.5</v>
      </c>
      <c r="AV105" s="591"/>
      <c r="AW105" s="591"/>
      <c r="AX105" s="591"/>
      <c r="AY105" s="591"/>
      <c r="AZ105" s="591"/>
      <c r="BA105" s="591"/>
      <c r="BB105" s="592"/>
    </row>
    <row r="106" spans="1:54" ht="15.75" customHeight="1" x14ac:dyDescent="0.2">
      <c r="A106" s="593" t="s">
        <v>147</v>
      </c>
      <c r="B106" s="594"/>
      <c r="C106" s="594"/>
      <c r="D106" s="594"/>
      <c r="E106" s="594"/>
      <c r="F106" s="594"/>
      <c r="G106" s="594"/>
      <c r="H106" s="594"/>
      <c r="I106" s="594"/>
      <c r="J106" s="594"/>
      <c r="K106" s="594"/>
      <c r="L106" s="594"/>
      <c r="M106" s="594"/>
      <c r="N106" s="594"/>
      <c r="O106" s="594"/>
      <c r="P106" s="594"/>
      <c r="Q106" s="594"/>
      <c r="R106" s="594"/>
      <c r="S106" s="594"/>
      <c r="T106" s="594"/>
      <c r="U106" s="594"/>
      <c r="V106" s="594"/>
      <c r="W106" s="594"/>
      <c r="X106" s="594"/>
      <c r="Y106" s="594"/>
      <c r="Z106" s="595"/>
      <c r="AA106" s="596">
        <v>550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AA106/AG88</f>
        <v>15.277777777777779</v>
      </c>
      <c r="AV106" s="591"/>
      <c r="AW106" s="591"/>
      <c r="AX106" s="591"/>
      <c r="AY106" s="591"/>
      <c r="AZ106" s="591"/>
      <c r="BA106" s="591"/>
      <c r="BB106" s="592"/>
    </row>
    <row r="107" spans="1:54" ht="13.5" customHeight="1" thickBot="1" x14ac:dyDescent="0.25">
      <c r="A107" s="593" t="s">
        <v>148</v>
      </c>
      <c r="B107" s="594"/>
      <c r="C107" s="594"/>
      <c r="D107" s="594"/>
      <c r="E107" s="594"/>
      <c r="F107" s="594"/>
      <c r="G107" s="594"/>
      <c r="H107" s="594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4"/>
      <c r="Z107" s="595"/>
      <c r="AA107" s="596">
        <v>350</v>
      </c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AA107/AG88</f>
        <v>9.7222222222222214</v>
      </c>
      <c r="AV107" s="591"/>
      <c r="AW107" s="591"/>
      <c r="AX107" s="591"/>
      <c r="AY107" s="591"/>
      <c r="AZ107" s="591"/>
      <c r="BA107" s="591"/>
      <c r="BB107" s="592"/>
    </row>
    <row r="108" spans="1:54" ht="13.5" hidden="1" customHeight="1" x14ac:dyDescent="0.2">
      <c r="A108" s="599"/>
      <c r="B108" s="600"/>
      <c r="C108" s="600"/>
      <c r="D108" s="600"/>
      <c r="E108" s="600"/>
      <c r="F108" s="600"/>
      <c r="G108" s="600"/>
      <c r="H108" s="600"/>
      <c r="I108" s="600"/>
      <c r="J108" s="600"/>
      <c r="K108" s="600"/>
      <c r="L108" s="600"/>
      <c r="M108" s="600"/>
      <c r="N108" s="600"/>
      <c r="O108" s="600"/>
      <c r="P108" s="600"/>
      <c r="Q108" s="600"/>
      <c r="R108" s="600"/>
      <c r="S108" s="600"/>
      <c r="T108" s="600"/>
      <c r="U108" s="600"/>
      <c r="V108" s="600"/>
      <c r="W108" s="600"/>
      <c r="X108" s="600"/>
      <c r="Y108" s="600"/>
      <c r="Z108" s="600"/>
      <c r="AA108" s="601"/>
      <c r="AB108" s="601"/>
      <c r="AC108" s="601"/>
      <c r="AD108" s="601"/>
      <c r="AE108" s="601"/>
      <c r="AF108" s="601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602">
        <f>AA108/AG88</f>
        <v>0</v>
      </c>
      <c r="AV108" s="602"/>
      <c r="AW108" s="602"/>
      <c r="AX108" s="602"/>
      <c r="AY108" s="602"/>
      <c r="AZ108" s="602"/>
      <c r="BA108" s="602"/>
      <c r="BB108" s="603"/>
    </row>
    <row r="109" spans="1:54" ht="13.5" hidden="1" customHeight="1" thickBot="1" x14ac:dyDescent="0.25">
      <c r="A109" s="864"/>
      <c r="B109" s="865"/>
      <c r="C109" s="865"/>
      <c r="D109" s="865"/>
      <c r="E109" s="865"/>
      <c r="F109" s="865"/>
      <c r="G109" s="865"/>
      <c r="H109" s="865"/>
      <c r="I109" s="865"/>
      <c r="J109" s="865"/>
      <c r="K109" s="865"/>
      <c r="L109" s="865"/>
      <c r="M109" s="865"/>
      <c r="N109" s="865"/>
      <c r="O109" s="865"/>
      <c r="P109" s="865"/>
      <c r="Q109" s="865"/>
      <c r="R109" s="865"/>
      <c r="S109" s="865"/>
      <c r="T109" s="865"/>
      <c r="U109" s="865"/>
      <c r="V109" s="865"/>
      <c r="W109" s="865"/>
      <c r="X109" s="865"/>
      <c r="Y109" s="865"/>
      <c r="Z109" s="865"/>
      <c r="AA109" s="656"/>
      <c r="AB109" s="656"/>
      <c r="AC109" s="656"/>
      <c r="AD109" s="656"/>
      <c r="AE109" s="656"/>
      <c r="AF109" s="656"/>
      <c r="AG109" s="859"/>
      <c r="AH109" s="860"/>
      <c r="AI109" s="860"/>
      <c r="AJ109" s="860"/>
      <c r="AK109" s="860"/>
      <c r="AL109" s="861"/>
      <c r="AM109" s="859"/>
      <c r="AN109" s="860"/>
      <c r="AO109" s="860"/>
      <c r="AP109" s="860"/>
      <c r="AQ109" s="860"/>
      <c r="AR109" s="860"/>
      <c r="AS109" s="860"/>
      <c r="AT109" s="861"/>
      <c r="AU109" s="866">
        <f>AA109/AG88</f>
        <v>0</v>
      </c>
      <c r="AV109" s="866"/>
      <c r="AW109" s="866"/>
      <c r="AX109" s="866"/>
      <c r="AY109" s="866"/>
      <c r="AZ109" s="866"/>
      <c r="BA109" s="866"/>
      <c r="BB109" s="867"/>
    </row>
    <row r="110" spans="1:54" ht="16.5" customHeight="1" thickBot="1" x14ac:dyDescent="0.25">
      <c r="A110" s="545" t="s">
        <v>51</v>
      </c>
      <c r="B110" s="546"/>
      <c r="C110" s="546"/>
      <c r="D110" s="546"/>
      <c r="E110" s="546"/>
      <c r="F110" s="546"/>
      <c r="G110" s="546"/>
      <c r="H110" s="546"/>
      <c r="I110" s="546"/>
      <c r="J110" s="546"/>
      <c r="K110" s="546"/>
      <c r="L110" s="546"/>
      <c r="M110" s="546"/>
      <c r="N110" s="546"/>
      <c r="O110" s="546"/>
      <c r="P110" s="546"/>
      <c r="Q110" s="546"/>
      <c r="R110" s="546"/>
      <c r="S110" s="546"/>
      <c r="T110" s="546"/>
      <c r="U110" s="546"/>
      <c r="V110" s="546"/>
      <c r="W110" s="546"/>
      <c r="X110" s="546"/>
      <c r="Y110" s="546"/>
      <c r="Z110" s="547"/>
      <c r="AA110" s="582">
        <f>SUM(AA88:AF109)</f>
        <v>2504.92</v>
      </c>
      <c r="AB110" s="583"/>
      <c r="AC110" s="583"/>
      <c r="AD110" s="583"/>
      <c r="AE110" s="583"/>
      <c r="AF110" s="583"/>
      <c r="AG110" s="532">
        <f>AG88</f>
        <v>36</v>
      </c>
      <c r="AH110" s="533"/>
      <c r="AI110" s="533"/>
      <c r="AJ110" s="533"/>
      <c r="AK110" s="533"/>
      <c r="AL110" s="534"/>
      <c r="AM110" s="551" t="s">
        <v>17</v>
      </c>
      <c r="AN110" s="552"/>
      <c r="AO110" s="552"/>
      <c r="AP110" s="552"/>
      <c r="AQ110" s="552"/>
      <c r="AR110" s="552"/>
      <c r="AS110" s="552"/>
      <c r="AT110" s="584"/>
      <c r="AU110" s="555">
        <f>SUM(AU88:BB109)</f>
        <v>69.581111111111113</v>
      </c>
      <c r="AV110" s="555"/>
      <c r="AW110" s="555"/>
      <c r="AX110" s="555"/>
      <c r="AY110" s="555"/>
      <c r="AZ110" s="555"/>
      <c r="BA110" s="555"/>
      <c r="BB110" s="556"/>
    </row>
    <row r="111" spans="1:54" ht="45" customHeight="1" x14ac:dyDescent="0.2"/>
    <row r="112" spans="1:54" s="161" customFormat="1" ht="42.75" customHeight="1" x14ac:dyDescent="0.2">
      <c r="A112" s="159" t="s">
        <v>59</v>
      </c>
      <c r="B112" s="159"/>
      <c r="C112" s="159" t="s">
        <v>60</v>
      </c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  <c r="AH112" s="159"/>
      <c r="AI112" s="159"/>
      <c r="AJ112" s="159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60"/>
      <c r="AY112" s="160"/>
      <c r="AZ112" s="160"/>
      <c r="BA112" s="160"/>
      <c r="BB112" s="160"/>
    </row>
    <row r="113" spans="1:54" ht="12" customHeight="1" thickBot="1" x14ac:dyDescent="0.25"/>
    <row r="114" spans="1:54" s="159" customFormat="1" ht="12" customHeight="1" x14ac:dyDescent="0.2">
      <c r="A114" s="585" t="s">
        <v>54</v>
      </c>
      <c r="B114" s="586"/>
      <c r="C114" s="586"/>
      <c r="D114" s="586"/>
      <c r="E114" s="586"/>
      <c r="F114" s="586"/>
      <c r="G114" s="586"/>
      <c r="H114" s="586"/>
      <c r="I114" s="586"/>
      <c r="J114" s="586"/>
      <c r="K114" s="586"/>
      <c r="L114" s="586"/>
      <c r="M114" s="586"/>
      <c r="N114" s="586"/>
      <c r="O114" s="586"/>
      <c r="P114" s="586"/>
      <c r="Q114" s="586"/>
      <c r="R114" s="586"/>
      <c r="S114" s="586"/>
      <c r="T114" s="586"/>
      <c r="U114" s="586"/>
      <c r="V114" s="586"/>
      <c r="W114" s="586"/>
      <c r="X114" s="586"/>
      <c r="Y114" s="586"/>
      <c r="Z114" s="587"/>
      <c r="AA114" s="536" t="s">
        <v>55</v>
      </c>
      <c r="AB114" s="537"/>
      <c r="AC114" s="537"/>
      <c r="AD114" s="537"/>
      <c r="AE114" s="537"/>
      <c r="AF114" s="538"/>
      <c r="AG114" s="536" t="s">
        <v>56</v>
      </c>
      <c r="AH114" s="537"/>
      <c r="AI114" s="537"/>
      <c r="AJ114" s="537"/>
      <c r="AK114" s="537"/>
      <c r="AL114" s="538"/>
      <c r="AM114" s="588" t="s">
        <v>57</v>
      </c>
      <c r="AN114" s="586"/>
      <c r="AO114" s="586"/>
      <c r="AP114" s="586"/>
      <c r="AQ114" s="586"/>
      <c r="AR114" s="586"/>
      <c r="AS114" s="586"/>
      <c r="AT114" s="587"/>
      <c r="AU114" s="588" t="s">
        <v>43</v>
      </c>
      <c r="AV114" s="586"/>
      <c r="AW114" s="586"/>
      <c r="AX114" s="586"/>
      <c r="AY114" s="586"/>
      <c r="AZ114" s="586"/>
      <c r="BA114" s="586"/>
      <c r="BB114" s="589"/>
    </row>
    <row r="115" spans="1:54" ht="11.25" customHeight="1" thickBot="1" x14ac:dyDescent="0.25">
      <c r="A115" s="564">
        <v>1</v>
      </c>
      <c r="B115" s="475"/>
      <c r="C115" s="475"/>
      <c r="D115" s="475"/>
      <c r="E115" s="475"/>
      <c r="F115" s="475"/>
      <c r="G115" s="475"/>
      <c r="H115" s="475"/>
      <c r="I115" s="475"/>
      <c r="J115" s="475"/>
      <c r="K115" s="475"/>
      <c r="L115" s="475"/>
      <c r="M115" s="475"/>
      <c r="N115" s="475"/>
      <c r="O115" s="475"/>
      <c r="P115" s="475"/>
      <c r="Q115" s="475"/>
      <c r="R115" s="475"/>
      <c r="S115" s="475"/>
      <c r="T115" s="475"/>
      <c r="U115" s="475"/>
      <c r="V115" s="475"/>
      <c r="W115" s="475"/>
      <c r="X115" s="475"/>
      <c r="Y115" s="475"/>
      <c r="Z115" s="476"/>
      <c r="AA115" s="474">
        <v>2</v>
      </c>
      <c r="AB115" s="475"/>
      <c r="AC115" s="475"/>
      <c r="AD115" s="475"/>
      <c r="AE115" s="475"/>
      <c r="AF115" s="476"/>
      <c r="AG115" s="474">
        <v>3</v>
      </c>
      <c r="AH115" s="475"/>
      <c r="AI115" s="475"/>
      <c r="AJ115" s="475"/>
      <c r="AK115" s="475"/>
      <c r="AL115" s="476"/>
      <c r="AM115" s="474">
        <v>4</v>
      </c>
      <c r="AN115" s="475"/>
      <c r="AO115" s="475"/>
      <c r="AP115" s="475"/>
      <c r="AQ115" s="475"/>
      <c r="AR115" s="475"/>
      <c r="AS115" s="475"/>
      <c r="AT115" s="476"/>
      <c r="AU115" s="474">
        <v>5</v>
      </c>
      <c r="AV115" s="475"/>
      <c r="AW115" s="475"/>
      <c r="AX115" s="475"/>
      <c r="AY115" s="475"/>
      <c r="AZ115" s="475"/>
      <c r="BA115" s="475"/>
      <c r="BB115" s="565"/>
    </row>
    <row r="116" spans="1:54" ht="31.5" hidden="1" customHeight="1" x14ac:dyDescent="0.2">
      <c r="A116" s="566"/>
      <c r="B116" s="567"/>
      <c r="C116" s="567"/>
      <c r="D116" s="567"/>
      <c r="E116" s="567"/>
      <c r="F116" s="567"/>
      <c r="G116" s="567"/>
      <c r="H116" s="567"/>
      <c r="I116" s="567"/>
      <c r="J116" s="567"/>
      <c r="K116" s="567"/>
      <c r="L116" s="567"/>
      <c r="M116" s="567"/>
      <c r="N116" s="567"/>
      <c r="O116" s="567"/>
      <c r="P116" s="567"/>
      <c r="Q116" s="567"/>
      <c r="R116" s="567"/>
      <c r="S116" s="567"/>
      <c r="T116" s="567"/>
      <c r="U116" s="567"/>
      <c r="V116" s="567"/>
      <c r="W116" s="567"/>
      <c r="X116" s="567"/>
      <c r="Y116" s="567"/>
      <c r="Z116" s="568"/>
      <c r="AA116" s="569">
        <v>0</v>
      </c>
      <c r="AB116" s="570"/>
      <c r="AC116" s="570"/>
      <c r="AD116" s="570"/>
      <c r="AE116" s="570"/>
      <c r="AF116" s="571"/>
      <c r="AG116" s="569">
        <f>U12</f>
        <v>36</v>
      </c>
      <c r="AH116" s="570"/>
      <c r="AI116" s="570"/>
      <c r="AJ116" s="570"/>
      <c r="AK116" s="570"/>
      <c r="AL116" s="571"/>
      <c r="AM116" s="569" t="s">
        <v>61</v>
      </c>
      <c r="AN116" s="570"/>
      <c r="AO116" s="570"/>
      <c r="AP116" s="570"/>
      <c r="AQ116" s="570"/>
      <c r="AR116" s="570"/>
      <c r="AS116" s="570"/>
      <c r="AT116" s="571"/>
      <c r="AU116" s="558">
        <f>AA116/AG116</f>
        <v>0</v>
      </c>
      <c r="AV116" s="559"/>
      <c r="AW116" s="559"/>
      <c r="AX116" s="559"/>
      <c r="AY116" s="559"/>
      <c r="AZ116" s="559"/>
      <c r="BA116" s="559"/>
      <c r="BB116" s="560"/>
    </row>
    <row r="117" spans="1:54" ht="4.5" hidden="1" customHeight="1" x14ac:dyDescent="0.2">
      <c r="A117" s="561"/>
      <c r="B117" s="562"/>
      <c r="C117" s="562"/>
      <c r="D117" s="562"/>
      <c r="E117" s="562"/>
      <c r="F117" s="562"/>
      <c r="G117" s="562"/>
      <c r="H117" s="562"/>
      <c r="I117" s="562"/>
      <c r="J117" s="562"/>
      <c r="K117" s="562"/>
      <c r="L117" s="562"/>
      <c r="M117" s="562"/>
      <c r="N117" s="562"/>
      <c r="O117" s="562"/>
      <c r="P117" s="562"/>
      <c r="Q117" s="562"/>
      <c r="R117" s="562"/>
      <c r="S117" s="562"/>
      <c r="T117" s="562"/>
      <c r="U117" s="562"/>
      <c r="V117" s="562"/>
      <c r="W117" s="562"/>
      <c r="X117" s="562"/>
      <c r="Y117" s="562"/>
      <c r="Z117" s="563"/>
      <c r="AA117" s="518"/>
      <c r="AB117" s="518"/>
      <c r="AC117" s="518"/>
      <c r="AD117" s="518"/>
      <c r="AE117" s="518"/>
      <c r="AF117" s="51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58">
        <f>AA117/AG116</f>
        <v>0</v>
      </c>
      <c r="AV117" s="559"/>
      <c r="AW117" s="559"/>
      <c r="AX117" s="559"/>
      <c r="AY117" s="559"/>
      <c r="AZ117" s="559"/>
      <c r="BA117" s="559"/>
      <c r="BB117" s="560"/>
    </row>
    <row r="118" spans="1:54" ht="21" customHeight="1" x14ac:dyDescent="0.2">
      <c r="A118" s="449"/>
      <c r="B118" s="450"/>
      <c r="C118" s="450"/>
      <c r="D118" s="450"/>
      <c r="E118" s="450"/>
      <c r="F118" s="450"/>
      <c r="G118" s="450"/>
      <c r="H118" s="450"/>
      <c r="I118" s="450"/>
      <c r="J118" s="450"/>
      <c r="K118" s="450"/>
      <c r="L118" s="450"/>
      <c r="M118" s="450"/>
      <c r="N118" s="450"/>
      <c r="O118" s="450"/>
      <c r="P118" s="450"/>
      <c r="Q118" s="450"/>
      <c r="R118" s="450"/>
      <c r="S118" s="450"/>
      <c r="T118" s="450"/>
      <c r="U118" s="450"/>
      <c r="V118" s="450"/>
      <c r="W118" s="450"/>
      <c r="X118" s="450"/>
      <c r="Y118" s="450"/>
      <c r="Z118" s="451"/>
      <c r="AA118" s="557"/>
      <c r="AB118" s="557"/>
      <c r="AC118" s="557"/>
      <c r="AD118" s="557"/>
      <c r="AE118" s="557"/>
      <c r="AF118" s="557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58">
        <f>AA118/AG116</f>
        <v>0</v>
      </c>
      <c r="AV118" s="559"/>
      <c r="AW118" s="559"/>
      <c r="AX118" s="559"/>
      <c r="AY118" s="559"/>
      <c r="AZ118" s="559"/>
      <c r="BA118" s="559"/>
      <c r="BB118" s="560"/>
    </row>
    <row r="119" spans="1:54" ht="21" customHeight="1" x14ac:dyDescent="0.2">
      <c r="A119" s="449"/>
      <c r="B119" s="450"/>
      <c r="C119" s="450"/>
      <c r="D119" s="450"/>
      <c r="E119" s="450"/>
      <c r="F119" s="450"/>
      <c r="G119" s="450"/>
      <c r="H119" s="450"/>
      <c r="I119" s="450"/>
      <c r="J119" s="450"/>
      <c r="K119" s="450"/>
      <c r="L119" s="450"/>
      <c r="M119" s="450"/>
      <c r="N119" s="450"/>
      <c r="O119" s="450"/>
      <c r="P119" s="450"/>
      <c r="Q119" s="450"/>
      <c r="R119" s="450"/>
      <c r="S119" s="450"/>
      <c r="T119" s="450"/>
      <c r="U119" s="450"/>
      <c r="V119" s="450"/>
      <c r="W119" s="450"/>
      <c r="X119" s="450"/>
      <c r="Y119" s="450"/>
      <c r="Z119" s="451"/>
      <c r="AA119" s="557"/>
      <c r="AB119" s="557"/>
      <c r="AC119" s="557"/>
      <c r="AD119" s="557"/>
      <c r="AE119" s="557"/>
      <c r="AF119" s="557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58">
        <f>AA119/AG116</f>
        <v>0</v>
      </c>
      <c r="AV119" s="559"/>
      <c r="AW119" s="559"/>
      <c r="AX119" s="559"/>
      <c r="AY119" s="559"/>
      <c r="AZ119" s="559"/>
      <c r="BA119" s="559"/>
      <c r="BB119" s="560"/>
    </row>
    <row r="120" spans="1:54" ht="6" hidden="1" customHeight="1" x14ac:dyDescent="0.2">
      <c r="A120" s="449"/>
      <c r="B120" s="450"/>
      <c r="C120" s="450"/>
      <c r="D120" s="450"/>
      <c r="E120" s="450"/>
      <c r="F120" s="450"/>
      <c r="G120" s="450"/>
      <c r="H120" s="450"/>
      <c r="I120" s="450"/>
      <c r="J120" s="450"/>
      <c r="K120" s="450"/>
      <c r="L120" s="450"/>
      <c r="M120" s="450"/>
      <c r="N120" s="450"/>
      <c r="O120" s="450"/>
      <c r="P120" s="450"/>
      <c r="Q120" s="450"/>
      <c r="R120" s="450"/>
      <c r="S120" s="450"/>
      <c r="T120" s="450"/>
      <c r="U120" s="450"/>
      <c r="V120" s="450"/>
      <c r="W120" s="450"/>
      <c r="X120" s="450"/>
      <c r="Y120" s="450"/>
      <c r="Z120" s="451"/>
      <c r="AA120" s="557"/>
      <c r="AB120" s="557"/>
      <c r="AC120" s="557"/>
      <c r="AD120" s="557"/>
      <c r="AE120" s="557"/>
      <c r="AF120" s="557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58">
        <f>AA120/AG116</f>
        <v>0</v>
      </c>
      <c r="AV120" s="559"/>
      <c r="AW120" s="559"/>
      <c r="AX120" s="559"/>
      <c r="AY120" s="559"/>
      <c r="AZ120" s="559"/>
      <c r="BA120" s="559"/>
      <c r="BB120" s="560"/>
    </row>
    <row r="121" spans="1:54" ht="0.75" customHeight="1" thickBot="1" x14ac:dyDescent="0.25">
      <c r="A121" s="575"/>
      <c r="B121" s="576"/>
      <c r="C121" s="576"/>
      <c r="D121" s="576"/>
      <c r="E121" s="576"/>
      <c r="F121" s="576"/>
      <c r="G121" s="576"/>
      <c r="H121" s="576"/>
      <c r="I121" s="576"/>
      <c r="J121" s="576"/>
      <c r="K121" s="576"/>
      <c r="L121" s="576"/>
      <c r="M121" s="576"/>
      <c r="N121" s="576"/>
      <c r="O121" s="576"/>
      <c r="P121" s="576"/>
      <c r="Q121" s="576"/>
      <c r="R121" s="576"/>
      <c r="S121" s="576"/>
      <c r="T121" s="576"/>
      <c r="U121" s="576"/>
      <c r="V121" s="576"/>
      <c r="W121" s="576"/>
      <c r="X121" s="576"/>
      <c r="Y121" s="576"/>
      <c r="Z121" s="577"/>
      <c r="AA121" s="578">
        <v>0</v>
      </c>
      <c r="AB121" s="578"/>
      <c r="AC121" s="578"/>
      <c r="AD121" s="578"/>
      <c r="AE121" s="578"/>
      <c r="AF121" s="578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579">
        <f>AA121/AG116</f>
        <v>0</v>
      </c>
      <c r="AV121" s="580"/>
      <c r="AW121" s="580"/>
      <c r="AX121" s="580"/>
      <c r="AY121" s="580"/>
      <c r="AZ121" s="580"/>
      <c r="BA121" s="580"/>
      <c r="BB121" s="581"/>
    </row>
    <row r="122" spans="1:54" ht="15" customHeight="1" thickBot="1" x14ac:dyDescent="0.25">
      <c r="A122" s="545" t="s">
        <v>51</v>
      </c>
      <c r="B122" s="546"/>
      <c r="C122" s="546"/>
      <c r="D122" s="546"/>
      <c r="E122" s="546"/>
      <c r="F122" s="546"/>
      <c r="G122" s="546"/>
      <c r="H122" s="546"/>
      <c r="I122" s="546"/>
      <c r="J122" s="546"/>
      <c r="K122" s="546"/>
      <c r="L122" s="546"/>
      <c r="M122" s="546"/>
      <c r="N122" s="546"/>
      <c r="O122" s="546"/>
      <c r="P122" s="546"/>
      <c r="Q122" s="546"/>
      <c r="R122" s="546"/>
      <c r="S122" s="546"/>
      <c r="T122" s="546"/>
      <c r="U122" s="546"/>
      <c r="V122" s="546"/>
      <c r="W122" s="546"/>
      <c r="X122" s="546"/>
      <c r="Y122" s="546"/>
      <c r="Z122" s="547"/>
      <c r="AA122" s="548">
        <f>SUM(AA116:AF119)</f>
        <v>0</v>
      </c>
      <c r="AB122" s="549"/>
      <c r="AC122" s="549"/>
      <c r="AD122" s="549"/>
      <c r="AE122" s="549"/>
      <c r="AF122" s="550"/>
      <c r="AG122" s="531">
        <f>AG116</f>
        <v>36</v>
      </c>
      <c r="AH122" s="533"/>
      <c r="AI122" s="533"/>
      <c r="AJ122" s="533"/>
      <c r="AK122" s="533"/>
      <c r="AL122" s="534"/>
      <c r="AM122" s="551" t="s">
        <v>17</v>
      </c>
      <c r="AN122" s="552"/>
      <c r="AO122" s="552"/>
      <c r="AP122" s="552"/>
      <c r="AQ122" s="552"/>
      <c r="AR122" s="552"/>
      <c r="AS122" s="552"/>
      <c r="AT122" s="553"/>
      <c r="AU122" s="554">
        <f>SUM(AU116:BB121)</f>
        <v>0</v>
      </c>
      <c r="AV122" s="555"/>
      <c r="AW122" s="555"/>
      <c r="AX122" s="555"/>
      <c r="AY122" s="555"/>
      <c r="AZ122" s="555"/>
      <c r="BA122" s="555"/>
      <c r="BB122" s="556"/>
    </row>
    <row r="123" spans="1:54" s="161" customFormat="1" ht="15" customHeight="1" x14ac:dyDescent="0.2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</row>
    <row r="124" spans="1:54" ht="27" customHeight="1" x14ac:dyDescent="0.2">
      <c r="A124" s="159" t="s">
        <v>62</v>
      </c>
      <c r="B124" s="159"/>
      <c r="C124" s="159" t="s">
        <v>63</v>
      </c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60"/>
      <c r="AY124" s="160"/>
      <c r="AZ124" s="160"/>
      <c r="BA124" s="160"/>
      <c r="BB124" s="160"/>
    </row>
    <row r="125" spans="1:54" ht="21.75" customHeight="1" thickBot="1" x14ac:dyDescent="0.25"/>
    <row r="126" spans="1:54" ht="63" customHeight="1" x14ac:dyDescent="0.2">
      <c r="A126" s="499" t="s">
        <v>54</v>
      </c>
      <c r="B126" s="500"/>
      <c r="C126" s="500"/>
      <c r="D126" s="500"/>
      <c r="E126" s="500"/>
      <c r="F126" s="500"/>
      <c r="G126" s="500"/>
      <c r="H126" s="535" t="s">
        <v>64</v>
      </c>
      <c r="I126" s="535"/>
      <c r="J126" s="535"/>
      <c r="K126" s="535"/>
      <c r="L126" s="535"/>
      <c r="M126" s="535" t="s">
        <v>94</v>
      </c>
      <c r="N126" s="535"/>
      <c r="O126" s="535"/>
      <c r="P126" s="535"/>
      <c r="Q126" s="535"/>
      <c r="R126" s="535" t="s">
        <v>82</v>
      </c>
      <c r="S126" s="535"/>
      <c r="T126" s="535"/>
      <c r="U126" s="535"/>
      <c r="V126" s="535" t="s">
        <v>65</v>
      </c>
      <c r="W126" s="535"/>
      <c r="X126" s="535"/>
      <c r="Y126" s="535"/>
      <c r="Z126" s="535" t="s">
        <v>66</v>
      </c>
      <c r="AA126" s="535"/>
      <c r="AB126" s="535"/>
      <c r="AC126" s="535"/>
      <c r="AD126" s="535" t="s">
        <v>67</v>
      </c>
      <c r="AE126" s="535"/>
      <c r="AF126" s="535"/>
      <c r="AG126" s="535"/>
      <c r="AH126" s="535"/>
      <c r="AI126" s="535"/>
      <c r="AJ126" s="535"/>
      <c r="AK126" s="535"/>
      <c r="AL126" s="535"/>
      <c r="AM126" s="535"/>
      <c r="AN126" s="535"/>
      <c r="AO126" s="535"/>
      <c r="AP126" s="535"/>
      <c r="AQ126" s="535" t="s">
        <v>427</v>
      </c>
      <c r="AR126" s="535"/>
      <c r="AS126" s="535"/>
      <c r="AT126" s="535"/>
      <c r="AU126" s="536" t="s">
        <v>428</v>
      </c>
      <c r="AV126" s="537"/>
      <c r="AW126" s="537"/>
      <c r="AX126" s="538"/>
      <c r="AY126" s="536" t="s">
        <v>87</v>
      </c>
      <c r="AZ126" s="537"/>
      <c r="BA126" s="537"/>
      <c r="BB126" s="539"/>
    </row>
    <row r="127" spans="1:54" ht="71.25" customHeight="1" thickBot="1" x14ac:dyDescent="0.25">
      <c r="A127" s="888"/>
      <c r="B127" s="889"/>
      <c r="C127" s="889"/>
      <c r="D127" s="889"/>
      <c r="E127" s="889"/>
      <c r="F127" s="889"/>
      <c r="G127" s="889"/>
      <c r="H127" s="894" t="s">
        <v>68</v>
      </c>
      <c r="I127" s="894"/>
      <c r="J127" s="894"/>
      <c r="K127" s="894"/>
      <c r="L127" s="894"/>
      <c r="M127" s="894" t="s">
        <v>68</v>
      </c>
      <c r="N127" s="894"/>
      <c r="O127" s="894"/>
      <c r="P127" s="894"/>
      <c r="Q127" s="894"/>
      <c r="R127" s="894"/>
      <c r="S127" s="894"/>
      <c r="T127" s="894"/>
      <c r="U127" s="894"/>
      <c r="V127" s="894"/>
      <c r="W127" s="894"/>
      <c r="X127" s="894"/>
      <c r="Y127" s="894"/>
      <c r="Z127" s="894"/>
      <c r="AA127" s="894"/>
      <c r="AB127" s="894"/>
      <c r="AC127" s="894"/>
      <c r="AD127" s="894" t="s">
        <v>68</v>
      </c>
      <c r="AE127" s="894"/>
      <c r="AF127" s="894"/>
      <c r="AG127" s="894"/>
      <c r="AH127" s="894"/>
      <c r="AI127" s="894"/>
      <c r="AJ127" s="895" t="s">
        <v>69</v>
      </c>
      <c r="AK127" s="896"/>
      <c r="AL127" s="896"/>
      <c r="AM127" s="896"/>
      <c r="AN127" s="896"/>
      <c r="AO127" s="896"/>
      <c r="AP127" s="897"/>
      <c r="AQ127" s="894" t="s">
        <v>68</v>
      </c>
      <c r="AR127" s="894"/>
      <c r="AS127" s="894"/>
      <c r="AT127" s="894"/>
      <c r="AU127" s="894" t="s">
        <v>68</v>
      </c>
      <c r="AV127" s="894"/>
      <c r="AW127" s="894"/>
      <c r="AX127" s="894"/>
      <c r="AY127" s="894" t="s">
        <v>68</v>
      </c>
      <c r="AZ127" s="894"/>
      <c r="BA127" s="894"/>
      <c r="BB127" s="898"/>
    </row>
    <row r="128" spans="1:54" ht="22.5" customHeight="1" thickBot="1" x14ac:dyDescent="0.25">
      <c r="A128" s="530">
        <v>1</v>
      </c>
      <c r="B128" s="503"/>
      <c r="C128" s="503"/>
      <c r="D128" s="503"/>
      <c r="E128" s="503"/>
      <c r="F128" s="503"/>
      <c r="G128" s="503"/>
      <c r="H128" s="503">
        <v>2</v>
      </c>
      <c r="I128" s="503"/>
      <c r="J128" s="503"/>
      <c r="K128" s="503"/>
      <c r="L128" s="503"/>
      <c r="M128" s="503">
        <v>3</v>
      </c>
      <c r="N128" s="503"/>
      <c r="O128" s="503"/>
      <c r="P128" s="503"/>
      <c r="Q128" s="503"/>
      <c r="R128" s="503">
        <v>4</v>
      </c>
      <c r="S128" s="503"/>
      <c r="T128" s="503"/>
      <c r="U128" s="503"/>
      <c r="V128" s="503">
        <v>5</v>
      </c>
      <c r="W128" s="503"/>
      <c r="X128" s="503"/>
      <c r="Y128" s="503"/>
      <c r="Z128" s="503">
        <v>6</v>
      </c>
      <c r="AA128" s="503"/>
      <c r="AB128" s="503"/>
      <c r="AC128" s="531"/>
      <c r="AD128" s="503">
        <v>7</v>
      </c>
      <c r="AE128" s="503"/>
      <c r="AF128" s="503"/>
      <c r="AG128" s="503"/>
      <c r="AH128" s="503"/>
      <c r="AI128" s="503"/>
      <c r="AJ128" s="533">
        <v>8</v>
      </c>
      <c r="AK128" s="533"/>
      <c r="AL128" s="533"/>
      <c r="AM128" s="533"/>
      <c r="AN128" s="533"/>
      <c r="AO128" s="533"/>
      <c r="AP128" s="534"/>
      <c r="AQ128" s="503">
        <v>9</v>
      </c>
      <c r="AR128" s="503"/>
      <c r="AS128" s="503"/>
      <c r="AT128" s="503"/>
      <c r="AU128" s="503">
        <v>10</v>
      </c>
      <c r="AV128" s="503"/>
      <c r="AW128" s="503"/>
      <c r="AX128" s="503"/>
      <c r="AY128" s="503">
        <v>11</v>
      </c>
      <c r="AZ128" s="503"/>
      <c r="BA128" s="503"/>
      <c r="BB128" s="504"/>
    </row>
    <row r="129" spans="1:79" ht="24.75" customHeight="1" x14ac:dyDescent="0.2">
      <c r="A129" s="505" t="s">
        <v>70</v>
      </c>
      <c r="B129" s="506"/>
      <c r="C129" s="506"/>
      <c r="D129" s="506"/>
      <c r="E129" s="506"/>
      <c r="F129" s="506"/>
      <c r="G129" s="506"/>
      <c r="H129" s="507">
        <f>AO72/V129</f>
        <v>94.12736666666666</v>
      </c>
      <c r="I129" s="507"/>
      <c r="J129" s="507"/>
      <c r="K129" s="507"/>
      <c r="L129" s="507"/>
      <c r="M129" s="507">
        <f>H129</f>
        <v>94.12736666666666</v>
      </c>
      <c r="N129" s="507"/>
      <c r="O129" s="507"/>
      <c r="P129" s="507"/>
      <c r="Q129" s="507"/>
      <c r="R129" s="508">
        <f>U12</f>
        <v>36</v>
      </c>
      <c r="S129" s="509"/>
      <c r="T129" s="509"/>
      <c r="U129" s="510"/>
      <c r="V129" s="517">
        <f>Y16</f>
        <v>12</v>
      </c>
      <c r="W129" s="517"/>
      <c r="X129" s="517"/>
      <c r="Y129" s="517"/>
      <c r="Z129" s="517">
        <f>U16</f>
        <v>3</v>
      </c>
      <c r="AA129" s="517"/>
      <c r="AB129" s="517"/>
      <c r="AC129" s="517"/>
      <c r="AD129" s="520" t="s">
        <v>71</v>
      </c>
      <c r="AE129" s="521"/>
      <c r="AF129" s="521"/>
      <c r="AG129" s="521"/>
      <c r="AH129" s="521"/>
      <c r="AI129" s="522"/>
      <c r="AJ129" s="523"/>
      <c r="AK129" s="524"/>
      <c r="AL129" s="524"/>
      <c r="AM129" s="524"/>
      <c r="AN129" s="524"/>
      <c r="AO129" s="524"/>
      <c r="AP129" s="525"/>
      <c r="AQ129" s="507">
        <f>H129*4</f>
        <v>376.50946666666664</v>
      </c>
      <c r="AR129" s="507"/>
      <c r="AS129" s="507"/>
      <c r="AT129" s="507"/>
      <c r="AU129" s="507">
        <f>M129*1</f>
        <v>94.12736666666666</v>
      </c>
      <c r="AV129" s="507"/>
      <c r="AW129" s="507"/>
      <c r="AX129" s="507"/>
      <c r="AY129" s="507">
        <f>H129*R129</f>
        <v>3388.5851999999995</v>
      </c>
      <c r="AZ129" s="507"/>
      <c r="BA129" s="507"/>
      <c r="BB129" s="526"/>
    </row>
    <row r="130" spans="1:79" ht="29.25" customHeight="1" x14ac:dyDescent="0.2">
      <c r="A130" s="527" t="s">
        <v>72</v>
      </c>
      <c r="B130" s="528"/>
      <c r="C130" s="528"/>
      <c r="D130" s="528"/>
      <c r="E130" s="528"/>
      <c r="F130" s="528"/>
      <c r="G130" s="528"/>
      <c r="H130" s="529">
        <f>AV82</f>
        <v>105.5223294889543</v>
      </c>
      <c r="I130" s="529"/>
      <c r="J130" s="529"/>
      <c r="K130" s="529"/>
      <c r="L130" s="529"/>
      <c r="M130" s="477">
        <f t="shared" ref="M130:M132" si="0">H130</f>
        <v>105.5223294889543</v>
      </c>
      <c r="N130" s="477"/>
      <c r="O130" s="477"/>
      <c r="P130" s="477"/>
      <c r="Q130" s="477"/>
      <c r="R130" s="511"/>
      <c r="S130" s="512"/>
      <c r="T130" s="512"/>
      <c r="U130" s="513"/>
      <c r="V130" s="518"/>
      <c r="W130" s="518"/>
      <c r="X130" s="518"/>
      <c r="Y130" s="518"/>
      <c r="Z130" s="518"/>
      <c r="AA130" s="518"/>
      <c r="AB130" s="518"/>
      <c r="AC130" s="518"/>
      <c r="AD130" s="477" t="s">
        <v>71</v>
      </c>
      <c r="AE130" s="477"/>
      <c r="AF130" s="477"/>
      <c r="AG130" s="477"/>
      <c r="AH130" s="477"/>
      <c r="AI130" s="477"/>
      <c r="AJ130" s="478"/>
      <c r="AK130" s="479"/>
      <c r="AL130" s="479"/>
      <c r="AM130" s="479"/>
      <c r="AN130" s="479"/>
      <c r="AO130" s="479"/>
      <c r="AP130" s="480"/>
      <c r="AQ130" s="477">
        <f>H130*4</f>
        <v>422.08931795581719</v>
      </c>
      <c r="AR130" s="477"/>
      <c r="AS130" s="477"/>
      <c r="AT130" s="477"/>
      <c r="AU130" s="477">
        <f>M130*1</f>
        <v>105.5223294889543</v>
      </c>
      <c r="AV130" s="477"/>
      <c r="AW130" s="477"/>
      <c r="AX130" s="477"/>
      <c r="AY130" s="477">
        <f>H130*R129</f>
        <v>3798.8038616023546</v>
      </c>
      <c r="AZ130" s="477"/>
      <c r="BA130" s="477"/>
      <c r="BB130" s="481"/>
    </row>
    <row r="131" spans="1:79" ht="15" customHeight="1" x14ac:dyDescent="0.2">
      <c r="A131" s="527" t="s">
        <v>73</v>
      </c>
      <c r="B131" s="528"/>
      <c r="C131" s="528"/>
      <c r="D131" s="528"/>
      <c r="E131" s="528"/>
      <c r="F131" s="528"/>
      <c r="G131" s="528"/>
      <c r="H131" s="529">
        <f>AU110</f>
        <v>69.581111111111113</v>
      </c>
      <c r="I131" s="529"/>
      <c r="J131" s="529"/>
      <c r="K131" s="529"/>
      <c r="L131" s="529"/>
      <c r="M131" s="477">
        <f t="shared" si="0"/>
        <v>69.581111111111113</v>
      </c>
      <c r="N131" s="477"/>
      <c r="O131" s="477"/>
      <c r="P131" s="477"/>
      <c r="Q131" s="477"/>
      <c r="R131" s="511"/>
      <c r="S131" s="512"/>
      <c r="T131" s="512"/>
      <c r="U131" s="513"/>
      <c r="V131" s="518"/>
      <c r="W131" s="518"/>
      <c r="X131" s="518"/>
      <c r="Y131" s="518"/>
      <c r="Z131" s="518"/>
      <c r="AA131" s="518"/>
      <c r="AB131" s="518"/>
      <c r="AC131" s="518"/>
      <c r="AD131" s="477" t="s">
        <v>71</v>
      </c>
      <c r="AE131" s="477"/>
      <c r="AF131" s="477"/>
      <c r="AG131" s="477"/>
      <c r="AH131" s="477"/>
      <c r="AI131" s="477"/>
      <c r="AJ131" s="478"/>
      <c r="AK131" s="479"/>
      <c r="AL131" s="479"/>
      <c r="AM131" s="479"/>
      <c r="AN131" s="479"/>
      <c r="AO131" s="479"/>
      <c r="AP131" s="480"/>
      <c r="AQ131" s="477">
        <f>H131*4</f>
        <v>278.32444444444445</v>
      </c>
      <c r="AR131" s="477"/>
      <c r="AS131" s="477"/>
      <c r="AT131" s="477"/>
      <c r="AU131" s="477">
        <f>M131*1</f>
        <v>69.581111111111113</v>
      </c>
      <c r="AV131" s="477"/>
      <c r="AW131" s="477"/>
      <c r="AX131" s="477"/>
      <c r="AY131" s="477">
        <f>H131*R129</f>
        <v>2504.92</v>
      </c>
      <c r="AZ131" s="477"/>
      <c r="BA131" s="477"/>
      <c r="BB131" s="481"/>
    </row>
    <row r="132" spans="1:79" ht="26.25" customHeight="1" thickBot="1" x14ac:dyDescent="0.25">
      <c r="A132" s="494" t="s">
        <v>74</v>
      </c>
      <c r="B132" s="495"/>
      <c r="C132" s="495"/>
      <c r="D132" s="495"/>
      <c r="E132" s="495"/>
      <c r="F132" s="495"/>
      <c r="G132" s="495"/>
      <c r="H132" s="483">
        <f>AU122</f>
        <v>0</v>
      </c>
      <c r="I132" s="483"/>
      <c r="J132" s="483"/>
      <c r="K132" s="483"/>
      <c r="L132" s="483"/>
      <c r="M132" s="482">
        <f t="shared" si="0"/>
        <v>0</v>
      </c>
      <c r="N132" s="482"/>
      <c r="O132" s="482"/>
      <c r="P132" s="482"/>
      <c r="Q132" s="482"/>
      <c r="R132" s="514"/>
      <c r="S132" s="515"/>
      <c r="T132" s="515"/>
      <c r="U132" s="516"/>
      <c r="V132" s="519"/>
      <c r="W132" s="519"/>
      <c r="X132" s="519"/>
      <c r="Y132" s="519"/>
      <c r="Z132" s="519"/>
      <c r="AA132" s="519"/>
      <c r="AB132" s="519"/>
      <c r="AC132" s="519"/>
      <c r="AD132" s="482" t="s">
        <v>71</v>
      </c>
      <c r="AE132" s="482"/>
      <c r="AF132" s="482"/>
      <c r="AG132" s="482"/>
      <c r="AH132" s="482"/>
      <c r="AI132" s="482"/>
      <c r="AJ132" s="496" t="s">
        <v>17</v>
      </c>
      <c r="AK132" s="497"/>
      <c r="AL132" s="497"/>
      <c r="AM132" s="497"/>
      <c r="AN132" s="497"/>
      <c r="AO132" s="497"/>
      <c r="AP132" s="498"/>
      <c r="AQ132" s="482">
        <f>H132*4</f>
        <v>0</v>
      </c>
      <c r="AR132" s="482"/>
      <c r="AS132" s="482"/>
      <c r="AT132" s="482"/>
      <c r="AU132" s="482">
        <f>M132*1</f>
        <v>0</v>
      </c>
      <c r="AV132" s="482"/>
      <c r="AW132" s="482"/>
      <c r="AX132" s="482"/>
      <c r="AY132" s="483">
        <f>H132*R129</f>
        <v>0</v>
      </c>
      <c r="AZ132" s="483"/>
      <c r="BA132" s="483"/>
      <c r="BB132" s="484"/>
    </row>
    <row r="133" spans="1:79" ht="25.5" customHeight="1" x14ac:dyDescent="0.2">
      <c r="A133" s="485" t="s">
        <v>80</v>
      </c>
      <c r="B133" s="486"/>
      <c r="C133" s="486"/>
      <c r="D133" s="486"/>
      <c r="E133" s="486"/>
      <c r="F133" s="486"/>
      <c r="G133" s="487"/>
      <c r="H133" s="488">
        <f>SUM(H129:L132)</f>
        <v>269.23080726673209</v>
      </c>
      <c r="I133" s="488"/>
      <c r="J133" s="488"/>
      <c r="K133" s="488"/>
      <c r="L133" s="488"/>
      <c r="M133" s="488">
        <f>SUM(M129:Q132)</f>
        <v>269.23080726673209</v>
      </c>
      <c r="N133" s="488"/>
      <c r="O133" s="488"/>
      <c r="P133" s="488"/>
      <c r="Q133" s="488"/>
      <c r="R133" s="489">
        <f>R129</f>
        <v>36</v>
      </c>
      <c r="S133" s="489"/>
      <c r="T133" s="489"/>
      <c r="U133" s="489"/>
      <c r="V133" s="490">
        <f>V129</f>
        <v>12</v>
      </c>
      <c r="W133" s="490"/>
      <c r="X133" s="490"/>
      <c r="Y133" s="490"/>
      <c r="Z133" s="490">
        <f>Z129</f>
        <v>3</v>
      </c>
      <c r="AA133" s="490"/>
      <c r="AB133" s="490"/>
      <c r="AC133" s="490"/>
      <c r="AD133" s="488" t="s">
        <v>17</v>
      </c>
      <c r="AE133" s="488"/>
      <c r="AF133" s="488"/>
      <c r="AG133" s="488"/>
      <c r="AH133" s="488"/>
      <c r="AI133" s="488"/>
      <c r="AJ133" s="491" t="s">
        <v>17</v>
      </c>
      <c r="AK133" s="492"/>
      <c r="AL133" s="492"/>
      <c r="AM133" s="492"/>
      <c r="AN133" s="492"/>
      <c r="AO133" s="492"/>
      <c r="AP133" s="493"/>
      <c r="AQ133" s="453">
        <f>SUM(AQ129:AT132)</f>
        <v>1076.9232290669283</v>
      </c>
      <c r="AR133" s="453"/>
      <c r="AS133" s="453"/>
      <c r="AT133" s="453"/>
      <c r="AU133" s="453">
        <f>SUM(AU129:AX132)</f>
        <v>269.23080726673209</v>
      </c>
      <c r="AV133" s="453"/>
      <c r="AW133" s="453"/>
      <c r="AX133" s="453"/>
      <c r="AY133" s="453">
        <f>SUM(AY129:BB132)</f>
        <v>9692.3090616023546</v>
      </c>
      <c r="AZ133" s="453"/>
      <c r="BA133" s="453"/>
      <c r="BB133" s="454"/>
    </row>
    <row r="134" spans="1:79" ht="30.75" customHeight="1" x14ac:dyDescent="0.2">
      <c r="A134" s="455" t="s">
        <v>75</v>
      </c>
      <c r="B134" s="456"/>
      <c r="C134" s="456"/>
      <c r="D134" s="456"/>
      <c r="E134" s="456"/>
      <c r="F134" s="456"/>
      <c r="G134" s="215">
        <v>0.3</v>
      </c>
      <c r="H134" s="457">
        <f>H133*G134</f>
        <v>80.769242180019617</v>
      </c>
      <c r="I134" s="457"/>
      <c r="J134" s="457"/>
      <c r="K134" s="457"/>
      <c r="L134" s="457"/>
      <c r="M134" s="457">
        <f>M133*G134</f>
        <v>80.769242180019617</v>
      </c>
      <c r="N134" s="457"/>
      <c r="O134" s="457"/>
      <c r="P134" s="457"/>
      <c r="Q134" s="457"/>
      <c r="R134" s="818">
        <f>R129</f>
        <v>36</v>
      </c>
      <c r="S134" s="819"/>
      <c r="T134" s="819"/>
      <c r="U134" s="820"/>
      <c r="V134" s="821">
        <f>V129</f>
        <v>12</v>
      </c>
      <c r="W134" s="819"/>
      <c r="X134" s="819"/>
      <c r="Y134" s="820"/>
      <c r="Z134" s="821">
        <f>Z129</f>
        <v>3</v>
      </c>
      <c r="AA134" s="819"/>
      <c r="AB134" s="819"/>
      <c r="AC134" s="820"/>
      <c r="AD134" s="462" t="s">
        <v>17</v>
      </c>
      <c r="AE134" s="462"/>
      <c r="AF134" s="462"/>
      <c r="AG134" s="462"/>
      <c r="AH134" s="462"/>
      <c r="AI134" s="462"/>
      <c r="AJ134" s="462" t="s">
        <v>17</v>
      </c>
      <c r="AK134" s="462"/>
      <c r="AL134" s="462"/>
      <c r="AM134" s="462"/>
      <c r="AN134" s="462"/>
      <c r="AO134" s="462"/>
      <c r="AP134" s="462"/>
      <c r="AQ134" s="466">
        <f>AQ133*G134</f>
        <v>323.07696872007847</v>
      </c>
      <c r="AR134" s="466"/>
      <c r="AS134" s="466"/>
      <c r="AT134" s="466"/>
      <c r="AU134" s="466">
        <f>AU133*G134</f>
        <v>80.769242180019617</v>
      </c>
      <c r="AV134" s="466"/>
      <c r="AW134" s="466"/>
      <c r="AX134" s="466"/>
      <c r="AY134" s="466">
        <f>AY133*G134</f>
        <v>2907.6927184807064</v>
      </c>
      <c r="AZ134" s="466"/>
      <c r="BA134" s="466"/>
      <c r="BB134" s="467"/>
    </row>
    <row r="135" spans="1:79" ht="30.75" customHeight="1" thickBot="1" x14ac:dyDescent="0.25">
      <c r="A135" s="468" t="s">
        <v>81</v>
      </c>
      <c r="B135" s="469"/>
      <c r="C135" s="469"/>
      <c r="D135" s="469"/>
      <c r="E135" s="469"/>
      <c r="F135" s="469"/>
      <c r="G135" s="470"/>
      <c r="H135" s="464">
        <f>H133+H134</f>
        <v>350.00004944675169</v>
      </c>
      <c r="I135" s="464"/>
      <c r="J135" s="464"/>
      <c r="K135" s="464"/>
      <c r="L135" s="464"/>
      <c r="M135" s="471">
        <f>M133+M134</f>
        <v>350.00004944675169</v>
      </c>
      <c r="N135" s="472"/>
      <c r="O135" s="472"/>
      <c r="P135" s="472"/>
      <c r="Q135" s="473"/>
      <c r="R135" s="825">
        <f>R129</f>
        <v>36</v>
      </c>
      <c r="S135" s="826"/>
      <c r="T135" s="826"/>
      <c r="U135" s="827"/>
      <c r="V135" s="828">
        <f>V129</f>
        <v>12</v>
      </c>
      <c r="W135" s="829"/>
      <c r="X135" s="829"/>
      <c r="Y135" s="830"/>
      <c r="Z135" s="828">
        <f>Z129</f>
        <v>3</v>
      </c>
      <c r="AA135" s="829"/>
      <c r="AB135" s="829"/>
      <c r="AC135" s="830"/>
      <c r="AD135" s="463" t="s">
        <v>17</v>
      </c>
      <c r="AE135" s="463"/>
      <c r="AF135" s="463"/>
      <c r="AG135" s="463"/>
      <c r="AH135" s="463"/>
      <c r="AI135" s="463"/>
      <c r="AJ135" s="463" t="s">
        <v>17</v>
      </c>
      <c r="AK135" s="463"/>
      <c r="AL135" s="463"/>
      <c r="AM135" s="463"/>
      <c r="AN135" s="463"/>
      <c r="AO135" s="463"/>
      <c r="AP135" s="463"/>
      <c r="AQ135" s="464">
        <f>AQ133+AQ134</f>
        <v>1400.0001977870068</v>
      </c>
      <c r="AR135" s="464"/>
      <c r="AS135" s="464"/>
      <c r="AT135" s="464"/>
      <c r="AU135" s="464">
        <f>AU133+AU134</f>
        <v>350.00004944675169</v>
      </c>
      <c r="AV135" s="464"/>
      <c r="AW135" s="464"/>
      <c r="AX135" s="464"/>
      <c r="AY135" s="464">
        <f>AY133+AY134</f>
        <v>12600.001780083061</v>
      </c>
      <c r="AZ135" s="464"/>
      <c r="BA135" s="464"/>
      <c r="BB135" s="465"/>
      <c r="BE135" s="432"/>
      <c r="BF135" s="432"/>
      <c r="BG135" s="432"/>
      <c r="BH135" s="432"/>
      <c r="BI135" s="432"/>
      <c r="BJ135" s="432"/>
      <c r="BK135" s="432"/>
      <c r="BL135" s="432"/>
      <c r="BM135" s="432"/>
      <c r="BN135" s="432"/>
      <c r="BO135" s="432"/>
      <c r="BP135" s="432"/>
      <c r="BQ135" s="432"/>
      <c r="BR135" s="432"/>
      <c r="BS135" s="432"/>
      <c r="BT135" s="432"/>
      <c r="BU135" s="432"/>
      <c r="BV135" s="432"/>
      <c r="BW135" s="432"/>
      <c r="BX135" s="432"/>
      <c r="BY135" s="432"/>
      <c r="BZ135" s="432"/>
      <c r="CA135" s="432"/>
    </row>
    <row r="136" spans="1:79" ht="16.5" customHeight="1" x14ac:dyDescent="0.2">
      <c r="BC136" s="432"/>
      <c r="BD136" s="432"/>
      <c r="BE136" s="432"/>
      <c r="BF136" s="432"/>
      <c r="BG136" s="432"/>
      <c r="BH136" s="433"/>
      <c r="BI136" s="433"/>
      <c r="BJ136" s="433"/>
      <c r="BK136" s="433"/>
      <c r="BL136" s="433"/>
      <c r="BM136" s="400"/>
      <c r="BN136" s="400"/>
      <c r="BO136" s="400"/>
      <c r="BP136" s="400"/>
      <c r="BQ136" s="400"/>
      <c r="BR136" s="400"/>
      <c r="BS136" s="400"/>
      <c r="BT136" s="400"/>
    </row>
    <row r="137" spans="1:79" ht="12" customHeight="1" x14ac:dyDescent="0.2">
      <c r="BC137" s="432"/>
      <c r="BD137" s="432"/>
      <c r="BE137" s="434"/>
      <c r="BF137" s="432"/>
      <c r="BG137" s="432"/>
      <c r="BH137" s="216"/>
      <c r="BI137" s="432"/>
      <c r="BJ137" s="432"/>
      <c r="BK137" s="432"/>
      <c r="BL137" s="432"/>
      <c r="BM137" s="432"/>
      <c r="BN137" s="432"/>
      <c r="BO137" s="432"/>
      <c r="BP137" s="432"/>
      <c r="BQ137" s="432"/>
      <c r="BR137" s="432"/>
      <c r="BS137" s="432"/>
      <c r="BT137" s="432"/>
    </row>
    <row r="138" spans="1:79" ht="14.25" customHeight="1" x14ac:dyDescent="0.2">
      <c r="B138" s="452" t="s">
        <v>658</v>
      </c>
      <c r="C138" s="452"/>
      <c r="D138" s="452"/>
      <c r="E138" s="452"/>
      <c r="F138" s="452"/>
      <c r="G138" s="452"/>
      <c r="H138" s="452"/>
      <c r="I138" s="452"/>
      <c r="J138" s="452"/>
      <c r="K138" s="452"/>
      <c r="L138" s="452"/>
      <c r="M138" s="452"/>
      <c r="N138" s="452"/>
      <c r="O138" s="452"/>
      <c r="P138" s="452"/>
      <c r="Q138" s="452"/>
      <c r="R138" s="452"/>
      <c r="S138" s="452"/>
      <c r="U138" s="164"/>
      <c r="V138" s="164"/>
      <c r="W138" s="164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7"/>
      <c r="AK138" s="217"/>
      <c r="AM138" s="442" t="s">
        <v>515</v>
      </c>
      <c r="AN138" s="763"/>
      <c r="AO138" s="763"/>
      <c r="AP138" s="763"/>
      <c r="AQ138" s="763"/>
      <c r="AR138" s="763"/>
      <c r="AS138" s="763"/>
      <c r="AT138" s="763"/>
      <c r="AU138" s="763"/>
      <c r="AV138" s="763"/>
      <c r="AW138" s="763"/>
      <c r="AX138" s="763"/>
      <c r="AY138" s="763"/>
      <c r="AZ138" s="763"/>
      <c r="BA138" s="763"/>
      <c r="BB138" s="763"/>
      <c r="BC138" s="442"/>
      <c r="BD138" s="442"/>
      <c r="BE138" s="432"/>
      <c r="BF138" s="432"/>
      <c r="BG138" s="432"/>
      <c r="BH138" s="216"/>
      <c r="BI138" s="435"/>
      <c r="BJ138" s="435"/>
      <c r="BK138" s="435"/>
      <c r="BL138" s="435"/>
      <c r="BM138" s="435"/>
      <c r="BN138" s="435"/>
      <c r="BO138" s="432"/>
      <c r="BP138" s="432"/>
      <c r="BQ138" s="432"/>
      <c r="BR138" s="432"/>
      <c r="BS138" s="432"/>
      <c r="BT138" s="432"/>
    </row>
    <row r="139" spans="1:79" ht="15.75" customHeight="1" x14ac:dyDescent="0.2">
      <c r="B139" s="1379" t="s">
        <v>697</v>
      </c>
      <c r="C139" s="1379"/>
      <c r="D139" s="1379"/>
      <c r="E139" s="1379"/>
      <c r="F139" s="1379"/>
      <c r="G139" s="1379"/>
      <c r="H139" s="1379"/>
      <c r="I139" s="1379"/>
      <c r="J139" s="1379"/>
      <c r="K139" s="1379"/>
      <c r="L139" s="1379"/>
      <c r="M139" s="1379"/>
      <c r="N139" s="1379"/>
      <c r="O139" s="1379"/>
      <c r="P139" s="1379"/>
      <c r="Q139" s="1379"/>
      <c r="R139" s="1379"/>
      <c r="S139" s="1379"/>
      <c r="AM139" s="442" t="s">
        <v>696</v>
      </c>
      <c r="AN139" s="442"/>
      <c r="AO139" s="442"/>
      <c r="AP139" s="442"/>
      <c r="AQ139" s="442"/>
      <c r="AR139" s="442"/>
      <c r="AS139" s="442"/>
      <c r="AT139" s="442"/>
      <c r="AU139" s="442"/>
      <c r="AV139" s="442"/>
      <c r="AW139" s="442"/>
      <c r="AX139" s="442"/>
      <c r="AY139" s="442"/>
      <c r="AZ139" s="442"/>
      <c r="BA139" s="442"/>
      <c r="BB139" s="442"/>
      <c r="BC139" s="442"/>
      <c r="BD139" s="219"/>
      <c r="BE139" s="432"/>
      <c r="BF139" s="432"/>
      <c r="BG139" s="432"/>
      <c r="BH139" s="216"/>
      <c r="BI139" s="435"/>
      <c r="BJ139" s="435"/>
      <c r="BK139" s="435"/>
      <c r="BL139" s="435"/>
      <c r="BM139" s="435"/>
      <c r="BN139" s="435"/>
      <c r="BO139" s="435"/>
      <c r="BP139" s="435"/>
      <c r="BQ139" s="435"/>
      <c r="BR139" s="435"/>
      <c r="BS139" s="435"/>
      <c r="BT139" s="435"/>
    </row>
    <row r="140" spans="1:79" ht="12.75" x14ac:dyDescent="0.2">
      <c r="B140" s="1379"/>
      <c r="C140" s="1379"/>
      <c r="D140" s="1379"/>
      <c r="E140" s="1379"/>
      <c r="F140" s="1379"/>
      <c r="G140" s="1379"/>
      <c r="H140" s="1379"/>
      <c r="I140" s="1379"/>
      <c r="J140" s="1379"/>
      <c r="K140" s="1379"/>
      <c r="L140" s="1379"/>
      <c r="M140" s="1379"/>
      <c r="N140" s="1379"/>
      <c r="O140" s="1379"/>
      <c r="P140" s="1379"/>
      <c r="Q140" s="1379"/>
      <c r="R140" s="1379"/>
      <c r="S140" s="1379"/>
      <c r="U140" s="164"/>
      <c r="V140" s="164"/>
      <c r="W140" s="164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M140" s="442"/>
      <c r="AN140" s="442"/>
      <c r="AO140" s="442"/>
      <c r="AP140" s="442"/>
      <c r="AQ140" s="442"/>
      <c r="AR140" s="442"/>
      <c r="AS140" s="442"/>
      <c r="AT140" s="442"/>
      <c r="AU140" s="442"/>
      <c r="AV140" s="442"/>
      <c r="AW140" s="442"/>
      <c r="AX140" s="442"/>
      <c r="AY140" s="442"/>
      <c r="AZ140" s="442"/>
      <c r="BA140" s="442"/>
      <c r="BB140" s="442"/>
      <c r="BC140" s="442"/>
      <c r="BD140" s="219"/>
      <c r="BG140" s="216"/>
    </row>
    <row r="141" spans="1:79" ht="15.75" customHeight="1" x14ac:dyDescent="0.2"/>
    <row r="142" spans="1:79" ht="13.5" customHeight="1" x14ac:dyDescent="0.2">
      <c r="A142" s="219" t="s">
        <v>125</v>
      </c>
      <c r="B142" s="219"/>
      <c r="C142" s="219"/>
      <c r="D142" s="219"/>
      <c r="BG142" s="216"/>
    </row>
    <row r="143" spans="1:79" ht="21.75" hidden="1" customHeight="1" x14ac:dyDescent="0.2">
      <c r="A143" s="221"/>
      <c r="B143" s="221"/>
      <c r="C143" s="221"/>
      <c r="D143" s="221"/>
      <c r="E143" s="221"/>
      <c r="F143" s="221"/>
      <c r="G143" s="221">
        <v>280</v>
      </c>
      <c r="H143" s="221"/>
      <c r="I143" s="221"/>
      <c r="J143" s="221"/>
      <c r="K143" s="221"/>
      <c r="L143" s="221"/>
      <c r="M143" s="221"/>
      <c r="N143" s="221"/>
      <c r="BE143" s="432" t="s">
        <v>239</v>
      </c>
      <c r="BF143" s="432"/>
      <c r="BG143" s="432"/>
      <c r="BH143" s="432"/>
      <c r="BI143" s="432"/>
      <c r="BJ143" s="432"/>
      <c r="BK143" s="432"/>
      <c r="BL143" s="432"/>
      <c r="BM143" s="432"/>
      <c r="BN143" s="432"/>
      <c r="BO143" s="432"/>
      <c r="BP143" s="432"/>
      <c r="BQ143" s="432"/>
      <c r="BR143" s="432"/>
      <c r="BS143" s="432"/>
      <c r="BT143" s="432"/>
      <c r="BU143" s="432"/>
      <c r="BV143" s="432"/>
      <c r="BW143" s="432"/>
      <c r="BX143" s="432"/>
      <c r="BY143" s="432"/>
      <c r="BZ143" s="432"/>
      <c r="CA143" s="432"/>
    </row>
    <row r="144" spans="1:79" ht="18" hidden="1" customHeight="1" x14ac:dyDescent="0.25">
      <c r="A144" s="222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22"/>
      <c r="AD144" s="222"/>
      <c r="AE144" s="222"/>
      <c r="AF144" s="222"/>
      <c r="AG144" s="222"/>
      <c r="AH144" s="222"/>
      <c r="AI144" s="222"/>
      <c r="AJ144" s="222"/>
      <c r="AK144" s="222"/>
      <c r="AL144" s="222"/>
      <c r="AM144" s="222"/>
      <c r="AN144" s="222"/>
      <c r="AO144" s="222"/>
      <c r="AP144" s="222"/>
      <c r="AQ144" s="222"/>
      <c r="AR144" s="222"/>
      <c r="AS144" s="222"/>
      <c r="BE144" s="432" t="s">
        <v>126</v>
      </c>
      <c r="BF144" s="432"/>
      <c r="BG144" s="432"/>
      <c r="BH144" s="433">
        <f>280*35</f>
        <v>9800</v>
      </c>
      <c r="BI144" s="433"/>
      <c r="BJ144" s="433"/>
      <c r="BK144" s="433"/>
      <c r="BL144" s="433"/>
      <c r="BM144" s="400" t="s">
        <v>127</v>
      </c>
      <c r="BN144" s="400"/>
      <c r="BO144" s="400"/>
      <c r="BP144" s="400"/>
      <c r="BQ144" s="400"/>
      <c r="BR144" s="400"/>
      <c r="BS144" s="400"/>
      <c r="BT144" s="400"/>
    </row>
    <row r="145" spans="26:79" ht="18" hidden="1" customHeight="1" x14ac:dyDescent="0.2">
      <c r="BE145" s="434">
        <v>0.6</v>
      </c>
      <c r="BF145" s="432"/>
      <c r="BG145" s="432"/>
      <c r="BH145" s="216">
        <f>BH144*BE145</f>
        <v>5880</v>
      </c>
      <c r="BI145" s="432" t="s">
        <v>128</v>
      </c>
      <c r="BJ145" s="432"/>
      <c r="BK145" s="432"/>
      <c r="BL145" s="432"/>
      <c r="BM145" s="432"/>
      <c r="BN145" s="432" t="s">
        <v>129</v>
      </c>
      <c r="BO145" s="432"/>
      <c r="BP145" s="432"/>
      <c r="BQ145" s="432"/>
      <c r="BR145" s="432"/>
      <c r="BS145" s="432"/>
      <c r="BT145" s="432"/>
    </row>
    <row r="146" spans="26:79" ht="15" hidden="1" customHeight="1" x14ac:dyDescent="0.2">
      <c r="BE146" s="432">
        <v>211</v>
      </c>
      <c r="BF146" s="432"/>
      <c r="BG146" s="432"/>
      <c r="BH146" s="216">
        <f>BH145-BH147</f>
        <v>4516.1290322580644</v>
      </c>
      <c r="BI146" s="435">
        <f>BH146*0.1</f>
        <v>451.61290322580646</v>
      </c>
      <c r="BJ146" s="435"/>
      <c r="BK146" s="435"/>
      <c r="BL146" s="435"/>
      <c r="BM146" s="435"/>
      <c r="BN146" s="435">
        <f>BH146-BI146</f>
        <v>4064.516129032258</v>
      </c>
      <c r="BO146" s="432"/>
      <c r="BP146" s="432"/>
      <c r="BQ146" s="432"/>
      <c r="BR146" s="432"/>
      <c r="BS146" s="432"/>
      <c r="BT146" s="432"/>
    </row>
    <row r="147" spans="26:79" ht="15.75" hidden="1" customHeight="1" x14ac:dyDescent="0.2">
      <c r="BE147" s="432">
        <v>213</v>
      </c>
      <c r="BF147" s="432"/>
      <c r="BG147" s="432"/>
      <c r="BH147" s="216">
        <f>BH145*30.2/130.2</f>
        <v>1363.8709677419356</v>
      </c>
      <c r="BI147" s="435">
        <f>BI146*30.2%</f>
        <v>136.38709677419354</v>
      </c>
      <c r="BJ147" s="435"/>
      <c r="BK147" s="435"/>
      <c r="BL147" s="435"/>
      <c r="BM147" s="435"/>
      <c r="BN147" s="435">
        <f>BN146*30.2%</f>
        <v>1227.483870967742</v>
      </c>
      <c r="BO147" s="435"/>
      <c r="BP147" s="435"/>
      <c r="BQ147" s="435"/>
      <c r="BR147" s="435"/>
      <c r="BS147" s="435"/>
      <c r="BT147" s="435"/>
    </row>
    <row r="148" spans="26:79" ht="8.25" hidden="1" customHeight="1" x14ac:dyDescent="0.2">
      <c r="Z148" s="223"/>
      <c r="AA148" s="223"/>
      <c r="AB148" s="223"/>
      <c r="AC148" s="223"/>
      <c r="AD148" s="223"/>
      <c r="AE148" s="223"/>
      <c r="AF148" s="223"/>
      <c r="AG148" s="223"/>
    </row>
    <row r="149" spans="26:79" ht="8.25" hidden="1" customHeight="1" x14ac:dyDescent="0.2"/>
    <row r="150" spans="26:79" ht="8.25" hidden="1" customHeight="1" x14ac:dyDescent="0.2"/>
    <row r="151" spans="26:79" ht="16.5" hidden="1" customHeight="1" x14ac:dyDescent="0.2">
      <c r="BE151" s="432"/>
      <c r="BF151" s="432"/>
      <c r="BG151" s="432"/>
      <c r="BH151" s="432"/>
      <c r="BI151" s="432"/>
      <c r="BJ151" s="432"/>
      <c r="BK151" s="432"/>
      <c r="BL151" s="432"/>
      <c r="BM151" s="432"/>
      <c r="BN151" s="432"/>
      <c r="BO151" s="432"/>
      <c r="BP151" s="432"/>
      <c r="BQ151" s="432"/>
      <c r="BR151" s="432"/>
      <c r="BS151" s="432"/>
      <c r="BT151" s="432"/>
      <c r="BU151" s="432"/>
      <c r="BV151" s="432"/>
      <c r="BW151" s="432"/>
      <c r="BX151" s="432"/>
      <c r="BY151" s="432"/>
      <c r="BZ151" s="432"/>
      <c r="CA151" s="432"/>
    </row>
    <row r="152" spans="26:79" ht="15.75" hidden="1" customHeight="1" x14ac:dyDescent="0.2">
      <c r="BE152" s="432" t="s">
        <v>243</v>
      </c>
      <c r="BF152" s="432"/>
      <c r="BG152" s="432"/>
      <c r="BH152" s="432"/>
      <c r="BI152" s="432"/>
      <c r="BJ152" s="432"/>
      <c r="BK152" s="432"/>
      <c r="BL152" s="432"/>
      <c r="BM152" s="432"/>
      <c r="BN152" s="432"/>
      <c r="BO152" s="432"/>
      <c r="BP152" s="432"/>
      <c r="BQ152" s="432"/>
      <c r="BR152" s="432"/>
      <c r="BS152" s="432"/>
      <c r="BT152" s="432"/>
      <c r="BU152" s="432"/>
      <c r="BV152" s="432"/>
      <c r="BW152" s="432"/>
      <c r="BX152" s="432"/>
      <c r="BY152" s="432"/>
      <c r="BZ152" s="432"/>
      <c r="CA152" s="432"/>
    </row>
    <row r="153" spans="26:79" ht="15" hidden="1" customHeight="1" x14ac:dyDescent="0.2">
      <c r="BE153" s="432" t="s">
        <v>126</v>
      </c>
      <c r="BF153" s="432"/>
      <c r="BG153" s="432"/>
      <c r="BH153" s="433">
        <f>280*29</f>
        <v>8120</v>
      </c>
      <c r="BI153" s="433"/>
      <c r="BJ153" s="433"/>
      <c r="BK153" s="433"/>
      <c r="BL153" s="433"/>
      <c r="BM153" s="400" t="s">
        <v>127</v>
      </c>
      <c r="BN153" s="400"/>
      <c r="BO153" s="400"/>
      <c r="BP153" s="400"/>
      <c r="BQ153" s="400"/>
      <c r="BR153" s="400"/>
      <c r="BS153" s="400"/>
      <c r="BT153" s="400"/>
    </row>
    <row r="154" spans="26:79" ht="14.25" hidden="1" customHeight="1" x14ac:dyDescent="0.2">
      <c r="BE154" s="434">
        <v>0.6</v>
      </c>
      <c r="BF154" s="432"/>
      <c r="BG154" s="432"/>
      <c r="BH154" s="216">
        <f>BH153*BE154</f>
        <v>4872</v>
      </c>
      <c r="BI154" s="432" t="s">
        <v>128</v>
      </c>
      <c r="BJ154" s="432"/>
      <c r="BK154" s="432"/>
      <c r="BL154" s="432"/>
      <c r="BM154" s="432"/>
      <c r="BN154" s="432" t="s">
        <v>129</v>
      </c>
      <c r="BO154" s="432"/>
      <c r="BP154" s="432"/>
      <c r="BQ154" s="432"/>
      <c r="BR154" s="432"/>
      <c r="BS154" s="432"/>
      <c r="BT154" s="432"/>
    </row>
    <row r="155" spans="26:79" ht="14.25" hidden="1" customHeight="1" x14ac:dyDescent="0.2">
      <c r="BE155" s="432">
        <v>211</v>
      </c>
      <c r="BF155" s="432"/>
      <c r="BG155" s="432"/>
      <c r="BH155" s="216">
        <f>BH154-BH156</f>
        <v>3741.9354838709678</v>
      </c>
      <c r="BI155" s="435">
        <f>BH155*0.1</f>
        <v>374.19354838709683</v>
      </c>
      <c r="BJ155" s="435"/>
      <c r="BK155" s="435"/>
      <c r="BL155" s="435"/>
      <c r="BM155" s="435"/>
      <c r="BN155" s="435">
        <f>BH155-BI155</f>
        <v>3367.7419354838712</v>
      </c>
      <c r="BO155" s="432"/>
      <c r="BP155" s="432"/>
      <c r="BQ155" s="432"/>
      <c r="BR155" s="432"/>
      <c r="BS155" s="432"/>
      <c r="BT155" s="432"/>
    </row>
    <row r="156" spans="26:79" ht="16.5" hidden="1" customHeight="1" x14ac:dyDescent="0.2">
      <c r="BE156" s="432">
        <v>213</v>
      </c>
      <c r="BF156" s="432"/>
      <c r="BG156" s="432"/>
      <c r="BH156" s="216">
        <f>BH154*30.2/130.2</f>
        <v>1130.0645161290322</v>
      </c>
      <c r="BI156" s="435">
        <f>BI155*30.2%</f>
        <v>113.00645161290323</v>
      </c>
      <c r="BJ156" s="435"/>
      <c r="BK156" s="435"/>
      <c r="BL156" s="435"/>
      <c r="BM156" s="435"/>
      <c r="BN156" s="435">
        <f>BN155*30.2%</f>
        <v>1017.0580645161291</v>
      </c>
      <c r="BO156" s="435"/>
      <c r="BP156" s="435"/>
      <c r="BQ156" s="435"/>
      <c r="BR156" s="435"/>
      <c r="BS156" s="435"/>
      <c r="BT156" s="435"/>
    </row>
    <row r="157" spans="26:79" ht="8.25" hidden="1" customHeight="1" x14ac:dyDescent="0.2"/>
    <row r="158" spans="26:79" ht="8.25" hidden="1" customHeight="1" x14ac:dyDescent="0.2"/>
    <row r="159" spans="26:79" ht="15" hidden="1" customHeight="1" x14ac:dyDescent="0.2">
      <c r="BE159" s="432" t="s">
        <v>169</v>
      </c>
      <c r="BF159" s="432"/>
      <c r="BG159" s="432"/>
      <c r="BH159" s="432"/>
      <c r="BI159" s="432"/>
      <c r="BJ159" s="432"/>
      <c r="BK159" s="432"/>
      <c r="BL159" s="432"/>
      <c r="BM159" s="432"/>
      <c r="BN159" s="432"/>
      <c r="BO159" s="432"/>
      <c r="BP159" s="432"/>
      <c r="BQ159" s="432"/>
      <c r="BR159" s="432"/>
      <c r="BS159" s="432"/>
      <c r="BT159" s="432"/>
      <c r="BU159" s="432"/>
      <c r="BV159" s="432"/>
      <c r="BW159" s="432"/>
      <c r="BX159" s="432"/>
      <c r="BY159" s="432"/>
      <c r="BZ159" s="432"/>
      <c r="CA159" s="432"/>
    </row>
    <row r="160" spans="26:79" ht="12.75" hidden="1" customHeight="1" x14ac:dyDescent="0.2">
      <c r="BE160" s="432" t="s">
        <v>126</v>
      </c>
      <c r="BF160" s="432"/>
      <c r="BG160" s="432"/>
      <c r="BH160" s="433">
        <f>280*17</f>
        <v>4760</v>
      </c>
      <c r="BI160" s="433"/>
      <c r="BJ160" s="433"/>
      <c r="BK160" s="433"/>
      <c r="BL160" s="433"/>
      <c r="BM160" s="400" t="s">
        <v>127</v>
      </c>
      <c r="BN160" s="400"/>
      <c r="BO160" s="400"/>
      <c r="BP160" s="400"/>
      <c r="BQ160" s="400"/>
      <c r="BR160" s="400"/>
      <c r="BS160" s="400"/>
      <c r="BT160" s="400"/>
    </row>
    <row r="161" spans="57:79" ht="15.75" hidden="1" customHeight="1" x14ac:dyDescent="0.2">
      <c r="BE161" s="434">
        <v>0.6</v>
      </c>
      <c r="BF161" s="432"/>
      <c r="BG161" s="432"/>
      <c r="BH161" s="216">
        <f>BH160*BE161</f>
        <v>2856</v>
      </c>
      <c r="BI161" s="432" t="s">
        <v>128</v>
      </c>
      <c r="BJ161" s="432"/>
      <c r="BK161" s="432"/>
      <c r="BL161" s="432"/>
      <c r="BM161" s="432"/>
      <c r="BN161" s="432" t="s">
        <v>129</v>
      </c>
      <c r="BO161" s="432"/>
      <c r="BP161" s="432"/>
      <c r="BQ161" s="432"/>
      <c r="BR161" s="432"/>
      <c r="BS161" s="432"/>
      <c r="BT161" s="432"/>
    </row>
    <row r="162" spans="57:79" ht="12.75" hidden="1" customHeight="1" x14ac:dyDescent="0.2">
      <c r="BE162" s="432">
        <v>211</v>
      </c>
      <c r="BF162" s="432"/>
      <c r="BG162" s="432"/>
      <c r="BH162" s="216">
        <f>BH161-BH163</f>
        <v>2193.5483870967741</v>
      </c>
      <c r="BI162" s="435">
        <f>BH162*0.1</f>
        <v>219.35483870967744</v>
      </c>
      <c r="BJ162" s="435"/>
      <c r="BK162" s="435"/>
      <c r="BL162" s="435"/>
      <c r="BM162" s="435"/>
      <c r="BN162" s="435">
        <f>BH162-BI162</f>
        <v>1974.1935483870966</v>
      </c>
      <c r="BO162" s="432"/>
      <c r="BP162" s="432"/>
      <c r="BQ162" s="432"/>
      <c r="BR162" s="432"/>
      <c r="BS162" s="432"/>
      <c r="BT162" s="432"/>
    </row>
    <row r="163" spans="57:79" ht="12.75" hidden="1" customHeight="1" x14ac:dyDescent="0.2">
      <c r="BE163" s="432">
        <v>213</v>
      </c>
      <c r="BF163" s="432"/>
      <c r="BG163" s="432"/>
      <c r="BH163" s="216">
        <f>BH161*30.2/130.2</f>
        <v>662.45161290322585</v>
      </c>
      <c r="BI163" s="435">
        <f>BI162*30.2%</f>
        <v>66.245161290322585</v>
      </c>
      <c r="BJ163" s="435"/>
      <c r="BK163" s="435"/>
      <c r="BL163" s="435"/>
      <c r="BM163" s="435"/>
      <c r="BN163" s="435">
        <f>BN162*30.2%</f>
        <v>596.20645161290315</v>
      </c>
      <c r="BO163" s="435"/>
      <c r="BP163" s="435"/>
      <c r="BQ163" s="435"/>
      <c r="BR163" s="435"/>
      <c r="BS163" s="435"/>
      <c r="BT163" s="435"/>
    </row>
    <row r="164" spans="57:79" ht="8.25" hidden="1" customHeight="1" x14ac:dyDescent="0.2"/>
    <row r="165" spans="57:79" ht="8.25" hidden="1" customHeight="1" x14ac:dyDescent="0.2"/>
    <row r="166" spans="57:79" ht="7.5" hidden="1" customHeight="1" x14ac:dyDescent="0.2"/>
    <row r="167" spans="57:79" ht="15.75" hidden="1" customHeight="1" x14ac:dyDescent="0.2">
      <c r="BE167" s="432" t="s">
        <v>175</v>
      </c>
      <c r="BF167" s="432"/>
      <c r="BG167" s="432"/>
      <c r="BH167" s="432"/>
      <c r="BI167" s="432"/>
      <c r="BJ167" s="432"/>
      <c r="BK167" s="432"/>
      <c r="BL167" s="432"/>
      <c r="BM167" s="432"/>
      <c r="BN167" s="432"/>
      <c r="BO167" s="432"/>
      <c r="BP167" s="432"/>
      <c r="BQ167" s="432"/>
      <c r="BR167" s="432"/>
      <c r="BS167" s="432"/>
      <c r="BT167" s="432"/>
      <c r="BU167" s="432"/>
      <c r="BV167" s="432"/>
      <c r="BW167" s="432"/>
      <c r="BX167" s="432"/>
      <c r="BY167" s="432"/>
      <c r="BZ167" s="432"/>
      <c r="CA167" s="432"/>
    </row>
    <row r="168" spans="57:79" ht="15" hidden="1" customHeight="1" x14ac:dyDescent="0.2">
      <c r="BE168" s="432" t="s">
        <v>126</v>
      </c>
      <c r="BF168" s="432"/>
      <c r="BG168" s="432"/>
      <c r="BH168" s="433">
        <f>280*55</f>
        <v>15400</v>
      </c>
      <c r="BI168" s="433"/>
      <c r="BJ168" s="433"/>
      <c r="BK168" s="433"/>
      <c r="BL168" s="433"/>
      <c r="BM168" s="400" t="s">
        <v>127</v>
      </c>
      <c r="BN168" s="400"/>
      <c r="BO168" s="400"/>
      <c r="BP168" s="400"/>
      <c r="BQ168" s="400"/>
      <c r="BR168" s="400"/>
      <c r="BS168" s="400"/>
      <c r="BT168" s="400"/>
    </row>
    <row r="169" spans="57:79" ht="11.25" hidden="1" customHeight="1" x14ac:dyDescent="0.2">
      <c r="BE169" s="434">
        <v>0.6</v>
      </c>
      <c r="BF169" s="432"/>
      <c r="BG169" s="432"/>
      <c r="BH169" s="216">
        <f>BH168*BE169</f>
        <v>9240</v>
      </c>
      <c r="BI169" s="432" t="s">
        <v>128</v>
      </c>
      <c r="BJ169" s="432"/>
      <c r="BK169" s="432"/>
      <c r="BL169" s="432"/>
      <c r="BM169" s="432"/>
      <c r="BN169" s="432" t="s">
        <v>129</v>
      </c>
      <c r="BO169" s="432"/>
      <c r="BP169" s="432"/>
      <c r="BQ169" s="432"/>
      <c r="BR169" s="432"/>
      <c r="BS169" s="432"/>
      <c r="BT169" s="432"/>
    </row>
    <row r="170" spans="57:79" ht="15.75" hidden="1" customHeight="1" x14ac:dyDescent="0.2">
      <c r="BE170" s="432">
        <v>211</v>
      </c>
      <c r="BF170" s="432"/>
      <c r="BG170" s="432"/>
      <c r="BH170" s="216">
        <f>BH169-BH171</f>
        <v>7096.7741935483864</v>
      </c>
      <c r="BI170" s="435">
        <f>BH170*0.1</f>
        <v>709.67741935483866</v>
      </c>
      <c r="BJ170" s="435"/>
      <c r="BK170" s="435"/>
      <c r="BL170" s="435"/>
      <c r="BM170" s="435"/>
      <c r="BN170" s="435">
        <f>BH170-BI170</f>
        <v>6387.0967741935474</v>
      </c>
      <c r="BO170" s="432"/>
      <c r="BP170" s="432"/>
      <c r="BQ170" s="432"/>
      <c r="BR170" s="432"/>
      <c r="BS170" s="432"/>
      <c r="BT170" s="432"/>
    </row>
    <row r="171" spans="57:79" ht="12.75" hidden="1" customHeight="1" x14ac:dyDescent="0.2">
      <c r="BE171" s="432">
        <v>213</v>
      </c>
      <c r="BF171" s="432"/>
      <c r="BG171" s="432"/>
      <c r="BH171" s="216">
        <f>BH169*30.2/130.2</f>
        <v>2143.2258064516132</v>
      </c>
      <c r="BI171" s="435">
        <f>BI170*30.2%</f>
        <v>214.32258064516128</v>
      </c>
      <c r="BJ171" s="435"/>
      <c r="BK171" s="435"/>
      <c r="BL171" s="435"/>
      <c r="BM171" s="435"/>
      <c r="BN171" s="435">
        <f>BN170*30.2%</f>
        <v>1928.9032258064512</v>
      </c>
      <c r="BO171" s="435"/>
      <c r="BP171" s="435"/>
      <c r="BQ171" s="435"/>
      <c r="BR171" s="435"/>
      <c r="BS171" s="435"/>
      <c r="BT171" s="435"/>
    </row>
    <row r="172" spans="57:79" ht="8.25" hidden="1" customHeight="1" x14ac:dyDescent="0.2"/>
    <row r="173" spans="57:79" ht="8.25" hidden="1" customHeight="1" x14ac:dyDescent="0.2"/>
    <row r="174" spans="57:79" ht="16.5" hidden="1" customHeight="1" x14ac:dyDescent="0.2">
      <c r="BE174" s="432" t="s">
        <v>185</v>
      </c>
      <c r="BF174" s="432"/>
      <c r="BG174" s="432"/>
      <c r="BH174" s="432"/>
      <c r="BI174" s="432"/>
      <c r="BJ174" s="432"/>
      <c r="BK174" s="432"/>
      <c r="BL174" s="432"/>
      <c r="BM174" s="432"/>
      <c r="BN174" s="432"/>
      <c r="BO174" s="432"/>
      <c r="BP174" s="432"/>
      <c r="BQ174" s="432"/>
      <c r="BR174" s="432"/>
      <c r="BS174" s="432"/>
      <c r="BT174" s="432"/>
      <c r="BU174" s="432"/>
      <c r="BV174" s="432"/>
      <c r="BW174" s="432"/>
      <c r="BX174" s="432"/>
      <c r="BY174" s="432"/>
      <c r="BZ174" s="432"/>
      <c r="CA174" s="432"/>
    </row>
    <row r="175" spans="57:79" ht="15" hidden="1" customHeight="1" x14ac:dyDescent="0.2">
      <c r="BE175" s="432" t="s">
        <v>126</v>
      </c>
      <c r="BF175" s="432"/>
      <c r="BG175" s="432"/>
      <c r="BH175" s="433">
        <f>280*23</f>
        <v>6440</v>
      </c>
      <c r="BI175" s="433"/>
      <c r="BJ175" s="433"/>
      <c r="BK175" s="433"/>
      <c r="BL175" s="433"/>
      <c r="BM175" s="400" t="s">
        <v>127</v>
      </c>
      <c r="BN175" s="400"/>
      <c r="BO175" s="400"/>
      <c r="BP175" s="400"/>
      <c r="BQ175" s="400"/>
      <c r="BR175" s="400"/>
      <c r="BS175" s="400"/>
      <c r="BT175" s="400"/>
    </row>
    <row r="176" spans="57:79" ht="17.25" hidden="1" customHeight="1" x14ac:dyDescent="0.2">
      <c r="BE176" s="434">
        <v>0.6</v>
      </c>
      <c r="BF176" s="432"/>
      <c r="BG176" s="432"/>
      <c r="BH176" s="216">
        <f>BH175*BE176</f>
        <v>3864</v>
      </c>
      <c r="BI176" s="432" t="s">
        <v>128</v>
      </c>
      <c r="BJ176" s="432"/>
      <c r="BK176" s="432"/>
      <c r="BL176" s="432"/>
      <c r="BM176" s="432"/>
      <c r="BN176" s="432" t="s">
        <v>129</v>
      </c>
      <c r="BO176" s="432"/>
      <c r="BP176" s="432"/>
      <c r="BQ176" s="432"/>
      <c r="BR176" s="432"/>
      <c r="BS176" s="432"/>
      <c r="BT176" s="432"/>
    </row>
    <row r="177" spans="57:79" ht="17.25" hidden="1" customHeight="1" x14ac:dyDescent="0.2">
      <c r="BE177" s="432">
        <v>211</v>
      </c>
      <c r="BF177" s="432"/>
      <c r="BG177" s="432"/>
      <c r="BH177" s="216">
        <f>BH176-BH178</f>
        <v>2967.7419354838707</v>
      </c>
      <c r="BI177" s="435">
        <f>BH177*0.1</f>
        <v>296.77419354838707</v>
      </c>
      <c r="BJ177" s="435"/>
      <c r="BK177" s="435"/>
      <c r="BL177" s="435"/>
      <c r="BM177" s="435"/>
      <c r="BN177" s="435">
        <f>BH177-BI177</f>
        <v>2670.9677419354839</v>
      </c>
      <c r="BO177" s="432"/>
      <c r="BP177" s="432"/>
      <c r="BQ177" s="432"/>
      <c r="BR177" s="432"/>
      <c r="BS177" s="432"/>
      <c r="BT177" s="432"/>
    </row>
    <row r="178" spans="57:79" ht="15.75" hidden="1" customHeight="1" x14ac:dyDescent="0.2">
      <c r="BE178" s="432">
        <v>213</v>
      </c>
      <c r="BF178" s="432"/>
      <c r="BG178" s="432"/>
      <c r="BH178" s="216">
        <f>BH176*30.2/130.2</f>
        <v>896.25806451612914</v>
      </c>
      <c r="BI178" s="435">
        <f>BI177*30.2%</f>
        <v>89.625806451612888</v>
      </c>
      <c r="BJ178" s="435"/>
      <c r="BK178" s="435"/>
      <c r="BL178" s="435"/>
      <c r="BM178" s="435"/>
      <c r="BN178" s="435">
        <f>BN177*30.2%</f>
        <v>806.63225806451612</v>
      </c>
      <c r="BO178" s="435"/>
      <c r="BP178" s="435"/>
      <c r="BQ178" s="435"/>
      <c r="BR178" s="435"/>
      <c r="BS178" s="435"/>
      <c r="BT178" s="435"/>
    </row>
    <row r="179" spans="57:79" ht="8.25" hidden="1" customHeight="1" x14ac:dyDescent="0.2"/>
    <row r="180" spans="57:79" ht="8.25" hidden="1" customHeight="1" x14ac:dyDescent="0.2"/>
    <row r="181" spans="57:79" ht="14.25" hidden="1" customHeight="1" x14ac:dyDescent="0.2">
      <c r="BE181" s="432" t="s">
        <v>272</v>
      </c>
      <c r="BF181" s="432"/>
      <c r="BG181" s="432"/>
      <c r="BH181" s="432"/>
      <c r="BI181" s="432"/>
      <c r="BJ181" s="432"/>
      <c r="BK181" s="432"/>
      <c r="BL181" s="432"/>
      <c r="BM181" s="432"/>
      <c r="BN181" s="432"/>
      <c r="BO181" s="432"/>
      <c r="BP181" s="432"/>
      <c r="BQ181" s="432"/>
      <c r="BR181" s="432"/>
      <c r="BS181" s="432"/>
      <c r="BT181" s="432"/>
      <c r="BU181" s="432"/>
      <c r="BV181" s="432"/>
      <c r="BW181" s="432"/>
      <c r="BX181" s="432"/>
      <c r="BY181" s="432"/>
      <c r="BZ181" s="432"/>
      <c r="CA181" s="432"/>
    </row>
    <row r="182" spans="57:79" ht="18.75" hidden="1" customHeight="1" x14ac:dyDescent="0.2">
      <c r="BE182" s="432" t="s">
        <v>126</v>
      </c>
      <c r="BF182" s="432"/>
      <c r="BG182" s="432"/>
      <c r="BH182" s="433">
        <f>280*20</f>
        <v>5600</v>
      </c>
      <c r="BI182" s="433"/>
      <c r="BJ182" s="433"/>
      <c r="BK182" s="433"/>
      <c r="BL182" s="433"/>
      <c r="BM182" s="400" t="s">
        <v>127</v>
      </c>
      <c r="BN182" s="400"/>
      <c r="BO182" s="400"/>
      <c r="BP182" s="400"/>
      <c r="BQ182" s="400"/>
      <c r="BR182" s="400"/>
      <c r="BS182" s="400"/>
      <c r="BT182" s="400"/>
    </row>
    <row r="183" spans="57:79" ht="18.75" hidden="1" customHeight="1" x14ac:dyDescent="0.2">
      <c r="BE183" s="434">
        <v>0.6</v>
      </c>
      <c r="BF183" s="432"/>
      <c r="BG183" s="432"/>
      <c r="BH183" s="216">
        <f>BH182*BE183</f>
        <v>3360</v>
      </c>
      <c r="BI183" s="432" t="s">
        <v>128</v>
      </c>
      <c r="BJ183" s="432"/>
      <c r="BK183" s="432"/>
      <c r="BL183" s="432"/>
      <c r="BM183" s="432"/>
      <c r="BN183" s="432" t="s">
        <v>129</v>
      </c>
      <c r="BO183" s="432"/>
      <c r="BP183" s="432"/>
      <c r="BQ183" s="432"/>
      <c r="BR183" s="432"/>
      <c r="BS183" s="432"/>
      <c r="BT183" s="432"/>
    </row>
    <row r="184" spans="57:79" ht="17.25" hidden="1" customHeight="1" x14ac:dyDescent="0.2">
      <c r="BE184" s="432">
        <v>211</v>
      </c>
      <c r="BF184" s="432"/>
      <c r="BG184" s="432"/>
      <c r="BH184" s="216">
        <f>BH183-BH185</f>
        <v>2580.6451612903224</v>
      </c>
      <c r="BI184" s="435">
        <f>BH184*0.1</f>
        <v>258.06451612903226</v>
      </c>
      <c r="BJ184" s="435"/>
      <c r="BK184" s="435"/>
      <c r="BL184" s="435"/>
      <c r="BM184" s="435"/>
      <c r="BN184" s="435">
        <f>BH184-BI184</f>
        <v>2322.5806451612902</v>
      </c>
      <c r="BO184" s="432"/>
      <c r="BP184" s="432"/>
      <c r="BQ184" s="432"/>
      <c r="BR184" s="432"/>
      <c r="BS184" s="432"/>
      <c r="BT184" s="432"/>
    </row>
    <row r="185" spans="57:79" ht="18" hidden="1" customHeight="1" x14ac:dyDescent="0.2">
      <c r="BE185" s="432">
        <v>213</v>
      </c>
      <c r="BF185" s="432"/>
      <c r="BG185" s="432"/>
      <c r="BH185" s="216">
        <f>BH183*30.2/130.2</f>
        <v>779.35483870967744</v>
      </c>
      <c r="BI185" s="435">
        <f>BI184*30.2%</f>
        <v>77.935483870967744</v>
      </c>
      <c r="BJ185" s="435"/>
      <c r="BK185" s="435"/>
      <c r="BL185" s="435"/>
      <c r="BM185" s="435"/>
      <c r="BN185" s="435">
        <f>BN184*30.2%</f>
        <v>701.41935483870964</v>
      </c>
      <c r="BO185" s="435"/>
      <c r="BP185" s="435"/>
      <c r="BQ185" s="435"/>
      <c r="BR185" s="435"/>
      <c r="BS185" s="435"/>
      <c r="BT185" s="435"/>
    </row>
    <row r="186" spans="57:79" ht="8.25" hidden="1" customHeight="1" x14ac:dyDescent="0.2"/>
    <row r="187" spans="57:79" ht="8.25" hidden="1" customHeight="1" x14ac:dyDescent="0.2"/>
    <row r="188" spans="57:79" ht="15" hidden="1" customHeight="1" x14ac:dyDescent="0.2">
      <c r="BE188" s="432" t="s">
        <v>278</v>
      </c>
      <c r="BF188" s="432"/>
      <c r="BG188" s="432"/>
      <c r="BH188" s="432"/>
      <c r="BI188" s="432"/>
      <c r="BJ188" s="432"/>
      <c r="BK188" s="432"/>
      <c r="BL188" s="432"/>
      <c r="BM188" s="432"/>
      <c r="BN188" s="432"/>
      <c r="BO188" s="432"/>
      <c r="BP188" s="432"/>
      <c r="BQ188" s="432"/>
      <c r="BR188" s="432"/>
      <c r="BS188" s="432"/>
      <c r="BT188" s="432"/>
      <c r="BU188" s="432"/>
      <c r="BV188" s="432"/>
      <c r="BW188" s="432"/>
      <c r="BX188" s="432"/>
      <c r="BY188" s="432"/>
      <c r="BZ188" s="432"/>
      <c r="CA188" s="432"/>
    </row>
    <row r="189" spans="57:79" ht="15" hidden="1" customHeight="1" x14ac:dyDescent="0.2">
      <c r="BE189" s="432" t="s">
        <v>126</v>
      </c>
      <c r="BF189" s="432"/>
      <c r="BG189" s="432"/>
      <c r="BH189" s="433">
        <f>280*39</f>
        <v>10920</v>
      </c>
      <c r="BI189" s="433"/>
      <c r="BJ189" s="433"/>
      <c r="BK189" s="433"/>
      <c r="BL189" s="433"/>
      <c r="BM189" s="400" t="s">
        <v>127</v>
      </c>
      <c r="BN189" s="400"/>
      <c r="BO189" s="400"/>
      <c r="BP189" s="400"/>
      <c r="BQ189" s="400"/>
      <c r="BR189" s="400"/>
      <c r="BS189" s="400"/>
      <c r="BT189" s="400"/>
    </row>
    <row r="190" spans="57:79" ht="9" hidden="1" customHeight="1" x14ac:dyDescent="0.2">
      <c r="BE190" s="434">
        <v>0.6</v>
      </c>
      <c r="BF190" s="432"/>
      <c r="BG190" s="432"/>
      <c r="BH190" s="216">
        <f>BH189*BE190</f>
        <v>6552</v>
      </c>
      <c r="BI190" s="432" t="s">
        <v>128</v>
      </c>
      <c r="BJ190" s="432"/>
      <c r="BK190" s="432"/>
      <c r="BL190" s="432"/>
      <c r="BM190" s="432"/>
      <c r="BN190" s="432" t="s">
        <v>129</v>
      </c>
      <c r="BO190" s="432"/>
      <c r="BP190" s="432"/>
      <c r="BQ190" s="432"/>
      <c r="BR190" s="432"/>
      <c r="BS190" s="432"/>
      <c r="BT190" s="432"/>
    </row>
    <row r="191" spans="57:79" ht="15" hidden="1" customHeight="1" x14ac:dyDescent="0.2">
      <c r="BE191" s="432">
        <v>211</v>
      </c>
      <c r="BF191" s="432"/>
      <c r="BG191" s="432"/>
      <c r="BH191" s="216">
        <f>BH190-BH192</f>
        <v>5032.2580645161288</v>
      </c>
      <c r="BI191" s="435">
        <f>BH191*0.1</f>
        <v>503.22580645161293</v>
      </c>
      <c r="BJ191" s="435"/>
      <c r="BK191" s="435"/>
      <c r="BL191" s="435"/>
      <c r="BM191" s="435"/>
      <c r="BN191" s="435">
        <f>BH191-BI191</f>
        <v>4529.0322580645161</v>
      </c>
      <c r="BO191" s="432"/>
      <c r="BP191" s="432"/>
      <c r="BQ191" s="432"/>
      <c r="BR191" s="432"/>
      <c r="BS191" s="432"/>
      <c r="BT191" s="432"/>
    </row>
    <row r="192" spans="57:79" ht="15" hidden="1" customHeight="1" x14ac:dyDescent="0.2">
      <c r="BE192" s="432">
        <v>213</v>
      </c>
      <c r="BF192" s="432"/>
      <c r="BG192" s="432"/>
      <c r="BH192" s="216">
        <f>BH190*30.2/130.2</f>
        <v>1519.741935483871</v>
      </c>
      <c r="BI192" s="435">
        <f>BI191*30.2%</f>
        <v>151.97419354838709</v>
      </c>
      <c r="BJ192" s="435"/>
      <c r="BK192" s="435"/>
      <c r="BL192" s="435"/>
      <c r="BM192" s="435"/>
      <c r="BN192" s="435">
        <f>BN191*30.2%</f>
        <v>1367.7677419354839</v>
      </c>
      <c r="BO192" s="435"/>
      <c r="BP192" s="435"/>
      <c r="BQ192" s="435"/>
      <c r="BR192" s="435"/>
      <c r="BS192" s="435"/>
      <c r="BT192" s="435"/>
    </row>
    <row r="193" spans="57:79" ht="15" hidden="1" customHeight="1" x14ac:dyDescent="0.2"/>
    <row r="194" spans="57:79" ht="8.25" hidden="1" customHeight="1" x14ac:dyDescent="0.2"/>
    <row r="195" spans="57:79" ht="15" hidden="1" customHeight="1" x14ac:dyDescent="0.2">
      <c r="BE195" s="432" t="s">
        <v>290</v>
      </c>
      <c r="BF195" s="432"/>
      <c r="BG195" s="432"/>
      <c r="BH195" s="432"/>
      <c r="BI195" s="432"/>
      <c r="BJ195" s="432"/>
      <c r="BK195" s="432"/>
      <c r="BL195" s="432"/>
      <c r="BM195" s="432"/>
      <c r="BN195" s="432"/>
      <c r="BO195" s="432"/>
      <c r="BP195" s="432"/>
      <c r="BQ195" s="432"/>
      <c r="BR195" s="432"/>
      <c r="BS195" s="432"/>
      <c r="BT195" s="432"/>
      <c r="BU195" s="432"/>
      <c r="BV195" s="432"/>
      <c r="BW195" s="432"/>
      <c r="BX195" s="432"/>
      <c r="BY195" s="432"/>
      <c r="BZ195" s="432"/>
      <c r="CA195" s="432"/>
    </row>
    <row r="196" spans="57:79" ht="15" hidden="1" customHeight="1" x14ac:dyDescent="0.2">
      <c r="BE196" s="432" t="s">
        <v>126</v>
      </c>
      <c r="BF196" s="432"/>
      <c r="BG196" s="432"/>
      <c r="BH196" s="433">
        <f>280*28</f>
        <v>7840</v>
      </c>
      <c r="BI196" s="433"/>
      <c r="BJ196" s="433"/>
      <c r="BK196" s="433"/>
      <c r="BL196" s="433"/>
      <c r="BM196" s="400" t="s">
        <v>127</v>
      </c>
      <c r="BN196" s="400"/>
      <c r="BO196" s="400"/>
      <c r="BP196" s="400"/>
      <c r="BQ196" s="400"/>
      <c r="BR196" s="400"/>
      <c r="BS196" s="400"/>
      <c r="BT196" s="400"/>
    </row>
    <row r="197" spans="57:79" ht="15" hidden="1" customHeight="1" x14ac:dyDescent="0.2">
      <c r="BE197" s="434">
        <v>0.6</v>
      </c>
      <c r="BF197" s="432"/>
      <c r="BG197" s="432"/>
      <c r="BH197" s="216">
        <f>BH196*BE197</f>
        <v>4704</v>
      </c>
      <c r="BI197" s="432" t="s">
        <v>128</v>
      </c>
      <c r="BJ197" s="432"/>
      <c r="BK197" s="432"/>
      <c r="BL197" s="432"/>
      <c r="BM197" s="432"/>
      <c r="BN197" s="432" t="s">
        <v>129</v>
      </c>
      <c r="BO197" s="432"/>
      <c r="BP197" s="432"/>
      <c r="BQ197" s="432"/>
      <c r="BR197" s="432"/>
      <c r="BS197" s="432"/>
      <c r="BT197" s="432"/>
    </row>
    <row r="198" spans="57:79" ht="15" hidden="1" customHeight="1" x14ac:dyDescent="0.2">
      <c r="BE198" s="432">
        <v>211</v>
      </c>
      <c r="BF198" s="432"/>
      <c r="BG198" s="432"/>
      <c r="BH198" s="216">
        <f>BH197-BH199</f>
        <v>3612.9032258064517</v>
      </c>
      <c r="BI198" s="435">
        <f>BH198*0.1</f>
        <v>361.29032258064518</v>
      </c>
      <c r="BJ198" s="435"/>
      <c r="BK198" s="435"/>
      <c r="BL198" s="435"/>
      <c r="BM198" s="435"/>
      <c r="BN198" s="435">
        <f>BH198-BI198</f>
        <v>3251.6129032258063</v>
      </c>
      <c r="BO198" s="432"/>
      <c r="BP198" s="432"/>
      <c r="BQ198" s="432"/>
      <c r="BR198" s="432"/>
      <c r="BS198" s="432"/>
      <c r="BT198" s="432"/>
    </row>
    <row r="199" spans="57:79" ht="15" hidden="1" customHeight="1" x14ac:dyDescent="0.2">
      <c r="BE199" s="432">
        <v>213</v>
      </c>
      <c r="BF199" s="432"/>
      <c r="BG199" s="432"/>
      <c r="BH199" s="216">
        <f>BH197*30.2/130.2</f>
        <v>1091.0967741935483</v>
      </c>
      <c r="BI199" s="435">
        <f>BI198*30.2%</f>
        <v>109.10967741935484</v>
      </c>
      <c r="BJ199" s="435"/>
      <c r="BK199" s="435"/>
      <c r="BL199" s="435"/>
      <c r="BM199" s="435"/>
      <c r="BN199" s="435">
        <f>BN198*30.2%</f>
        <v>981.98709677419345</v>
      </c>
      <c r="BO199" s="435"/>
      <c r="BP199" s="435"/>
      <c r="BQ199" s="435"/>
      <c r="BR199" s="435"/>
      <c r="BS199" s="435"/>
      <c r="BT199" s="435"/>
    </row>
    <row r="200" spans="57:79" ht="15" hidden="1" customHeight="1" x14ac:dyDescent="0.2"/>
    <row r="201" spans="57:79" ht="8.25" hidden="1" customHeight="1" x14ac:dyDescent="0.2"/>
    <row r="202" spans="57:79" ht="15.75" hidden="1" customHeight="1" x14ac:dyDescent="0.2">
      <c r="BE202" s="432" t="s">
        <v>296</v>
      </c>
      <c r="BF202" s="432"/>
      <c r="BG202" s="432"/>
      <c r="BH202" s="432"/>
      <c r="BI202" s="432"/>
      <c r="BJ202" s="432"/>
      <c r="BK202" s="432"/>
      <c r="BL202" s="432"/>
      <c r="BM202" s="432"/>
      <c r="BN202" s="432"/>
      <c r="BO202" s="432"/>
      <c r="BP202" s="432"/>
      <c r="BQ202" s="432"/>
      <c r="BR202" s="432"/>
      <c r="BS202" s="432"/>
      <c r="BT202" s="432"/>
      <c r="BU202" s="432"/>
      <c r="BV202" s="432"/>
      <c r="BW202" s="432"/>
      <c r="BX202" s="432"/>
      <c r="BY202" s="432"/>
      <c r="BZ202" s="432"/>
      <c r="CA202" s="432"/>
    </row>
    <row r="203" spans="57:79" ht="15.75" hidden="1" customHeight="1" x14ac:dyDescent="0.2">
      <c r="BE203" s="432" t="s">
        <v>126</v>
      </c>
      <c r="BF203" s="432"/>
      <c r="BG203" s="432"/>
      <c r="BH203" s="433">
        <f>280*27</f>
        <v>7560</v>
      </c>
      <c r="BI203" s="433"/>
      <c r="BJ203" s="433"/>
      <c r="BK203" s="433"/>
      <c r="BL203" s="433"/>
      <c r="BM203" s="400" t="s">
        <v>127</v>
      </c>
      <c r="BN203" s="400"/>
      <c r="BO203" s="400"/>
      <c r="BP203" s="400"/>
      <c r="BQ203" s="400"/>
      <c r="BR203" s="400"/>
      <c r="BS203" s="400"/>
      <c r="BT203" s="400"/>
    </row>
    <row r="204" spans="57:79" ht="15.75" hidden="1" customHeight="1" x14ac:dyDescent="0.2">
      <c r="BE204" s="434">
        <v>0.6</v>
      </c>
      <c r="BF204" s="432"/>
      <c r="BG204" s="432"/>
      <c r="BH204" s="216">
        <f>BH203*BE204</f>
        <v>4536</v>
      </c>
      <c r="BI204" s="432" t="s">
        <v>128</v>
      </c>
      <c r="BJ204" s="432"/>
      <c r="BK204" s="432"/>
      <c r="BL204" s="432"/>
      <c r="BM204" s="432"/>
      <c r="BN204" s="432" t="s">
        <v>129</v>
      </c>
      <c r="BO204" s="432"/>
      <c r="BP204" s="432"/>
      <c r="BQ204" s="432"/>
      <c r="BR204" s="432"/>
      <c r="BS204" s="432"/>
      <c r="BT204" s="432"/>
    </row>
    <row r="205" spans="57:79" ht="15.75" hidden="1" customHeight="1" x14ac:dyDescent="0.2">
      <c r="BE205" s="432">
        <v>211</v>
      </c>
      <c r="BF205" s="432"/>
      <c r="BG205" s="432"/>
      <c r="BH205" s="216">
        <f>BH204-BH206</f>
        <v>3483.8709677419356</v>
      </c>
      <c r="BI205" s="435">
        <f>BH205*0.1</f>
        <v>348.38709677419359</v>
      </c>
      <c r="BJ205" s="435"/>
      <c r="BK205" s="435"/>
      <c r="BL205" s="435"/>
      <c r="BM205" s="435"/>
      <c r="BN205" s="435">
        <f>BH205-BI205</f>
        <v>3135.483870967742</v>
      </c>
      <c r="BO205" s="432"/>
      <c r="BP205" s="432"/>
      <c r="BQ205" s="432"/>
      <c r="BR205" s="432"/>
      <c r="BS205" s="432"/>
      <c r="BT205" s="432"/>
    </row>
    <row r="206" spans="57:79" ht="15.75" hidden="1" customHeight="1" x14ac:dyDescent="0.2">
      <c r="BE206" s="432">
        <v>213</v>
      </c>
      <c r="BF206" s="432"/>
      <c r="BG206" s="432"/>
      <c r="BH206" s="216">
        <f>BH204*30.2/130.2</f>
        <v>1052.1290322580644</v>
      </c>
      <c r="BI206" s="435">
        <f>BI205*30.2%</f>
        <v>105.21290322580646</v>
      </c>
      <c r="BJ206" s="435"/>
      <c r="BK206" s="435"/>
      <c r="BL206" s="435"/>
      <c r="BM206" s="435"/>
      <c r="BN206" s="435">
        <f>BN205*30.2%</f>
        <v>946.91612903225803</v>
      </c>
      <c r="BO206" s="435"/>
      <c r="BP206" s="435"/>
      <c r="BQ206" s="435"/>
      <c r="BR206" s="435"/>
      <c r="BS206" s="435"/>
      <c r="BT206" s="435"/>
    </row>
    <row r="207" spans="57:79" ht="15.75" hidden="1" customHeight="1" x14ac:dyDescent="0.2"/>
    <row r="208" spans="57:79" ht="8.25" hidden="1" customHeight="1" x14ac:dyDescent="0.2"/>
    <row r="209" spans="57:79" ht="15" hidden="1" customHeight="1" x14ac:dyDescent="0.2">
      <c r="BE209" s="432" t="s">
        <v>302</v>
      </c>
      <c r="BF209" s="432"/>
      <c r="BG209" s="432"/>
      <c r="BH209" s="432"/>
      <c r="BI209" s="432"/>
      <c r="BJ209" s="432"/>
      <c r="BK209" s="432"/>
      <c r="BL209" s="432"/>
      <c r="BM209" s="432"/>
      <c r="BN209" s="432"/>
      <c r="BO209" s="432"/>
      <c r="BP209" s="432"/>
      <c r="BQ209" s="432"/>
      <c r="BR209" s="432"/>
      <c r="BS209" s="432"/>
      <c r="BT209" s="432"/>
      <c r="BU209" s="432"/>
      <c r="BV209" s="432"/>
      <c r="BW209" s="432"/>
      <c r="BX209" s="432"/>
      <c r="BY209" s="432"/>
      <c r="BZ209" s="432"/>
      <c r="CA209" s="432"/>
    </row>
    <row r="210" spans="57:79" ht="15" hidden="1" customHeight="1" x14ac:dyDescent="0.2">
      <c r="BE210" s="432" t="s">
        <v>126</v>
      </c>
      <c r="BF210" s="432"/>
      <c r="BG210" s="432"/>
      <c r="BH210" s="433">
        <f>280*16</f>
        <v>4480</v>
      </c>
      <c r="BI210" s="433"/>
      <c r="BJ210" s="433"/>
      <c r="BK210" s="433"/>
      <c r="BL210" s="433"/>
      <c r="BM210" s="400" t="s">
        <v>127</v>
      </c>
      <c r="BN210" s="400"/>
      <c r="BO210" s="400"/>
      <c r="BP210" s="400"/>
      <c r="BQ210" s="400"/>
      <c r="BR210" s="400"/>
      <c r="BS210" s="400"/>
      <c r="BT210" s="400"/>
    </row>
    <row r="211" spans="57:79" ht="15" hidden="1" customHeight="1" x14ac:dyDescent="0.2">
      <c r="BE211" s="434">
        <v>0.6</v>
      </c>
      <c r="BF211" s="432"/>
      <c r="BG211" s="432"/>
      <c r="BH211" s="216">
        <f>BH210*BE211</f>
        <v>2688</v>
      </c>
      <c r="BI211" s="432" t="s">
        <v>128</v>
      </c>
      <c r="BJ211" s="432"/>
      <c r="BK211" s="432"/>
      <c r="BL211" s="432"/>
      <c r="BM211" s="432"/>
      <c r="BN211" s="432" t="s">
        <v>129</v>
      </c>
      <c r="BO211" s="432"/>
      <c r="BP211" s="432"/>
      <c r="BQ211" s="432"/>
      <c r="BR211" s="432"/>
      <c r="BS211" s="432"/>
      <c r="BT211" s="432"/>
    </row>
    <row r="212" spans="57:79" ht="15" hidden="1" customHeight="1" x14ac:dyDescent="0.2">
      <c r="BE212" s="432">
        <v>211</v>
      </c>
      <c r="BF212" s="432"/>
      <c r="BG212" s="432"/>
      <c r="BH212" s="216">
        <f>BH211-BH213</f>
        <v>2064.516129032258</v>
      </c>
      <c r="BI212" s="435">
        <f>BH212*0.1</f>
        <v>206.45161290322582</v>
      </c>
      <c r="BJ212" s="435"/>
      <c r="BK212" s="435"/>
      <c r="BL212" s="435"/>
      <c r="BM212" s="435"/>
      <c r="BN212" s="435">
        <f>BH212-BI212</f>
        <v>1858.0645161290322</v>
      </c>
      <c r="BO212" s="432"/>
      <c r="BP212" s="432"/>
      <c r="BQ212" s="432"/>
      <c r="BR212" s="432"/>
      <c r="BS212" s="432"/>
      <c r="BT212" s="432"/>
    </row>
    <row r="213" spans="57:79" ht="15" hidden="1" customHeight="1" x14ac:dyDescent="0.2">
      <c r="BE213" s="432">
        <v>213</v>
      </c>
      <c r="BF213" s="432"/>
      <c r="BG213" s="432"/>
      <c r="BH213" s="216">
        <f>BH211*30.2/130.2</f>
        <v>623.48387096774195</v>
      </c>
      <c r="BI213" s="435">
        <f>BI212*30.2%</f>
        <v>62.348387096774196</v>
      </c>
      <c r="BJ213" s="435"/>
      <c r="BK213" s="435"/>
      <c r="BL213" s="435"/>
      <c r="BM213" s="435"/>
      <c r="BN213" s="435">
        <f>BN212*30.2%</f>
        <v>561.13548387096773</v>
      </c>
      <c r="BO213" s="435"/>
      <c r="BP213" s="435"/>
      <c r="BQ213" s="435"/>
      <c r="BR213" s="435"/>
      <c r="BS213" s="435"/>
      <c r="BT213" s="435"/>
    </row>
    <row r="214" spans="57:79" ht="12" hidden="1" x14ac:dyDescent="0.2">
      <c r="BE214" s="432" t="s">
        <v>332</v>
      </c>
      <c r="BF214" s="432"/>
      <c r="BG214" s="432"/>
      <c r="BH214" s="432"/>
      <c r="BI214" s="432"/>
      <c r="BJ214" s="432"/>
      <c r="BK214" s="432"/>
      <c r="BL214" s="432"/>
      <c r="BM214" s="432"/>
      <c r="BN214" s="432"/>
      <c r="BO214" s="432"/>
      <c r="BP214" s="432"/>
      <c r="BQ214" s="432"/>
      <c r="BR214" s="432"/>
      <c r="BS214" s="432"/>
      <c r="BT214" s="432"/>
      <c r="BU214" s="432"/>
      <c r="BV214" s="432"/>
      <c r="BW214" s="432"/>
      <c r="BX214" s="432"/>
      <c r="BY214" s="432"/>
      <c r="BZ214" s="432"/>
      <c r="CA214" s="432"/>
    </row>
    <row r="215" spans="57:79" ht="12" hidden="1" x14ac:dyDescent="0.2">
      <c r="BE215" s="432" t="s">
        <v>126</v>
      </c>
      <c r="BF215" s="432"/>
      <c r="BG215" s="432"/>
      <c r="BH215" s="433">
        <f>280*30</f>
        <v>8400</v>
      </c>
      <c r="BI215" s="433"/>
      <c r="BJ215" s="433"/>
      <c r="BK215" s="433"/>
      <c r="BL215" s="433"/>
      <c r="BM215" s="400" t="s">
        <v>127</v>
      </c>
      <c r="BN215" s="400"/>
      <c r="BO215" s="400"/>
      <c r="BP215" s="400"/>
      <c r="BQ215" s="400"/>
      <c r="BR215" s="400"/>
      <c r="BS215" s="400"/>
      <c r="BT215" s="400"/>
    </row>
    <row r="216" spans="57:79" ht="12" hidden="1" x14ac:dyDescent="0.2">
      <c r="BE216" s="434">
        <v>0.6</v>
      </c>
      <c r="BF216" s="432"/>
      <c r="BG216" s="432"/>
      <c r="BH216" s="216">
        <f>BH215*BE216</f>
        <v>5040</v>
      </c>
      <c r="BI216" s="432" t="s">
        <v>128</v>
      </c>
      <c r="BJ216" s="432"/>
      <c r="BK216" s="432"/>
      <c r="BL216" s="432"/>
      <c r="BM216" s="432"/>
      <c r="BN216" s="432" t="s">
        <v>129</v>
      </c>
      <c r="BO216" s="432"/>
      <c r="BP216" s="432"/>
      <c r="BQ216" s="432"/>
      <c r="BR216" s="432"/>
      <c r="BS216" s="432"/>
      <c r="BT216" s="432"/>
    </row>
    <row r="217" spans="57:79" ht="12" hidden="1" x14ac:dyDescent="0.2">
      <c r="BE217" s="432">
        <v>211</v>
      </c>
      <c r="BF217" s="432"/>
      <c r="BG217" s="432"/>
      <c r="BH217" s="216">
        <f>BH216-BH218</f>
        <v>3870.9677419354839</v>
      </c>
      <c r="BI217" s="435">
        <f>BH217*0.1</f>
        <v>387.09677419354841</v>
      </c>
      <c r="BJ217" s="435"/>
      <c r="BK217" s="435"/>
      <c r="BL217" s="435"/>
      <c r="BM217" s="435"/>
      <c r="BN217" s="435">
        <f>BH217-BI217</f>
        <v>3483.8709677419356</v>
      </c>
      <c r="BO217" s="432"/>
      <c r="BP217" s="432"/>
      <c r="BQ217" s="432"/>
      <c r="BR217" s="432"/>
      <c r="BS217" s="432"/>
      <c r="BT217" s="432"/>
    </row>
    <row r="218" spans="57:79" ht="12" hidden="1" x14ac:dyDescent="0.2">
      <c r="BE218" s="432">
        <v>213</v>
      </c>
      <c r="BF218" s="432"/>
      <c r="BG218" s="432"/>
      <c r="BH218" s="216">
        <f>BH216*30.2/130.2</f>
        <v>1169.0322580645163</v>
      </c>
      <c r="BI218" s="435">
        <f>BI217*30.2%</f>
        <v>116.90322580645162</v>
      </c>
      <c r="BJ218" s="435"/>
      <c r="BK218" s="435"/>
      <c r="BL218" s="435"/>
      <c r="BM218" s="435"/>
      <c r="BN218" s="435">
        <f>BN217*30.2%</f>
        <v>1052.1290322580646</v>
      </c>
      <c r="BO218" s="435"/>
      <c r="BP218" s="435"/>
      <c r="BQ218" s="435"/>
      <c r="BR218" s="435"/>
      <c r="BS218" s="435"/>
      <c r="BT218" s="435"/>
    </row>
    <row r="219" spans="57:79" ht="8.25" hidden="1" customHeight="1" x14ac:dyDescent="0.2"/>
    <row r="220" spans="57:79" ht="8.25" hidden="1" customHeight="1" x14ac:dyDescent="0.2"/>
    <row r="221" spans="57:79" ht="12" hidden="1" x14ac:dyDescent="0.2">
      <c r="BE221" s="432" t="s">
        <v>362</v>
      </c>
      <c r="BF221" s="432"/>
      <c r="BG221" s="432"/>
      <c r="BH221" s="432"/>
      <c r="BI221" s="432"/>
      <c r="BJ221" s="432"/>
      <c r="BK221" s="432"/>
      <c r="BL221" s="432"/>
      <c r="BM221" s="432"/>
      <c r="BN221" s="432"/>
      <c r="BO221" s="432"/>
      <c r="BP221" s="432"/>
      <c r="BQ221" s="432"/>
      <c r="BR221" s="432"/>
      <c r="BS221" s="432"/>
      <c r="BT221" s="432"/>
      <c r="BU221" s="432"/>
      <c r="BV221" s="432"/>
      <c r="BW221" s="432"/>
      <c r="BX221" s="432"/>
      <c r="BY221" s="432"/>
      <c r="BZ221" s="432"/>
      <c r="CA221" s="432"/>
    </row>
    <row r="222" spans="57:79" ht="12" hidden="1" x14ac:dyDescent="0.2">
      <c r="BE222" s="432" t="s">
        <v>126</v>
      </c>
      <c r="BF222" s="432"/>
      <c r="BG222" s="432"/>
      <c r="BH222" s="433">
        <f>280*28</f>
        <v>7840</v>
      </c>
      <c r="BI222" s="433"/>
      <c r="BJ222" s="433"/>
      <c r="BK222" s="433"/>
      <c r="BL222" s="433"/>
      <c r="BM222" s="400" t="s">
        <v>127</v>
      </c>
      <c r="BN222" s="400"/>
      <c r="BO222" s="400"/>
      <c r="BP222" s="400"/>
      <c r="BQ222" s="400"/>
      <c r="BR222" s="400"/>
      <c r="BS222" s="400"/>
      <c r="BT222" s="400"/>
    </row>
    <row r="223" spans="57:79" ht="12" hidden="1" x14ac:dyDescent="0.2">
      <c r="BE223" s="434">
        <v>0.6</v>
      </c>
      <c r="BF223" s="432"/>
      <c r="BG223" s="432"/>
      <c r="BH223" s="216">
        <f>BH222*BE223</f>
        <v>4704</v>
      </c>
      <c r="BI223" s="432" t="s">
        <v>128</v>
      </c>
      <c r="BJ223" s="432"/>
      <c r="BK223" s="432"/>
      <c r="BL223" s="432"/>
      <c r="BM223" s="432"/>
      <c r="BN223" s="432" t="s">
        <v>129</v>
      </c>
      <c r="BO223" s="432"/>
      <c r="BP223" s="432"/>
      <c r="BQ223" s="432"/>
      <c r="BR223" s="432"/>
      <c r="BS223" s="432"/>
      <c r="BT223" s="432"/>
    </row>
    <row r="224" spans="57:79" ht="12" hidden="1" x14ac:dyDescent="0.2">
      <c r="BE224" s="432">
        <v>211</v>
      </c>
      <c r="BF224" s="432"/>
      <c r="BG224" s="432"/>
      <c r="BH224" s="216">
        <f>BH223-BH225</f>
        <v>3612.9032258064517</v>
      </c>
      <c r="BI224" s="435">
        <f>BH224*0.1</f>
        <v>361.29032258064518</v>
      </c>
      <c r="BJ224" s="435"/>
      <c r="BK224" s="435"/>
      <c r="BL224" s="435"/>
      <c r="BM224" s="435"/>
      <c r="BN224" s="435">
        <f>BH224-BI224</f>
        <v>3251.6129032258063</v>
      </c>
      <c r="BO224" s="432"/>
      <c r="BP224" s="432"/>
      <c r="BQ224" s="432"/>
      <c r="BR224" s="432"/>
      <c r="BS224" s="432"/>
      <c r="BT224" s="432"/>
    </row>
    <row r="225" spans="57:97" ht="12" hidden="1" x14ac:dyDescent="0.2">
      <c r="BE225" s="432">
        <v>213</v>
      </c>
      <c r="BF225" s="432"/>
      <c r="BG225" s="432"/>
      <c r="BH225" s="216">
        <f>BH223*30.2/130.2</f>
        <v>1091.0967741935483</v>
      </c>
      <c r="BI225" s="435">
        <f>BI224*30.2%</f>
        <v>109.10967741935484</v>
      </c>
      <c r="BJ225" s="435"/>
      <c r="BK225" s="435"/>
      <c r="BL225" s="435"/>
      <c r="BM225" s="435"/>
      <c r="BN225" s="435">
        <f>BN224*30.2%</f>
        <v>981.98709677419345</v>
      </c>
      <c r="BO225" s="435"/>
      <c r="BP225" s="435"/>
      <c r="BQ225" s="435"/>
      <c r="BR225" s="435"/>
      <c r="BS225" s="435"/>
      <c r="BT225" s="435"/>
    </row>
    <row r="226" spans="57:97" ht="8.25" hidden="1" customHeight="1" x14ac:dyDescent="0.2"/>
    <row r="227" spans="57:97" ht="8.25" hidden="1" customHeight="1" x14ac:dyDescent="0.2"/>
    <row r="228" spans="57:97" ht="12" hidden="1" x14ac:dyDescent="0.2">
      <c r="BE228" s="432" t="s">
        <v>370</v>
      </c>
      <c r="BF228" s="432"/>
      <c r="BG228" s="432"/>
      <c r="BH228" s="432"/>
      <c r="BI228" s="432"/>
      <c r="BJ228" s="432"/>
      <c r="BK228" s="432"/>
      <c r="BL228" s="432"/>
      <c r="BM228" s="432"/>
      <c r="BN228" s="432"/>
      <c r="BO228" s="432"/>
      <c r="BP228" s="432"/>
      <c r="BQ228" s="432"/>
      <c r="BR228" s="432"/>
      <c r="BS228" s="432"/>
      <c r="BT228" s="432"/>
      <c r="BU228" s="432"/>
      <c r="BV228" s="432"/>
      <c r="BW228" s="432"/>
      <c r="BX228" s="432"/>
      <c r="BY228" s="432"/>
      <c r="BZ228" s="432"/>
      <c r="CA228" s="432"/>
    </row>
    <row r="229" spans="57:97" ht="12" hidden="1" x14ac:dyDescent="0.2">
      <c r="BE229" s="432" t="s">
        <v>126</v>
      </c>
      <c r="BF229" s="432"/>
      <c r="BG229" s="432"/>
      <c r="BH229" s="433">
        <f>280*12</f>
        <v>3360</v>
      </c>
      <c r="BI229" s="433"/>
      <c r="BJ229" s="433"/>
      <c r="BK229" s="433"/>
      <c r="BL229" s="433"/>
      <c r="BM229" s="400" t="s">
        <v>127</v>
      </c>
      <c r="BN229" s="400"/>
      <c r="BO229" s="400"/>
      <c r="BP229" s="400"/>
      <c r="BQ229" s="400"/>
      <c r="BR229" s="400"/>
      <c r="BS229" s="400"/>
      <c r="BT229" s="400"/>
    </row>
    <row r="230" spans="57:97" ht="15" hidden="1" x14ac:dyDescent="0.25">
      <c r="BE230" s="434">
        <v>0.6</v>
      </c>
      <c r="BF230" s="432"/>
      <c r="BG230" s="432"/>
      <c r="BH230" s="216">
        <f>BH229*BE230</f>
        <v>2016</v>
      </c>
      <c r="BI230" s="432" t="s">
        <v>128</v>
      </c>
      <c r="BJ230" s="432"/>
      <c r="BK230" s="432"/>
      <c r="BL230" s="432"/>
      <c r="BM230" s="432"/>
      <c r="BN230" s="432" t="s">
        <v>129</v>
      </c>
      <c r="BO230" s="432"/>
      <c r="BP230" s="432"/>
      <c r="BQ230" s="432"/>
      <c r="BR230" s="432"/>
      <c r="BS230" s="432"/>
      <c r="BT230" s="432"/>
      <c r="CD230" s="444" t="s">
        <v>368</v>
      </c>
      <c r="CE230" s="441"/>
      <c r="CF230" s="441"/>
      <c r="CG230" s="441"/>
      <c r="CH230" s="441"/>
      <c r="CI230" s="441"/>
      <c r="CJ230" s="441"/>
      <c r="CM230" s="444" t="s">
        <v>366</v>
      </c>
      <c r="CN230" s="441"/>
      <c r="CO230" s="441"/>
      <c r="CP230" s="441"/>
      <c r="CQ230" s="441"/>
      <c r="CR230" s="441"/>
      <c r="CS230" s="441"/>
    </row>
    <row r="231" spans="57:97" ht="15" hidden="1" x14ac:dyDescent="0.25">
      <c r="BE231" s="432">
        <v>211</v>
      </c>
      <c r="BF231" s="432"/>
      <c r="BG231" s="432"/>
      <c r="BH231" s="216">
        <f>BH230-BH232</f>
        <v>1548.3870967741937</v>
      </c>
      <c r="BI231" s="435">
        <f>BH231*0.2</f>
        <v>309.67741935483878</v>
      </c>
      <c r="BJ231" s="435"/>
      <c r="BK231" s="435"/>
      <c r="BL231" s="435"/>
      <c r="BM231" s="435"/>
      <c r="BN231" s="436">
        <f>BH231-BI231</f>
        <v>1238.7096774193549</v>
      </c>
      <c r="BO231" s="445"/>
      <c r="BP231" s="445"/>
      <c r="BQ231" s="445"/>
      <c r="BR231" s="445"/>
      <c r="BS231" s="445"/>
      <c r="BT231" s="445"/>
      <c r="CD231" s="437">
        <f>BI231*15/20</f>
        <v>232.25806451612908</v>
      </c>
      <c r="CE231" s="446"/>
      <c r="CF231" s="446"/>
      <c r="CG231" s="446"/>
      <c r="CH231" s="446"/>
      <c r="CI231" s="446"/>
      <c r="CJ231" s="446"/>
      <c r="CM231" s="437">
        <f>BI231*5/20</f>
        <v>77.419354838709694</v>
      </c>
      <c r="CN231" s="446"/>
      <c r="CO231" s="446"/>
      <c r="CP231" s="446"/>
      <c r="CQ231" s="446"/>
      <c r="CR231" s="446"/>
      <c r="CS231" s="446"/>
    </row>
    <row r="232" spans="57:97" ht="12" hidden="1" x14ac:dyDescent="0.2">
      <c r="BE232" s="432">
        <v>213</v>
      </c>
      <c r="BF232" s="432"/>
      <c r="BG232" s="432"/>
      <c r="BH232" s="216">
        <f>BH230*30.2/130.2</f>
        <v>467.61290322580646</v>
      </c>
      <c r="BI232" s="435">
        <f>BI231*30.2%</f>
        <v>93.522580645161312</v>
      </c>
      <c r="BJ232" s="435"/>
      <c r="BK232" s="435"/>
      <c r="BL232" s="435"/>
      <c r="BM232" s="435"/>
      <c r="BN232" s="435">
        <f>BN231*30.2%</f>
        <v>374.09032258064514</v>
      </c>
      <c r="BO232" s="435"/>
      <c r="BP232" s="435"/>
      <c r="BQ232" s="435"/>
      <c r="BR232" s="435"/>
      <c r="BS232" s="435"/>
      <c r="BT232" s="435"/>
    </row>
    <row r="233" spans="57:97" ht="8.25" hidden="1" customHeight="1" x14ac:dyDescent="0.2"/>
    <row r="234" spans="57:97" ht="8.25" hidden="1" customHeight="1" x14ac:dyDescent="0.2"/>
    <row r="235" spans="57:97" ht="8.25" hidden="1" customHeight="1" x14ac:dyDescent="0.2"/>
    <row r="236" spans="57:97" ht="12" hidden="1" x14ac:dyDescent="0.2">
      <c r="BE236" s="432" t="s">
        <v>408</v>
      </c>
      <c r="BF236" s="432"/>
      <c r="BG236" s="432"/>
      <c r="BH236" s="432"/>
      <c r="BI236" s="432"/>
      <c r="BJ236" s="432"/>
      <c r="BK236" s="432"/>
      <c r="BL236" s="432"/>
      <c r="BM236" s="432"/>
      <c r="BN236" s="432"/>
      <c r="BO236" s="432"/>
      <c r="BP236" s="432"/>
      <c r="BQ236" s="432"/>
      <c r="BR236" s="432"/>
      <c r="BS236" s="432"/>
      <c r="BT236" s="432"/>
      <c r="BU236" s="432"/>
      <c r="BV236" s="432"/>
      <c r="BW236" s="432"/>
      <c r="BX236" s="432"/>
      <c r="BY236" s="432"/>
      <c r="BZ236" s="432"/>
      <c r="CA236" s="432"/>
    </row>
    <row r="237" spans="57:97" ht="12" hidden="1" x14ac:dyDescent="0.2">
      <c r="BE237" s="432" t="s">
        <v>126</v>
      </c>
      <c r="BF237" s="432"/>
      <c r="BG237" s="432"/>
      <c r="BH237" s="433">
        <f>280*55</f>
        <v>15400</v>
      </c>
      <c r="BI237" s="433"/>
      <c r="BJ237" s="433"/>
      <c r="BK237" s="433"/>
      <c r="BL237" s="433"/>
      <c r="BM237" s="400" t="s">
        <v>127</v>
      </c>
      <c r="BN237" s="400"/>
      <c r="BO237" s="400"/>
      <c r="BP237" s="400"/>
      <c r="BQ237" s="400"/>
      <c r="BR237" s="400"/>
      <c r="BS237" s="400"/>
      <c r="BT237" s="400"/>
    </row>
    <row r="238" spans="57:97" ht="15" hidden="1" x14ac:dyDescent="0.25">
      <c r="BE238" s="434">
        <v>0.6</v>
      </c>
      <c r="BF238" s="432"/>
      <c r="BG238" s="432"/>
      <c r="BH238" s="216">
        <f>BH237*BE238</f>
        <v>9240</v>
      </c>
      <c r="BI238" s="432" t="s">
        <v>128</v>
      </c>
      <c r="BJ238" s="432"/>
      <c r="BK238" s="432"/>
      <c r="BL238" s="432"/>
      <c r="BM238" s="432"/>
      <c r="BN238" s="432" t="s">
        <v>129</v>
      </c>
      <c r="BO238" s="432"/>
      <c r="BP238" s="432"/>
      <c r="BQ238" s="432"/>
      <c r="BR238" s="432"/>
      <c r="BS238" s="432"/>
      <c r="BT238" s="432"/>
      <c r="CD238" s="444" t="s">
        <v>368</v>
      </c>
      <c r="CE238" s="441"/>
      <c r="CF238" s="441"/>
      <c r="CG238" s="441"/>
      <c r="CH238" s="441"/>
      <c r="CI238" s="441"/>
      <c r="CJ238" s="441"/>
      <c r="CM238" s="444" t="s">
        <v>366</v>
      </c>
      <c r="CN238" s="441"/>
      <c r="CO238" s="441"/>
      <c r="CP238" s="441"/>
      <c r="CQ238" s="441"/>
      <c r="CR238" s="441"/>
      <c r="CS238" s="441"/>
    </row>
    <row r="239" spans="57:97" ht="15" hidden="1" x14ac:dyDescent="0.25">
      <c r="BE239" s="432">
        <v>211</v>
      </c>
      <c r="BF239" s="432"/>
      <c r="BG239" s="432"/>
      <c r="BH239" s="216">
        <f>BH238-BH240</f>
        <v>7096.7741935483864</v>
      </c>
      <c r="BI239" s="435">
        <f>BH239*0.2</f>
        <v>1419.3548387096773</v>
      </c>
      <c r="BJ239" s="435"/>
      <c r="BK239" s="435"/>
      <c r="BL239" s="435"/>
      <c r="BM239" s="435"/>
      <c r="BN239" s="436">
        <f>BH239-BI239</f>
        <v>5677.4193548387093</v>
      </c>
      <c r="BO239" s="445"/>
      <c r="BP239" s="445"/>
      <c r="BQ239" s="445"/>
      <c r="BR239" s="445"/>
      <c r="BS239" s="445"/>
      <c r="BT239" s="445"/>
      <c r="CD239" s="437">
        <f>BI239*15/20</f>
        <v>1064.516129032258</v>
      </c>
      <c r="CE239" s="446"/>
      <c r="CF239" s="446"/>
      <c r="CG239" s="446"/>
      <c r="CH239" s="446"/>
      <c r="CI239" s="446"/>
      <c r="CJ239" s="446"/>
      <c r="CM239" s="437">
        <f>BI239*5/20</f>
        <v>354.83870967741933</v>
      </c>
      <c r="CN239" s="446"/>
      <c r="CO239" s="446"/>
      <c r="CP239" s="446"/>
      <c r="CQ239" s="446"/>
      <c r="CR239" s="446"/>
      <c r="CS239" s="446"/>
    </row>
    <row r="240" spans="57:97" ht="12" hidden="1" x14ac:dyDescent="0.2">
      <c r="BE240" s="432">
        <v>213</v>
      </c>
      <c r="BF240" s="432"/>
      <c r="BG240" s="432"/>
      <c r="BH240" s="216">
        <f>BH238*30.2/130.2</f>
        <v>2143.2258064516132</v>
      </c>
      <c r="BI240" s="435">
        <f>BI239*30.2%</f>
        <v>428.64516129032256</v>
      </c>
      <c r="BJ240" s="435"/>
      <c r="BK240" s="435"/>
      <c r="BL240" s="435"/>
      <c r="BM240" s="435"/>
      <c r="BN240" s="435">
        <f>BN239*30.2%</f>
        <v>1714.5806451612902</v>
      </c>
      <c r="BO240" s="435"/>
      <c r="BP240" s="435"/>
      <c r="BQ240" s="435"/>
      <c r="BR240" s="435"/>
      <c r="BS240" s="435"/>
      <c r="BT240" s="435"/>
    </row>
    <row r="241" spans="57:97" ht="8.25" hidden="1" customHeight="1" x14ac:dyDescent="0.2"/>
    <row r="242" spans="57:97" ht="8.25" hidden="1" customHeight="1" x14ac:dyDescent="0.2"/>
    <row r="243" spans="57:97" ht="12" hidden="1" x14ac:dyDescent="0.2">
      <c r="BE243" s="432" t="s">
        <v>409</v>
      </c>
      <c r="BF243" s="432"/>
      <c r="BG243" s="432"/>
      <c r="BH243" s="432"/>
      <c r="BI243" s="432"/>
      <c r="BJ243" s="432"/>
      <c r="BK243" s="432"/>
      <c r="BL243" s="432"/>
      <c r="BM243" s="432"/>
      <c r="BN243" s="432"/>
      <c r="BO243" s="432"/>
      <c r="BP243" s="432"/>
      <c r="BQ243" s="432"/>
      <c r="BR243" s="432"/>
      <c r="BS243" s="432"/>
      <c r="BT243" s="432"/>
      <c r="BU243" s="432"/>
      <c r="BV243" s="432"/>
      <c r="BW243" s="432"/>
      <c r="BX243" s="432"/>
      <c r="BY243" s="432"/>
      <c r="BZ243" s="432"/>
      <c r="CA243" s="432"/>
    </row>
    <row r="244" spans="57:97" ht="12" hidden="1" x14ac:dyDescent="0.2">
      <c r="BE244" s="432" t="s">
        <v>126</v>
      </c>
      <c r="BF244" s="432"/>
      <c r="BG244" s="432"/>
      <c r="BH244" s="433">
        <f>280*128</f>
        <v>35840</v>
      </c>
      <c r="BI244" s="433"/>
      <c r="BJ244" s="433"/>
      <c r="BK244" s="433"/>
      <c r="BL244" s="433"/>
      <c r="BM244" s="400" t="s">
        <v>127</v>
      </c>
      <c r="BN244" s="400"/>
      <c r="BO244" s="400"/>
      <c r="BP244" s="400"/>
      <c r="BQ244" s="400"/>
      <c r="BR244" s="400"/>
      <c r="BS244" s="400"/>
      <c r="BT244" s="400"/>
    </row>
    <row r="245" spans="57:97" ht="15" hidden="1" x14ac:dyDescent="0.25">
      <c r="BE245" s="434">
        <v>0.6</v>
      </c>
      <c r="BF245" s="432"/>
      <c r="BG245" s="432"/>
      <c r="BH245" s="216">
        <f>BH244*BE245</f>
        <v>21504</v>
      </c>
      <c r="BI245" s="432" t="s">
        <v>128</v>
      </c>
      <c r="BJ245" s="432"/>
      <c r="BK245" s="432"/>
      <c r="BL245" s="432"/>
      <c r="BM245" s="432"/>
      <c r="BN245" s="432" t="s">
        <v>129</v>
      </c>
      <c r="BO245" s="432"/>
      <c r="BP245" s="432"/>
      <c r="BQ245" s="432"/>
      <c r="BR245" s="432"/>
      <c r="BS245" s="432"/>
      <c r="BT245" s="432"/>
      <c r="CD245" s="444" t="s">
        <v>368</v>
      </c>
      <c r="CE245" s="441"/>
      <c r="CF245" s="441"/>
      <c r="CG245" s="441"/>
      <c r="CH245" s="441"/>
      <c r="CI245" s="441"/>
      <c r="CJ245" s="441"/>
      <c r="CM245" s="444" t="s">
        <v>366</v>
      </c>
      <c r="CN245" s="441"/>
      <c r="CO245" s="441"/>
      <c r="CP245" s="441"/>
      <c r="CQ245" s="441"/>
      <c r="CR245" s="441"/>
      <c r="CS245" s="441"/>
    </row>
    <row r="246" spans="57:97" ht="15" hidden="1" x14ac:dyDescent="0.25">
      <c r="BE246" s="432">
        <v>211</v>
      </c>
      <c r="BF246" s="432"/>
      <c r="BG246" s="432"/>
      <c r="BH246" s="216">
        <f>BH245-BH247</f>
        <v>16516.129032258064</v>
      </c>
      <c r="BI246" s="435">
        <f>BH246*0.2</f>
        <v>3303.2258064516132</v>
      </c>
      <c r="BJ246" s="435"/>
      <c r="BK246" s="435"/>
      <c r="BL246" s="435"/>
      <c r="BM246" s="435"/>
      <c r="BN246" s="436">
        <f>BH246-BI246</f>
        <v>13212.903225806451</v>
      </c>
      <c r="BO246" s="445"/>
      <c r="BP246" s="445"/>
      <c r="BQ246" s="445"/>
      <c r="BR246" s="445"/>
      <c r="BS246" s="445"/>
      <c r="BT246" s="445"/>
      <c r="CD246" s="437">
        <f>BI246*15/20</f>
        <v>2477.4193548387098</v>
      </c>
      <c r="CE246" s="446"/>
      <c r="CF246" s="446"/>
      <c r="CG246" s="446"/>
      <c r="CH246" s="446"/>
      <c r="CI246" s="446"/>
      <c r="CJ246" s="446"/>
      <c r="CM246" s="437">
        <f>BI246*5/20</f>
        <v>825.80645161290317</v>
      </c>
      <c r="CN246" s="446"/>
      <c r="CO246" s="446"/>
      <c r="CP246" s="446"/>
      <c r="CQ246" s="446"/>
      <c r="CR246" s="446"/>
      <c r="CS246" s="446"/>
    </row>
    <row r="247" spans="57:97" ht="12" hidden="1" x14ac:dyDescent="0.2">
      <c r="BE247" s="432">
        <v>213</v>
      </c>
      <c r="BF247" s="432"/>
      <c r="BG247" s="432"/>
      <c r="BH247" s="216">
        <f>BH245*30.2/130.2</f>
        <v>4987.8709677419356</v>
      </c>
      <c r="BI247" s="435">
        <f>BI246*30.2%</f>
        <v>997.57419354838714</v>
      </c>
      <c r="BJ247" s="435"/>
      <c r="BK247" s="435"/>
      <c r="BL247" s="435"/>
      <c r="BM247" s="435"/>
      <c r="BN247" s="435">
        <f>BN246*30.2%</f>
        <v>3990.2967741935481</v>
      </c>
      <c r="BO247" s="435"/>
      <c r="BP247" s="435"/>
      <c r="BQ247" s="435"/>
      <c r="BR247" s="435"/>
      <c r="BS247" s="435"/>
      <c r="BT247" s="435"/>
    </row>
    <row r="248" spans="57:97" ht="8.25" hidden="1" customHeight="1" x14ac:dyDescent="0.2"/>
    <row r="249" spans="57:97" ht="8.25" hidden="1" customHeight="1" x14ac:dyDescent="0.2"/>
    <row r="250" spans="57:97" ht="8.25" hidden="1" customHeight="1" x14ac:dyDescent="0.2"/>
    <row r="251" spans="57:97" ht="8.25" hidden="1" customHeight="1" x14ac:dyDescent="0.2"/>
    <row r="252" spans="57:97" ht="8.25" hidden="1" customHeight="1" x14ac:dyDescent="0.2"/>
    <row r="253" spans="57:97" ht="15" hidden="1" x14ac:dyDescent="0.25">
      <c r="BI253" s="253">
        <f>BI217+BI224+CM231+CM239+CM246</f>
        <v>2006.4516129032259</v>
      </c>
    </row>
    <row r="254" spans="57:97" ht="12" hidden="1" x14ac:dyDescent="0.2">
      <c r="BE254" s="432" t="s">
        <v>439</v>
      </c>
      <c r="BF254" s="432"/>
      <c r="BG254" s="432"/>
      <c r="BH254" s="432"/>
      <c r="BI254" s="432"/>
      <c r="BJ254" s="432"/>
      <c r="BK254" s="432"/>
      <c r="BL254" s="432"/>
      <c r="BM254" s="432"/>
      <c r="BN254" s="432"/>
      <c r="BO254" s="432"/>
      <c r="BP254" s="432"/>
      <c r="BQ254" s="432"/>
      <c r="BR254" s="432"/>
      <c r="BS254" s="432"/>
      <c r="BT254" s="432"/>
      <c r="BU254" s="432"/>
      <c r="BV254" s="432"/>
      <c r="BW254" s="432"/>
      <c r="BX254" s="432"/>
      <c r="BY254" s="432"/>
      <c r="BZ254" s="432"/>
      <c r="CA254" s="432"/>
    </row>
    <row r="255" spans="57:97" ht="12" hidden="1" x14ac:dyDescent="0.2">
      <c r="BE255" s="432" t="s">
        <v>126</v>
      </c>
      <c r="BF255" s="432"/>
      <c r="BG255" s="432"/>
      <c r="BH255" s="433">
        <f>300*58</f>
        <v>17400</v>
      </c>
      <c r="BI255" s="433"/>
      <c r="BJ255" s="433"/>
      <c r="BK255" s="433"/>
      <c r="BL255" s="433"/>
      <c r="BM255" s="400" t="s">
        <v>127</v>
      </c>
      <c r="BN255" s="400"/>
      <c r="BO255" s="400"/>
      <c r="BP255" s="400"/>
      <c r="BQ255" s="400"/>
      <c r="BR255" s="400"/>
      <c r="BS255" s="400"/>
      <c r="BT255" s="400"/>
    </row>
    <row r="256" spans="57:97" ht="15" hidden="1" x14ac:dyDescent="0.25">
      <c r="BE256" s="434">
        <v>0.6</v>
      </c>
      <c r="BF256" s="432"/>
      <c r="BG256" s="432"/>
      <c r="BH256" s="216">
        <f>BH255*BE256</f>
        <v>10440</v>
      </c>
      <c r="BI256" s="432" t="s">
        <v>128</v>
      </c>
      <c r="BJ256" s="432"/>
      <c r="BK256" s="432"/>
      <c r="BL256" s="432"/>
      <c r="BM256" s="432"/>
      <c r="BN256" s="432" t="s">
        <v>129</v>
      </c>
      <c r="BO256" s="432"/>
      <c r="BP256" s="432"/>
      <c r="BQ256" s="432"/>
      <c r="BR256" s="432"/>
      <c r="BS256" s="432"/>
      <c r="BT256" s="432"/>
      <c r="CD256" s="444" t="s">
        <v>368</v>
      </c>
      <c r="CE256" s="441"/>
      <c r="CF256" s="441"/>
      <c r="CG256" s="441"/>
      <c r="CH256" s="441"/>
      <c r="CI256" s="441"/>
      <c r="CJ256" s="441"/>
      <c r="CM256" s="444" t="s">
        <v>366</v>
      </c>
      <c r="CN256" s="441"/>
      <c r="CO256" s="441"/>
      <c r="CP256" s="441"/>
      <c r="CQ256" s="441"/>
      <c r="CR256" s="441"/>
      <c r="CS256" s="441"/>
    </row>
    <row r="257" spans="57:97" ht="15" hidden="1" x14ac:dyDescent="0.25">
      <c r="BE257" s="432">
        <v>211</v>
      </c>
      <c r="BF257" s="432"/>
      <c r="BG257" s="432"/>
      <c r="BH257" s="216">
        <f>BH256-BH258</f>
        <v>8018.4331797235027</v>
      </c>
      <c r="BI257" s="435">
        <f>BH257*0.2</f>
        <v>1603.6866359447006</v>
      </c>
      <c r="BJ257" s="435"/>
      <c r="BK257" s="435"/>
      <c r="BL257" s="435"/>
      <c r="BM257" s="435"/>
      <c r="BN257" s="436">
        <f>BH257-BI257</f>
        <v>6414.7465437788023</v>
      </c>
      <c r="BO257" s="445"/>
      <c r="BP257" s="445"/>
      <c r="BQ257" s="445"/>
      <c r="BR257" s="445"/>
      <c r="BS257" s="445"/>
      <c r="BT257" s="445"/>
      <c r="CD257" s="437">
        <f>BI257*15/20</f>
        <v>1202.7649769585255</v>
      </c>
      <c r="CE257" s="446"/>
      <c r="CF257" s="446"/>
      <c r="CG257" s="446"/>
      <c r="CH257" s="446"/>
      <c r="CI257" s="446"/>
      <c r="CJ257" s="446"/>
      <c r="CM257" s="437">
        <f>BI257*5/20</f>
        <v>400.92165898617515</v>
      </c>
      <c r="CN257" s="446"/>
      <c r="CO257" s="446"/>
      <c r="CP257" s="446"/>
      <c r="CQ257" s="446"/>
      <c r="CR257" s="446"/>
      <c r="CS257" s="446"/>
    </row>
    <row r="258" spans="57:97" ht="12" hidden="1" x14ac:dyDescent="0.2">
      <c r="BE258" s="432">
        <v>213</v>
      </c>
      <c r="BF258" s="432"/>
      <c r="BG258" s="432"/>
      <c r="BH258" s="216">
        <f>BH256*30.2/130.2</f>
        <v>2421.5668202764978</v>
      </c>
      <c r="BI258" s="435">
        <f>BI257*30.2%</f>
        <v>484.31336405529959</v>
      </c>
      <c r="BJ258" s="435"/>
      <c r="BK258" s="435"/>
      <c r="BL258" s="435"/>
      <c r="BM258" s="435"/>
      <c r="BN258" s="435">
        <f>BN257*30.2%</f>
        <v>1937.2534562211983</v>
      </c>
      <c r="BO258" s="435"/>
      <c r="BP258" s="435"/>
      <c r="BQ258" s="435"/>
      <c r="BR258" s="435"/>
      <c r="BS258" s="435"/>
      <c r="BT258" s="435"/>
    </row>
    <row r="259" spans="57:97" ht="8.25" hidden="1" customHeight="1" x14ac:dyDescent="0.2"/>
    <row r="260" spans="57:97" ht="8.25" hidden="1" customHeight="1" x14ac:dyDescent="0.2"/>
    <row r="261" spans="57:97" ht="12" hidden="1" x14ac:dyDescent="0.2">
      <c r="BE261" s="432" t="s">
        <v>440</v>
      </c>
      <c r="BF261" s="432"/>
      <c r="BG261" s="432"/>
      <c r="BH261" s="432"/>
      <c r="BI261" s="432"/>
      <c r="BJ261" s="432"/>
      <c r="BK261" s="432"/>
      <c r="BL261" s="432"/>
      <c r="BM261" s="432"/>
      <c r="BN261" s="432"/>
      <c r="BO261" s="432"/>
      <c r="BP261" s="432"/>
      <c r="BQ261" s="432"/>
      <c r="BR261" s="432"/>
      <c r="BS261" s="432"/>
      <c r="BT261" s="432"/>
      <c r="BU261" s="432"/>
      <c r="BV261" s="432"/>
      <c r="BW261" s="432"/>
      <c r="BX261" s="432"/>
      <c r="BY261" s="432"/>
      <c r="BZ261" s="432"/>
      <c r="CA261" s="432"/>
    </row>
    <row r="262" spans="57:97" ht="12" hidden="1" x14ac:dyDescent="0.2">
      <c r="BE262" s="432" t="s">
        <v>126</v>
      </c>
      <c r="BF262" s="432"/>
      <c r="BG262" s="432"/>
      <c r="BH262" s="433">
        <f>300*81</f>
        <v>24300</v>
      </c>
      <c r="BI262" s="433"/>
      <c r="BJ262" s="433"/>
      <c r="BK262" s="433"/>
      <c r="BL262" s="433"/>
      <c r="BM262" s="400" t="s">
        <v>127</v>
      </c>
      <c r="BN262" s="400"/>
      <c r="BO262" s="400"/>
      <c r="BP262" s="400"/>
      <c r="BQ262" s="400"/>
      <c r="BR262" s="400"/>
      <c r="BS262" s="400"/>
      <c r="BT262" s="400"/>
    </row>
    <row r="263" spans="57:97" ht="15" hidden="1" x14ac:dyDescent="0.25">
      <c r="BE263" s="434">
        <v>0.6</v>
      </c>
      <c r="BF263" s="432"/>
      <c r="BG263" s="432"/>
      <c r="BH263" s="216">
        <f>BH262*BE263</f>
        <v>14580</v>
      </c>
      <c r="BI263" s="432" t="s">
        <v>128</v>
      </c>
      <c r="BJ263" s="432"/>
      <c r="BK263" s="432"/>
      <c r="BL263" s="432"/>
      <c r="BM263" s="432"/>
      <c r="BN263" s="432" t="s">
        <v>129</v>
      </c>
      <c r="BO263" s="432"/>
      <c r="BP263" s="432"/>
      <c r="BQ263" s="432"/>
      <c r="BR263" s="432"/>
      <c r="BS263" s="432"/>
      <c r="BT263" s="432"/>
      <c r="CD263" s="444" t="s">
        <v>368</v>
      </c>
      <c r="CE263" s="441"/>
      <c r="CF263" s="441"/>
      <c r="CG263" s="441"/>
      <c r="CH263" s="441"/>
      <c r="CI263" s="441"/>
      <c r="CJ263" s="441"/>
      <c r="CM263" s="444" t="s">
        <v>366</v>
      </c>
      <c r="CN263" s="441"/>
      <c r="CO263" s="441"/>
      <c r="CP263" s="441"/>
      <c r="CQ263" s="441"/>
      <c r="CR263" s="441"/>
      <c r="CS263" s="441"/>
    </row>
    <row r="264" spans="57:97" ht="15" hidden="1" x14ac:dyDescent="0.25">
      <c r="BE264" s="432">
        <v>211</v>
      </c>
      <c r="BF264" s="432"/>
      <c r="BG264" s="432"/>
      <c r="BH264" s="216">
        <f>BH263-BH265</f>
        <v>11198.156682027649</v>
      </c>
      <c r="BI264" s="435">
        <f>BH264*0.2</f>
        <v>2239.63133640553</v>
      </c>
      <c r="BJ264" s="435"/>
      <c r="BK264" s="435"/>
      <c r="BL264" s="435"/>
      <c r="BM264" s="435"/>
      <c r="BN264" s="436">
        <f>BH264-BI264</f>
        <v>8958.5253456221199</v>
      </c>
      <c r="BO264" s="445"/>
      <c r="BP264" s="445"/>
      <c r="BQ264" s="445"/>
      <c r="BR264" s="445"/>
      <c r="BS264" s="445"/>
      <c r="BT264" s="445"/>
      <c r="CD264" s="437">
        <f>BI264*15/20</f>
        <v>1679.7235023041474</v>
      </c>
      <c r="CE264" s="446"/>
      <c r="CF264" s="446"/>
      <c r="CG264" s="446"/>
      <c r="CH264" s="446"/>
      <c r="CI264" s="446"/>
      <c r="CJ264" s="446"/>
      <c r="CM264" s="437">
        <f>BI264*5/20</f>
        <v>559.90783410138249</v>
      </c>
      <c r="CN264" s="446"/>
      <c r="CO264" s="446"/>
      <c r="CP264" s="446"/>
      <c r="CQ264" s="446"/>
      <c r="CR264" s="446"/>
      <c r="CS264" s="446"/>
    </row>
    <row r="265" spans="57:97" ht="12" hidden="1" x14ac:dyDescent="0.2">
      <c r="BE265" s="432">
        <v>213</v>
      </c>
      <c r="BF265" s="432"/>
      <c r="BG265" s="432"/>
      <c r="BH265" s="216">
        <f>BH263*30.2/130.2</f>
        <v>3381.8433179723506</v>
      </c>
      <c r="BI265" s="435">
        <f>BI264*30.2%</f>
        <v>676.36866359447004</v>
      </c>
      <c r="BJ265" s="435"/>
      <c r="BK265" s="435"/>
      <c r="BL265" s="435"/>
      <c r="BM265" s="435"/>
      <c r="BN265" s="435">
        <f>BN264*30.2%</f>
        <v>2705.4746543778801</v>
      </c>
      <c r="BO265" s="435"/>
      <c r="BP265" s="435"/>
      <c r="BQ265" s="435"/>
      <c r="BR265" s="435"/>
      <c r="BS265" s="435"/>
      <c r="BT265" s="435"/>
    </row>
    <row r="266" spans="57:97" ht="8.25" hidden="1" customHeight="1" x14ac:dyDescent="0.2"/>
    <row r="267" spans="57:97" ht="8.25" hidden="1" customHeight="1" x14ac:dyDescent="0.2"/>
    <row r="268" spans="57:97" ht="8.25" hidden="1" customHeight="1" x14ac:dyDescent="0.2"/>
    <row r="269" spans="57:97" ht="12" hidden="1" x14ac:dyDescent="0.2">
      <c r="BE269" s="432" t="s">
        <v>441</v>
      </c>
      <c r="BF269" s="432"/>
      <c r="BG269" s="432"/>
      <c r="BH269" s="432"/>
      <c r="BI269" s="432"/>
      <c r="BJ269" s="432"/>
      <c r="BK269" s="432"/>
      <c r="BL269" s="432"/>
      <c r="BM269" s="432"/>
      <c r="BN269" s="432"/>
      <c r="BO269" s="432"/>
      <c r="BP269" s="432"/>
      <c r="BQ269" s="432"/>
      <c r="BR269" s="432"/>
      <c r="BS269" s="432"/>
      <c r="BT269" s="432"/>
      <c r="BU269" s="432"/>
      <c r="BV269" s="432"/>
      <c r="BW269" s="432"/>
      <c r="BX269" s="432"/>
      <c r="BY269" s="432"/>
      <c r="BZ269" s="432"/>
      <c r="CA269" s="432"/>
    </row>
    <row r="270" spans="57:97" ht="12" hidden="1" x14ac:dyDescent="0.2">
      <c r="BE270" s="432" t="s">
        <v>126</v>
      </c>
      <c r="BF270" s="432"/>
      <c r="BG270" s="432"/>
      <c r="BH270" s="433">
        <f>300*23</f>
        <v>6900</v>
      </c>
      <c r="BI270" s="433"/>
      <c r="BJ270" s="433"/>
      <c r="BK270" s="433"/>
      <c r="BL270" s="433"/>
      <c r="BM270" s="400" t="s">
        <v>127</v>
      </c>
      <c r="BN270" s="400"/>
      <c r="BO270" s="400"/>
      <c r="BP270" s="400"/>
      <c r="BQ270" s="400"/>
      <c r="BR270" s="400"/>
      <c r="BS270" s="400"/>
      <c r="BT270" s="400"/>
    </row>
    <row r="271" spans="57:97" ht="15" hidden="1" x14ac:dyDescent="0.25">
      <c r="BE271" s="434">
        <v>0.6</v>
      </c>
      <c r="BF271" s="432"/>
      <c r="BG271" s="432"/>
      <c r="BH271" s="216">
        <f>BH270*BE271</f>
        <v>4140</v>
      </c>
      <c r="BI271" s="432" t="s">
        <v>128</v>
      </c>
      <c r="BJ271" s="432"/>
      <c r="BK271" s="432"/>
      <c r="BL271" s="432"/>
      <c r="BM271" s="432"/>
      <c r="BN271" s="432" t="s">
        <v>129</v>
      </c>
      <c r="BO271" s="432"/>
      <c r="BP271" s="432"/>
      <c r="BQ271" s="432"/>
      <c r="BR271" s="432"/>
      <c r="BS271" s="432"/>
      <c r="BT271" s="432"/>
      <c r="CD271" s="444" t="s">
        <v>368</v>
      </c>
      <c r="CE271" s="441"/>
      <c r="CF271" s="441"/>
      <c r="CG271" s="441"/>
      <c r="CH271" s="441"/>
      <c r="CI271" s="441"/>
      <c r="CJ271" s="441"/>
      <c r="CM271" s="444" t="s">
        <v>366</v>
      </c>
      <c r="CN271" s="441"/>
      <c r="CO271" s="441"/>
      <c r="CP271" s="441"/>
      <c r="CQ271" s="441"/>
      <c r="CR271" s="441"/>
      <c r="CS271" s="441"/>
    </row>
    <row r="272" spans="57:97" ht="15" hidden="1" x14ac:dyDescent="0.25">
      <c r="BE272" s="432">
        <v>211</v>
      </c>
      <c r="BF272" s="432"/>
      <c r="BG272" s="432"/>
      <c r="BH272" s="216">
        <f>BH271-BH273</f>
        <v>3179.7235023041476</v>
      </c>
      <c r="BI272" s="435">
        <f>BH272*0.2</f>
        <v>635.94470046082961</v>
      </c>
      <c r="BJ272" s="435"/>
      <c r="BK272" s="435"/>
      <c r="BL272" s="435"/>
      <c r="BM272" s="435"/>
      <c r="BN272" s="436">
        <f>BH272-BI272</f>
        <v>2543.778801843318</v>
      </c>
      <c r="BO272" s="445"/>
      <c r="BP272" s="445"/>
      <c r="BQ272" s="445"/>
      <c r="BR272" s="445"/>
      <c r="BS272" s="445"/>
      <c r="BT272" s="445"/>
      <c r="CD272" s="437">
        <f>BI272*15/20</f>
        <v>476.95852534562221</v>
      </c>
      <c r="CE272" s="446"/>
      <c r="CF272" s="446"/>
      <c r="CG272" s="446"/>
      <c r="CH272" s="446"/>
      <c r="CI272" s="446"/>
      <c r="CJ272" s="446"/>
      <c r="CM272" s="437">
        <f>BI272*5/20</f>
        <v>158.9861751152074</v>
      </c>
      <c r="CN272" s="446"/>
      <c r="CO272" s="446"/>
      <c r="CP272" s="446"/>
      <c r="CQ272" s="446"/>
      <c r="CR272" s="446"/>
      <c r="CS272" s="446"/>
    </row>
    <row r="273" spans="57:97" ht="12" hidden="1" x14ac:dyDescent="0.2">
      <c r="BE273" s="432">
        <v>213</v>
      </c>
      <c r="BF273" s="432"/>
      <c r="BG273" s="432"/>
      <c r="BH273" s="216">
        <f>BH271*30.2/130.2</f>
        <v>960.27649769585264</v>
      </c>
      <c r="BI273" s="435">
        <f>BI272*30.2%</f>
        <v>192.05529953917053</v>
      </c>
      <c r="BJ273" s="435"/>
      <c r="BK273" s="435"/>
      <c r="BL273" s="435"/>
      <c r="BM273" s="435"/>
      <c r="BN273" s="435">
        <f>BN272*30.2%</f>
        <v>768.22119815668202</v>
      </c>
      <c r="BO273" s="435"/>
      <c r="BP273" s="435"/>
      <c r="BQ273" s="435"/>
      <c r="BR273" s="435"/>
      <c r="BS273" s="435"/>
      <c r="BT273" s="435"/>
    </row>
    <row r="274" spans="57:97" ht="12" hidden="1" x14ac:dyDescent="0.2"/>
    <row r="275" spans="57:97" ht="8.25" hidden="1" customHeight="1" x14ac:dyDescent="0.2"/>
    <row r="276" spans="57:97" ht="12" hidden="1" x14ac:dyDescent="0.2">
      <c r="BE276" s="432" t="s">
        <v>458</v>
      </c>
      <c r="BF276" s="432"/>
      <c r="BG276" s="432"/>
      <c r="BH276" s="432"/>
      <c r="BI276" s="432"/>
      <c r="BJ276" s="432"/>
      <c r="BK276" s="432"/>
      <c r="BL276" s="432"/>
      <c r="BM276" s="432"/>
      <c r="BN276" s="432"/>
      <c r="BO276" s="432"/>
      <c r="BP276" s="432"/>
      <c r="BQ276" s="432"/>
      <c r="BR276" s="432"/>
      <c r="BS276" s="432"/>
      <c r="BT276" s="432"/>
      <c r="BU276" s="432"/>
      <c r="BV276" s="432"/>
      <c r="BW276" s="432"/>
      <c r="BX276" s="432"/>
      <c r="BY276" s="432"/>
      <c r="BZ276" s="432"/>
      <c r="CA276" s="432"/>
    </row>
    <row r="277" spans="57:97" ht="12" hidden="1" x14ac:dyDescent="0.2">
      <c r="BE277" s="432" t="s">
        <v>126</v>
      </c>
      <c r="BF277" s="432"/>
      <c r="BG277" s="432"/>
      <c r="BH277" s="433">
        <f>300*67</f>
        <v>20100</v>
      </c>
      <c r="BI277" s="433"/>
      <c r="BJ277" s="433"/>
      <c r="BK277" s="433"/>
      <c r="BL277" s="433"/>
      <c r="BM277" s="400" t="s">
        <v>127</v>
      </c>
      <c r="BN277" s="400"/>
      <c r="BO277" s="400"/>
      <c r="BP277" s="400"/>
      <c r="BQ277" s="400"/>
      <c r="BR277" s="400"/>
      <c r="BS277" s="400"/>
      <c r="BT277" s="400"/>
    </row>
    <row r="278" spans="57:97" ht="15" hidden="1" x14ac:dyDescent="0.25">
      <c r="BE278" s="434">
        <v>0.6</v>
      </c>
      <c r="BF278" s="432"/>
      <c r="BG278" s="432"/>
      <c r="BH278" s="216">
        <f>BH277*BE278</f>
        <v>12060</v>
      </c>
      <c r="BI278" s="432" t="s">
        <v>128</v>
      </c>
      <c r="BJ278" s="432"/>
      <c r="BK278" s="432"/>
      <c r="BL278" s="432"/>
      <c r="BM278" s="432"/>
      <c r="BN278" s="432" t="s">
        <v>129</v>
      </c>
      <c r="BO278" s="432"/>
      <c r="BP278" s="432"/>
      <c r="BQ278" s="432"/>
      <c r="BR278" s="432"/>
      <c r="BS278" s="432"/>
      <c r="BT278" s="432"/>
      <c r="CD278" s="444" t="s">
        <v>368</v>
      </c>
      <c r="CE278" s="441"/>
      <c r="CF278" s="441"/>
      <c r="CG278" s="441"/>
      <c r="CH278" s="441"/>
      <c r="CI278" s="441"/>
      <c r="CJ278" s="441"/>
      <c r="CM278" s="444" t="s">
        <v>366</v>
      </c>
      <c r="CN278" s="441"/>
      <c r="CO278" s="441"/>
      <c r="CP278" s="441"/>
      <c r="CQ278" s="441"/>
      <c r="CR278" s="441"/>
      <c r="CS278" s="441"/>
    </row>
    <row r="279" spans="57:97" ht="15" hidden="1" x14ac:dyDescent="0.25">
      <c r="BE279" s="432">
        <v>211</v>
      </c>
      <c r="BF279" s="432"/>
      <c r="BG279" s="432"/>
      <c r="BH279" s="216">
        <f>BH278-BH280</f>
        <v>9262.672811059907</v>
      </c>
      <c r="BI279" s="435">
        <f>BH279*0.2</f>
        <v>1852.5345622119814</v>
      </c>
      <c r="BJ279" s="435"/>
      <c r="BK279" s="435"/>
      <c r="BL279" s="435"/>
      <c r="BM279" s="435"/>
      <c r="BN279" s="436">
        <f>BH279-BI279</f>
        <v>7410.1382488479258</v>
      </c>
      <c r="BO279" s="445"/>
      <c r="BP279" s="445"/>
      <c r="BQ279" s="445"/>
      <c r="BR279" s="445"/>
      <c r="BS279" s="445"/>
      <c r="BT279" s="445"/>
      <c r="CD279" s="437">
        <f>BI279*15/20</f>
        <v>1389.4009216589861</v>
      </c>
      <c r="CE279" s="446"/>
      <c r="CF279" s="446"/>
      <c r="CG279" s="446"/>
      <c r="CH279" s="446"/>
      <c r="CI279" s="446"/>
      <c r="CJ279" s="446"/>
      <c r="CM279" s="437">
        <f>BI279*5/20</f>
        <v>463.13364055299536</v>
      </c>
      <c r="CN279" s="446"/>
      <c r="CO279" s="446"/>
      <c r="CP279" s="446"/>
      <c r="CQ279" s="446"/>
      <c r="CR279" s="446"/>
      <c r="CS279" s="446"/>
    </row>
    <row r="280" spans="57:97" ht="12" hidden="1" x14ac:dyDescent="0.2">
      <c r="BE280" s="432">
        <v>213</v>
      </c>
      <c r="BF280" s="432"/>
      <c r="BG280" s="432"/>
      <c r="BH280" s="216">
        <f>BH278*30.2/130.2</f>
        <v>2797.3271889400926</v>
      </c>
      <c r="BI280" s="435">
        <f>BI279*30.2%</f>
        <v>559.46543778801833</v>
      </c>
      <c r="BJ280" s="435"/>
      <c r="BK280" s="435"/>
      <c r="BL280" s="435"/>
      <c r="BM280" s="435"/>
      <c r="BN280" s="435">
        <f>BN279*30.2%</f>
        <v>2237.8617511520733</v>
      </c>
      <c r="BO280" s="435"/>
      <c r="BP280" s="435"/>
      <c r="BQ280" s="435"/>
      <c r="BR280" s="435"/>
      <c r="BS280" s="435"/>
      <c r="BT280" s="435"/>
    </row>
    <row r="281" spans="57:97" ht="8.25" hidden="1" customHeight="1" x14ac:dyDescent="0.2"/>
    <row r="282" spans="57:97" ht="8.25" hidden="1" customHeight="1" x14ac:dyDescent="0.2"/>
    <row r="283" spans="57:97" ht="12" hidden="1" x14ac:dyDescent="0.2">
      <c r="BE283" s="432" t="s">
        <v>470</v>
      </c>
      <c r="BF283" s="432"/>
      <c r="BG283" s="432"/>
      <c r="BH283" s="432"/>
      <c r="BI283" s="432"/>
      <c r="BJ283" s="432"/>
      <c r="BK283" s="432"/>
      <c r="BL283" s="432"/>
      <c r="BM283" s="432"/>
      <c r="BN283" s="432"/>
      <c r="BO283" s="432"/>
      <c r="BP283" s="432"/>
      <c r="BQ283" s="432"/>
      <c r="BR283" s="432"/>
      <c r="BS283" s="432"/>
      <c r="BT283" s="432"/>
      <c r="BU283" s="432"/>
      <c r="BV283" s="432"/>
      <c r="BW283" s="432"/>
      <c r="BX283" s="432"/>
      <c r="BY283" s="432"/>
      <c r="BZ283" s="432"/>
      <c r="CA283" s="432"/>
    </row>
    <row r="284" spans="57:97" ht="12" hidden="1" x14ac:dyDescent="0.2">
      <c r="BE284" s="432" t="s">
        <v>126</v>
      </c>
      <c r="BF284" s="432"/>
      <c r="BG284" s="432"/>
      <c r="BH284" s="433">
        <f>300*286</f>
        <v>85800</v>
      </c>
      <c r="BI284" s="433"/>
      <c r="BJ284" s="433"/>
      <c r="BK284" s="433"/>
      <c r="BL284" s="433"/>
      <c r="BM284" s="400" t="s">
        <v>127</v>
      </c>
      <c r="BN284" s="400"/>
      <c r="BO284" s="400"/>
      <c r="BP284" s="400"/>
      <c r="BQ284" s="400"/>
      <c r="BR284" s="400"/>
      <c r="BS284" s="400"/>
      <c r="BT284" s="400"/>
    </row>
    <row r="285" spans="57:97" ht="15" hidden="1" x14ac:dyDescent="0.25">
      <c r="BE285" s="434">
        <v>0.6</v>
      </c>
      <c r="BF285" s="432"/>
      <c r="BG285" s="432"/>
      <c r="BH285" s="216">
        <f>BH284*BE285</f>
        <v>51480</v>
      </c>
      <c r="BI285" s="432" t="s">
        <v>128</v>
      </c>
      <c r="BJ285" s="432"/>
      <c r="BK285" s="432"/>
      <c r="BL285" s="432"/>
      <c r="BM285" s="432"/>
      <c r="BN285" s="432" t="s">
        <v>129</v>
      </c>
      <c r="BO285" s="432"/>
      <c r="BP285" s="432"/>
      <c r="BQ285" s="432"/>
      <c r="BR285" s="432"/>
      <c r="BS285" s="432"/>
      <c r="BT285" s="432"/>
      <c r="CD285" s="444" t="s">
        <v>368</v>
      </c>
      <c r="CE285" s="441"/>
      <c r="CF285" s="441"/>
      <c r="CG285" s="441"/>
      <c r="CH285" s="441"/>
      <c r="CI285" s="441"/>
      <c r="CJ285" s="441"/>
      <c r="CM285" s="444" t="s">
        <v>366</v>
      </c>
      <c r="CN285" s="441"/>
      <c r="CO285" s="441"/>
      <c r="CP285" s="441"/>
      <c r="CQ285" s="441"/>
      <c r="CR285" s="441"/>
      <c r="CS285" s="441"/>
    </row>
    <row r="286" spans="57:97" ht="15" hidden="1" x14ac:dyDescent="0.25">
      <c r="BE286" s="432">
        <v>211</v>
      </c>
      <c r="BF286" s="432"/>
      <c r="BG286" s="432"/>
      <c r="BH286" s="216">
        <f>BH285-BH287</f>
        <v>39539.170506912444</v>
      </c>
      <c r="BI286" s="435">
        <f>BH286*0.2</f>
        <v>7907.8341013824893</v>
      </c>
      <c r="BJ286" s="435"/>
      <c r="BK286" s="435"/>
      <c r="BL286" s="435"/>
      <c r="BM286" s="435"/>
      <c r="BN286" s="436">
        <f>BH286-BI286</f>
        <v>31631.336405529953</v>
      </c>
      <c r="BO286" s="445"/>
      <c r="BP286" s="445"/>
      <c r="BQ286" s="445"/>
      <c r="BR286" s="445"/>
      <c r="BS286" s="445"/>
      <c r="BT286" s="445"/>
      <c r="CD286" s="437">
        <f>BI286*15/20</f>
        <v>5930.8755760368676</v>
      </c>
      <c r="CE286" s="446"/>
      <c r="CF286" s="446"/>
      <c r="CG286" s="446"/>
      <c r="CH286" s="446"/>
      <c r="CI286" s="446"/>
      <c r="CJ286" s="446"/>
      <c r="CM286" s="437">
        <f>BI286*5/20</f>
        <v>1976.9585253456221</v>
      </c>
      <c r="CN286" s="446"/>
      <c r="CO286" s="446"/>
      <c r="CP286" s="446"/>
      <c r="CQ286" s="446"/>
      <c r="CR286" s="446"/>
      <c r="CS286" s="446"/>
    </row>
    <row r="287" spans="57:97" ht="12" hidden="1" x14ac:dyDescent="0.2">
      <c r="BE287" s="432">
        <v>213</v>
      </c>
      <c r="BF287" s="432"/>
      <c r="BG287" s="432"/>
      <c r="BH287" s="216">
        <f>BH285*30.2/130.2</f>
        <v>11940.829493087558</v>
      </c>
      <c r="BI287" s="435">
        <f>BI286*30.2%</f>
        <v>2388.1658986175116</v>
      </c>
      <c r="BJ287" s="435"/>
      <c r="BK287" s="435"/>
      <c r="BL287" s="435"/>
      <c r="BM287" s="435"/>
      <c r="BN287" s="435">
        <f>BN286*30.2%</f>
        <v>9552.6635944700465</v>
      </c>
      <c r="BO287" s="435"/>
      <c r="BP287" s="435"/>
      <c r="BQ287" s="435"/>
      <c r="BR287" s="435"/>
      <c r="BS287" s="435"/>
      <c r="BT287" s="435"/>
    </row>
    <row r="288" spans="57:97" ht="8.25" hidden="1" customHeight="1" x14ac:dyDescent="0.2"/>
    <row r="289" spans="57:97" ht="8.25" hidden="1" customHeight="1" x14ac:dyDescent="0.2"/>
    <row r="290" spans="57:97" ht="12" hidden="1" x14ac:dyDescent="0.2">
      <c r="BE290" s="432" t="s">
        <v>473</v>
      </c>
      <c r="BF290" s="432"/>
      <c r="BG290" s="432"/>
      <c r="BH290" s="432"/>
      <c r="BI290" s="432"/>
      <c r="BJ290" s="432"/>
      <c r="BK290" s="432"/>
      <c r="BL290" s="432"/>
      <c r="BM290" s="432"/>
      <c r="BN290" s="432"/>
      <c r="BO290" s="432"/>
      <c r="BP290" s="432"/>
      <c r="BQ290" s="432"/>
      <c r="BR290" s="432"/>
      <c r="BS290" s="432"/>
      <c r="BT290" s="432"/>
      <c r="BU290" s="432"/>
      <c r="BV290" s="432"/>
      <c r="BW290" s="432"/>
      <c r="BX290" s="432"/>
      <c r="BY290" s="432"/>
      <c r="BZ290" s="432"/>
      <c r="CA290" s="432"/>
    </row>
    <row r="291" spans="57:97" ht="12" hidden="1" x14ac:dyDescent="0.2">
      <c r="BE291" s="432" t="s">
        <v>126</v>
      </c>
      <c r="BF291" s="432"/>
      <c r="BG291" s="432"/>
      <c r="BH291" s="433">
        <f>300*71</f>
        <v>21300</v>
      </c>
      <c r="BI291" s="433"/>
      <c r="BJ291" s="433"/>
      <c r="BK291" s="433"/>
      <c r="BL291" s="433"/>
      <c r="BM291" s="400" t="s">
        <v>127</v>
      </c>
      <c r="BN291" s="400"/>
      <c r="BO291" s="400"/>
      <c r="BP291" s="400"/>
      <c r="BQ291" s="400"/>
      <c r="BR291" s="400"/>
      <c r="BS291" s="400"/>
      <c r="BT291" s="400"/>
    </row>
    <row r="292" spans="57:97" ht="15" hidden="1" x14ac:dyDescent="0.25">
      <c r="BE292" s="434">
        <v>0.6</v>
      </c>
      <c r="BF292" s="432"/>
      <c r="BG292" s="432"/>
      <c r="BH292" s="216">
        <f>BH291*BE292</f>
        <v>12780</v>
      </c>
      <c r="BI292" s="432" t="s">
        <v>128</v>
      </c>
      <c r="BJ292" s="432"/>
      <c r="BK292" s="432"/>
      <c r="BL292" s="432"/>
      <c r="BM292" s="432"/>
      <c r="BN292" s="432" t="s">
        <v>129</v>
      </c>
      <c r="BO292" s="432"/>
      <c r="BP292" s="432"/>
      <c r="BQ292" s="432"/>
      <c r="BR292" s="432"/>
      <c r="BS292" s="432"/>
      <c r="BT292" s="432"/>
      <c r="CD292" s="444" t="s">
        <v>368</v>
      </c>
      <c r="CE292" s="441"/>
      <c r="CF292" s="441"/>
      <c r="CG292" s="441"/>
      <c r="CH292" s="441"/>
      <c r="CI292" s="441"/>
      <c r="CJ292" s="441"/>
      <c r="CM292" s="444" t="s">
        <v>366</v>
      </c>
      <c r="CN292" s="441"/>
      <c r="CO292" s="441"/>
      <c r="CP292" s="441"/>
      <c r="CQ292" s="441"/>
      <c r="CR292" s="441"/>
      <c r="CS292" s="441"/>
    </row>
    <row r="293" spans="57:97" ht="15" hidden="1" x14ac:dyDescent="0.25">
      <c r="BE293" s="432">
        <v>211</v>
      </c>
      <c r="BF293" s="432"/>
      <c r="BG293" s="432"/>
      <c r="BH293" s="216">
        <f>BH292-BH294</f>
        <v>9815.6682027649767</v>
      </c>
      <c r="BI293" s="435">
        <f>BH293*0.2</f>
        <v>1963.1336405529955</v>
      </c>
      <c r="BJ293" s="435"/>
      <c r="BK293" s="435"/>
      <c r="BL293" s="435"/>
      <c r="BM293" s="435"/>
      <c r="BN293" s="436">
        <f>BH293-BI293</f>
        <v>7852.5345622119812</v>
      </c>
      <c r="BO293" s="445"/>
      <c r="BP293" s="445"/>
      <c r="BQ293" s="445"/>
      <c r="BR293" s="445"/>
      <c r="BS293" s="445"/>
      <c r="BT293" s="445"/>
      <c r="CD293" s="437">
        <f>BI293*15/20</f>
        <v>1472.3502304147466</v>
      </c>
      <c r="CE293" s="446"/>
      <c r="CF293" s="446"/>
      <c r="CG293" s="446"/>
      <c r="CH293" s="446"/>
      <c r="CI293" s="446"/>
      <c r="CJ293" s="446"/>
      <c r="CM293" s="437">
        <f>BI293*5/20</f>
        <v>490.78341013824883</v>
      </c>
      <c r="CN293" s="446"/>
      <c r="CO293" s="446"/>
      <c r="CP293" s="446"/>
      <c r="CQ293" s="446"/>
      <c r="CR293" s="446"/>
      <c r="CS293" s="446"/>
    </row>
    <row r="294" spans="57:97" ht="12" hidden="1" x14ac:dyDescent="0.2">
      <c r="BE294" s="432">
        <v>213</v>
      </c>
      <c r="BF294" s="432"/>
      <c r="BG294" s="432"/>
      <c r="BH294" s="216">
        <f>BH292*30.2/130.2</f>
        <v>2964.3317972350233</v>
      </c>
      <c r="BI294" s="435">
        <f>BI293*30.2%</f>
        <v>592.86635944700458</v>
      </c>
      <c r="BJ294" s="435"/>
      <c r="BK294" s="435"/>
      <c r="BL294" s="435"/>
      <c r="BM294" s="435"/>
      <c r="BN294" s="435">
        <f>BN293*30.2%</f>
        <v>2371.4654377880183</v>
      </c>
      <c r="BO294" s="435"/>
      <c r="BP294" s="435"/>
      <c r="BQ294" s="435"/>
      <c r="BR294" s="435"/>
      <c r="BS294" s="435"/>
      <c r="BT294" s="435"/>
    </row>
    <row r="295" spans="57:97" ht="8.25" hidden="1" customHeight="1" x14ac:dyDescent="0.2"/>
    <row r="296" spans="57:97" ht="8.25" hidden="1" customHeight="1" x14ac:dyDescent="0.2"/>
    <row r="297" spans="57:97" ht="8.25" hidden="1" customHeight="1" x14ac:dyDescent="0.2"/>
    <row r="298" spans="57:97" ht="12" hidden="1" x14ac:dyDescent="0.2">
      <c r="BE298" s="432" t="s">
        <v>480</v>
      </c>
      <c r="BF298" s="432"/>
      <c r="BG298" s="432"/>
      <c r="BH298" s="432"/>
      <c r="BI298" s="432"/>
      <c r="BJ298" s="432"/>
      <c r="BK298" s="432"/>
      <c r="BL298" s="432"/>
      <c r="BM298" s="432"/>
      <c r="BN298" s="432"/>
      <c r="BO298" s="432"/>
      <c r="BP298" s="432"/>
      <c r="BQ298" s="432"/>
      <c r="BR298" s="432"/>
      <c r="BS298" s="432"/>
      <c r="BT298" s="432"/>
      <c r="BU298" s="432"/>
      <c r="BV298" s="432"/>
      <c r="BW298" s="432"/>
      <c r="BX298" s="432"/>
      <c r="BY298" s="432"/>
      <c r="BZ298" s="432"/>
      <c r="CA298" s="432"/>
    </row>
    <row r="299" spans="57:97" ht="12" hidden="1" x14ac:dyDescent="0.2">
      <c r="BE299" s="432" t="s">
        <v>126</v>
      </c>
      <c r="BF299" s="432"/>
      <c r="BG299" s="432"/>
      <c r="BH299" s="433">
        <f>300*77</f>
        <v>23100</v>
      </c>
      <c r="BI299" s="433"/>
      <c r="BJ299" s="433"/>
      <c r="BK299" s="433"/>
      <c r="BL299" s="433"/>
      <c r="BM299" s="400" t="s">
        <v>127</v>
      </c>
      <c r="BN299" s="400"/>
      <c r="BO299" s="400"/>
      <c r="BP299" s="400"/>
      <c r="BQ299" s="400"/>
      <c r="BR299" s="400"/>
      <c r="BS299" s="400"/>
      <c r="BT299" s="400"/>
    </row>
    <row r="300" spans="57:97" ht="15" hidden="1" x14ac:dyDescent="0.25">
      <c r="BE300" s="434">
        <v>0.6</v>
      </c>
      <c r="BF300" s="432"/>
      <c r="BG300" s="432"/>
      <c r="BH300" s="216">
        <f>BH299*BE300</f>
        <v>13860</v>
      </c>
      <c r="BI300" s="432" t="s">
        <v>128</v>
      </c>
      <c r="BJ300" s="432"/>
      <c r="BK300" s="432"/>
      <c r="BL300" s="432"/>
      <c r="BM300" s="432"/>
      <c r="BN300" s="432" t="s">
        <v>129</v>
      </c>
      <c r="BO300" s="432"/>
      <c r="BP300" s="432"/>
      <c r="BQ300" s="432"/>
      <c r="BR300" s="432"/>
      <c r="BS300" s="432"/>
      <c r="BT300" s="432"/>
      <c r="CD300" s="444" t="s">
        <v>368</v>
      </c>
      <c r="CE300" s="441"/>
      <c r="CF300" s="441"/>
      <c r="CG300" s="441"/>
      <c r="CH300" s="441"/>
      <c r="CI300" s="441"/>
      <c r="CJ300" s="441"/>
      <c r="CM300" s="444" t="s">
        <v>366</v>
      </c>
      <c r="CN300" s="441"/>
      <c r="CO300" s="441"/>
      <c r="CP300" s="441"/>
      <c r="CQ300" s="441"/>
      <c r="CR300" s="441"/>
      <c r="CS300" s="441"/>
    </row>
    <row r="301" spans="57:97" ht="15" hidden="1" x14ac:dyDescent="0.25">
      <c r="BE301" s="432">
        <v>211</v>
      </c>
      <c r="BF301" s="432"/>
      <c r="BG301" s="432"/>
      <c r="BH301" s="216">
        <f>BH300-BH302</f>
        <v>10645.16129032258</v>
      </c>
      <c r="BI301" s="435">
        <f>BH301*0.2</f>
        <v>2129.0322580645161</v>
      </c>
      <c r="BJ301" s="435"/>
      <c r="BK301" s="435"/>
      <c r="BL301" s="435"/>
      <c r="BM301" s="435"/>
      <c r="BN301" s="436">
        <f>BH301-BI301</f>
        <v>8516.1290322580644</v>
      </c>
      <c r="BO301" s="445"/>
      <c r="BP301" s="445"/>
      <c r="BQ301" s="445"/>
      <c r="BR301" s="445"/>
      <c r="BS301" s="445"/>
      <c r="BT301" s="445"/>
      <c r="CD301" s="437">
        <f>BI301*15/20</f>
        <v>1596.7741935483871</v>
      </c>
      <c r="CE301" s="446"/>
      <c r="CF301" s="446"/>
      <c r="CG301" s="446"/>
      <c r="CH301" s="446"/>
      <c r="CI301" s="446"/>
      <c r="CJ301" s="446"/>
      <c r="CM301" s="437">
        <f>BI301*5/20</f>
        <v>532.25806451612902</v>
      </c>
      <c r="CN301" s="446"/>
      <c r="CO301" s="446"/>
      <c r="CP301" s="446"/>
      <c r="CQ301" s="446"/>
      <c r="CR301" s="446"/>
      <c r="CS301" s="446"/>
    </row>
    <row r="302" spans="57:97" ht="12" hidden="1" x14ac:dyDescent="0.2">
      <c r="BE302" s="432">
        <v>213</v>
      </c>
      <c r="BF302" s="432"/>
      <c r="BG302" s="432"/>
      <c r="BH302" s="216">
        <f>BH300*30.2/130.2</f>
        <v>3214.8387096774195</v>
      </c>
      <c r="BI302" s="435">
        <f>BI301*30.2%</f>
        <v>642.96774193548379</v>
      </c>
      <c r="BJ302" s="435"/>
      <c r="BK302" s="435"/>
      <c r="BL302" s="435"/>
      <c r="BM302" s="435"/>
      <c r="BN302" s="435">
        <f>BN301*30.2%</f>
        <v>2571.8709677419351</v>
      </c>
      <c r="BO302" s="435"/>
      <c r="BP302" s="435"/>
      <c r="BQ302" s="435"/>
      <c r="BR302" s="435"/>
      <c r="BS302" s="435"/>
      <c r="BT302" s="435"/>
    </row>
    <row r="303" spans="57:97" ht="8.25" hidden="1" customHeight="1" x14ac:dyDescent="0.2"/>
    <row r="304" spans="57:97" ht="8.25" hidden="1" customHeight="1" x14ac:dyDescent="0.2"/>
    <row r="305" spans="57:97" ht="8.25" hidden="1" customHeight="1" x14ac:dyDescent="0.2"/>
    <row r="306" spans="57:97" ht="12" hidden="1" x14ac:dyDescent="0.2">
      <c r="BE306" s="432" t="s">
        <v>489</v>
      </c>
      <c r="BF306" s="432"/>
      <c r="BG306" s="432"/>
      <c r="BH306" s="432"/>
      <c r="BI306" s="432"/>
      <c r="BJ306" s="432"/>
      <c r="BK306" s="432"/>
      <c r="BL306" s="432"/>
      <c r="BM306" s="432"/>
      <c r="BN306" s="432"/>
      <c r="BO306" s="432"/>
      <c r="BP306" s="432"/>
      <c r="BQ306" s="432"/>
      <c r="BR306" s="432"/>
      <c r="BS306" s="432"/>
      <c r="BT306" s="432"/>
      <c r="BU306" s="432"/>
      <c r="BV306" s="432"/>
      <c r="BW306" s="432"/>
      <c r="BX306" s="432"/>
      <c r="BY306" s="432"/>
      <c r="BZ306" s="432"/>
      <c r="CA306" s="432"/>
    </row>
    <row r="307" spans="57:97" ht="12" hidden="1" x14ac:dyDescent="0.2">
      <c r="BE307" s="432" t="s">
        <v>126</v>
      </c>
      <c r="BF307" s="432"/>
      <c r="BG307" s="432"/>
      <c r="BH307" s="433">
        <f>300*67</f>
        <v>20100</v>
      </c>
      <c r="BI307" s="433"/>
      <c r="BJ307" s="433"/>
      <c r="BK307" s="433"/>
      <c r="BL307" s="433"/>
      <c r="BM307" s="400" t="s">
        <v>127</v>
      </c>
      <c r="BN307" s="400"/>
      <c r="BO307" s="400"/>
      <c r="BP307" s="400"/>
      <c r="BQ307" s="400"/>
      <c r="BR307" s="400"/>
      <c r="BS307" s="400"/>
      <c r="BT307" s="400"/>
    </row>
    <row r="308" spans="57:97" ht="15" hidden="1" x14ac:dyDescent="0.25">
      <c r="BE308" s="434">
        <v>0.6</v>
      </c>
      <c r="BF308" s="432"/>
      <c r="BG308" s="432"/>
      <c r="BH308" s="216">
        <f>BH307*BE308</f>
        <v>12060</v>
      </c>
      <c r="BI308" s="432" t="s">
        <v>128</v>
      </c>
      <c r="BJ308" s="432"/>
      <c r="BK308" s="432"/>
      <c r="BL308" s="432"/>
      <c r="BM308" s="432"/>
      <c r="BN308" s="432" t="s">
        <v>129</v>
      </c>
      <c r="BO308" s="432"/>
      <c r="BP308" s="432"/>
      <c r="BQ308" s="432"/>
      <c r="BR308" s="432"/>
      <c r="BS308" s="432"/>
      <c r="BT308" s="432"/>
      <c r="CD308" s="444" t="s">
        <v>368</v>
      </c>
      <c r="CE308" s="441"/>
      <c r="CF308" s="441"/>
      <c r="CG308" s="441"/>
      <c r="CH308" s="441"/>
      <c r="CI308" s="441"/>
      <c r="CJ308" s="441"/>
      <c r="CM308" s="444" t="s">
        <v>366</v>
      </c>
      <c r="CN308" s="441"/>
      <c r="CO308" s="441"/>
      <c r="CP308" s="441"/>
      <c r="CQ308" s="441"/>
      <c r="CR308" s="441"/>
      <c r="CS308" s="441"/>
    </row>
    <row r="309" spans="57:97" ht="15" hidden="1" x14ac:dyDescent="0.25">
      <c r="BE309" s="432">
        <v>211</v>
      </c>
      <c r="BF309" s="432"/>
      <c r="BG309" s="432"/>
      <c r="BH309" s="216">
        <f>BH308-BH310</f>
        <v>9262.672811059907</v>
      </c>
      <c r="BI309" s="435">
        <f>BH309*0.2</f>
        <v>1852.5345622119814</v>
      </c>
      <c r="BJ309" s="435"/>
      <c r="BK309" s="435"/>
      <c r="BL309" s="435"/>
      <c r="BM309" s="435"/>
      <c r="BN309" s="436">
        <f>BH309-BI309</f>
        <v>7410.1382488479258</v>
      </c>
      <c r="BO309" s="445"/>
      <c r="BP309" s="445"/>
      <c r="BQ309" s="445"/>
      <c r="BR309" s="445"/>
      <c r="BS309" s="445"/>
      <c r="BT309" s="445"/>
      <c r="CD309" s="437">
        <f>BI309*15/20</f>
        <v>1389.4009216589861</v>
      </c>
      <c r="CE309" s="446"/>
      <c r="CF309" s="446"/>
      <c r="CG309" s="446"/>
      <c r="CH309" s="446"/>
      <c r="CI309" s="446"/>
      <c r="CJ309" s="446"/>
      <c r="CM309" s="437">
        <f>BI309*5/20</f>
        <v>463.13364055299536</v>
      </c>
      <c r="CN309" s="446"/>
      <c r="CO309" s="446"/>
      <c r="CP309" s="446"/>
      <c r="CQ309" s="446"/>
      <c r="CR309" s="446"/>
      <c r="CS309" s="446"/>
    </row>
    <row r="310" spans="57:97" ht="12" hidden="1" x14ac:dyDescent="0.2">
      <c r="BE310" s="432">
        <v>213</v>
      </c>
      <c r="BF310" s="432"/>
      <c r="BG310" s="432"/>
      <c r="BH310" s="216">
        <f>BH308*30.2/130.2</f>
        <v>2797.3271889400926</v>
      </c>
      <c r="BI310" s="435">
        <f>BI309*30.2%</f>
        <v>559.46543778801833</v>
      </c>
      <c r="BJ310" s="435"/>
      <c r="BK310" s="435"/>
      <c r="BL310" s="435"/>
      <c r="BM310" s="435"/>
      <c r="BN310" s="435">
        <f>BN309*30.2%</f>
        <v>2237.8617511520733</v>
      </c>
      <c r="BO310" s="435"/>
      <c r="BP310" s="435"/>
      <c r="BQ310" s="435"/>
      <c r="BR310" s="435"/>
      <c r="BS310" s="435"/>
      <c r="BT310" s="435"/>
    </row>
    <row r="311" spans="57:97" ht="8.25" hidden="1" customHeight="1" x14ac:dyDescent="0.2"/>
    <row r="312" spans="57:97" ht="8.25" hidden="1" customHeight="1" x14ac:dyDescent="0.2"/>
    <row r="313" spans="57:97" ht="8.25" hidden="1" customHeight="1" x14ac:dyDescent="0.2"/>
    <row r="314" spans="57:97" ht="12" hidden="1" x14ac:dyDescent="0.2">
      <c r="BE314" s="432" t="s">
        <v>507</v>
      </c>
      <c r="BF314" s="432"/>
      <c r="BG314" s="432"/>
      <c r="BH314" s="432"/>
      <c r="BI314" s="432"/>
      <c r="BJ314" s="432"/>
      <c r="BK314" s="432"/>
      <c r="BL314" s="432"/>
      <c r="BM314" s="432"/>
      <c r="BN314" s="432"/>
      <c r="BO314" s="432"/>
      <c r="BP314" s="432"/>
      <c r="BQ314" s="432"/>
      <c r="BR314" s="432"/>
      <c r="BS314" s="432"/>
      <c r="BT314" s="432"/>
      <c r="BU314" s="432"/>
      <c r="BV314" s="432"/>
      <c r="BW314" s="432"/>
      <c r="BX314" s="432"/>
      <c r="BY314" s="432"/>
      <c r="BZ314" s="432"/>
      <c r="CA314" s="432"/>
    </row>
    <row r="315" spans="57:97" ht="12" hidden="1" x14ac:dyDescent="0.2">
      <c r="BE315" s="432" t="s">
        <v>126</v>
      </c>
      <c r="BF315" s="432"/>
      <c r="BG315" s="432"/>
      <c r="BH315" s="433">
        <f>300*110</f>
        <v>33000</v>
      </c>
      <c r="BI315" s="433"/>
      <c r="BJ315" s="433"/>
      <c r="BK315" s="433"/>
      <c r="BL315" s="433"/>
      <c r="BM315" s="400" t="s">
        <v>127</v>
      </c>
      <c r="BN315" s="400"/>
      <c r="BO315" s="400"/>
      <c r="BP315" s="400"/>
      <c r="BQ315" s="400"/>
      <c r="BR315" s="400"/>
      <c r="BS315" s="400"/>
      <c r="BT315" s="400"/>
    </row>
    <row r="316" spans="57:97" ht="15" hidden="1" x14ac:dyDescent="0.25">
      <c r="BE316" s="434">
        <v>0.6</v>
      </c>
      <c r="BF316" s="432"/>
      <c r="BG316" s="432"/>
      <c r="BH316" s="216">
        <f>BH315*BE316</f>
        <v>19800</v>
      </c>
      <c r="BI316" s="432" t="s">
        <v>128</v>
      </c>
      <c r="BJ316" s="432"/>
      <c r="BK316" s="432"/>
      <c r="BL316" s="432"/>
      <c r="BM316" s="432"/>
      <c r="BN316" s="432" t="s">
        <v>129</v>
      </c>
      <c r="BO316" s="432"/>
      <c r="BP316" s="432"/>
      <c r="BQ316" s="432"/>
      <c r="BR316" s="432"/>
      <c r="BS316" s="432"/>
      <c r="BT316" s="432"/>
      <c r="CD316" s="444" t="s">
        <v>368</v>
      </c>
      <c r="CE316" s="441"/>
      <c r="CF316" s="441"/>
      <c r="CG316" s="441"/>
      <c r="CH316" s="441"/>
      <c r="CI316" s="441"/>
      <c r="CJ316" s="441"/>
      <c r="CM316" s="444" t="s">
        <v>366</v>
      </c>
      <c r="CN316" s="441"/>
      <c r="CO316" s="441"/>
      <c r="CP316" s="441"/>
      <c r="CQ316" s="441"/>
      <c r="CR316" s="441"/>
      <c r="CS316" s="441"/>
    </row>
    <row r="317" spans="57:97" ht="15" hidden="1" x14ac:dyDescent="0.25">
      <c r="BE317" s="432">
        <v>211</v>
      </c>
      <c r="BF317" s="432"/>
      <c r="BG317" s="432"/>
      <c r="BH317" s="216">
        <f>BH316-BH318</f>
        <v>15207.373271889401</v>
      </c>
      <c r="BI317" s="435">
        <f>BH317*0.2</f>
        <v>3041.4746543778801</v>
      </c>
      <c r="BJ317" s="435"/>
      <c r="BK317" s="435"/>
      <c r="BL317" s="435"/>
      <c r="BM317" s="435"/>
      <c r="BN317" s="436">
        <f>BH317-BI317</f>
        <v>12165.898617511521</v>
      </c>
      <c r="BO317" s="445"/>
      <c r="BP317" s="445"/>
      <c r="BQ317" s="445"/>
      <c r="BR317" s="445"/>
      <c r="BS317" s="445"/>
      <c r="BT317" s="445"/>
      <c r="CD317" s="437">
        <f>BI317*15/20</f>
        <v>2281.1059907834101</v>
      </c>
      <c r="CE317" s="446"/>
      <c r="CF317" s="446"/>
      <c r="CG317" s="446"/>
      <c r="CH317" s="446"/>
      <c r="CI317" s="446"/>
      <c r="CJ317" s="446"/>
      <c r="CM317" s="437">
        <f>BI317*5/20</f>
        <v>760.36866359447004</v>
      </c>
      <c r="CN317" s="446"/>
      <c r="CO317" s="446"/>
      <c r="CP317" s="446"/>
      <c r="CQ317" s="446"/>
      <c r="CR317" s="446"/>
      <c r="CS317" s="446"/>
    </row>
    <row r="318" spans="57:97" ht="12" hidden="1" x14ac:dyDescent="0.2">
      <c r="BE318" s="432">
        <v>213</v>
      </c>
      <c r="BF318" s="432"/>
      <c r="BG318" s="432"/>
      <c r="BH318" s="216">
        <f>BH316*30.2/130.2</f>
        <v>4592.6267281105993</v>
      </c>
      <c r="BI318" s="435">
        <f>BI317*30.2%</f>
        <v>918.52534562211974</v>
      </c>
      <c r="BJ318" s="435"/>
      <c r="BK318" s="435"/>
      <c r="BL318" s="435"/>
      <c r="BM318" s="435"/>
      <c r="BN318" s="435">
        <f>BN317*30.2%</f>
        <v>3674.101382488479</v>
      </c>
      <c r="BO318" s="435"/>
      <c r="BP318" s="435"/>
      <c r="BQ318" s="435"/>
      <c r="BR318" s="435"/>
      <c r="BS318" s="435"/>
      <c r="BT318" s="435"/>
    </row>
    <row r="319" spans="57:97" ht="8.25" hidden="1" customHeight="1" x14ac:dyDescent="0.2"/>
    <row r="320" spans="57:97" ht="8.25" hidden="1" customHeight="1" x14ac:dyDescent="0.2"/>
    <row r="321" spans="57:97" ht="12" hidden="1" x14ac:dyDescent="0.2">
      <c r="BE321" s="432" t="s">
        <v>541</v>
      </c>
      <c r="BF321" s="432"/>
      <c r="BG321" s="432"/>
      <c r="BH321" s="432"/>
      <c r="BI321" s="432"/>
      <c r="BJ321" s="432"/>
      <c r="BK321" s="432"/>
      <c r="BL321" s="432"/>
      <c r="BM321" s="432"/>
      <c r="BN321" s="432"/>
      <c r="BO321" s="432"/>
      <c r="BP321" s="432"/>
      <c r="BQ321" s="432"/>
      <c r="BR321" s="432"/>
      <c r="BS321" s="432"/>
      <c r="BT321" s="432"/>
      <c r="BU321" s="432"/>
      <c r="BV321" s="432"/>
      <c r="BW321" s="432"/>
      <c r="BX321" s="432"/>
      <c r="BY321" s="432"/>
      <c r="BZ321" s="432"/>
      <c r="CA321" s="432"/>
    </row>
    <row r="322" spans="57:97" ht="12" hidden="1" x14ac:dyDescent="0.2">
      <c r="BE322" s="432" t="s">
        <v>126</v>
      </c>
      <c r="BF322" s="432"/>
      <c r="BG322" s="432"/>
      <c r="BH322" s="433">
        <f>300*43</f>
        <v>12900</v>
      </c>
      <c r="BI322" s="433"/>
      <c r="BJ322" s="433"/>
      <c r="BK322" s="433"/>
      <c r="BL322" s="433"/>
      <c r="BM322" s="400" t="s">
        <v>127</v>
      </c>
      <c r="BN322" s="400"/>
      <c r="BO322" s="400"/>
      <c r="BP322" s="400"/>
      <c r="BQ322" s="400"/>
      <c r="BR322" s="400"/>
      <c r="BS322" s="400"/>
      <c r="BT322" s="400"/>
    </row>
    <row r="323" spans="57:97" ht="15" hidden="1" x14ac:dyDescent="0.25">
      <c r="BE323" s="434">
        <v>0.6</v>
      </c>
      <c r="BF323" s="432"/>
      <c r="BG323" s="432"/>
      <c r="BH323" s="216">
        <f>BH322*BE323</f>
        <v>7740</v>
      </c>
      <c r="BI323" s="432" t="s">
        <v>128</v>
      </c>
      <c r="BJ323" s="432"/>
      <c r="BK323" s="432"/>
      <c r="BL323" s="432"/>
      <c r="BM323" s="432"/>
      <c r="BN323" s="432" t="s">
        <v>129</v>
      </c>
      <c r="BO323" s="432"/>
      <c r="BP323" s="432"/>
      <c r="BQ323" s="432"/>
      <c r="BR323" s="432"/>
      <c r="BS323" s="432"/>
      <c r="BT323" s="432"/>
      <c r="CD323" s="444" t="s">
        <v>368</v>
      </c>
      <c r="CE323" s="441"/>
      <c r="CF323" s="441"/>
      <c r="CG323" s="441"/>
      <c r="CH323" s="441"/>
      <c r="CI323" s="441"/>
      <c r="CJ323" s="441"/>
      <c r="CM323" s="444" t="s">
        <v>366</v>
      </c>
      <c r="CN323" s="441"/>
      <c r="CO323" s="441"/>
      <c r="CP323" s="441"/>
      <c r="CQ323" s="441"/>
      <c r="CR323" s="441"/>
      <c r="CS323" s="441"/>
    </row>
    <row r="324" spans="57:97" ht="15" hidden="1" x14ac:dyDescent="0.25">
      <c r="BE324" s="432">
        <v>211</v>
      </c>
      <c r="BF324" s="432"/>
      <c r="BG324" s="432"/>
      <c r="BH324" s="216">
        <f>BH323-BH325</f>
        <v>5944.7004608294928</v>
      </c>
      <c r="BI324" s="435">
        <f>BH324*0.2</f>
        <v>1188.9400921658987</v>
      </c>
      <c r="BJ324" s="435"/>
      <c r="BK324" s="435"/>
      <c r="BL324" s="435"/>
      <c r="BM324" s="435"/>
      <c r="BN324" s="436">
        <f>BH324-BI324</f>
        <v>4755.7603686635939</v>
      </c>
      <c r="BO324" s="445"/>
      <c r="BP324" s="445"/>
      <c r="BQ324" s="445"/>
      <c r="BR324" s="445"/>
      <c r="BS324" s="445"/>
      <c r="BT324" s="445"/>
      <c r="CD324" s="437">
        <f>BI324*15/20</f>
        <v>891.70506912442397</v>
      </c>
      <c r="CE324" s="446"/>
      <c r="CF324" s="446"/>
      <c r="CG324" s="446"/>
      <c r="CH324" s="446"/>
      <c r="CI324" s="446"/>
      <c r="CJ324" s="446"/>
      <c r="CM324" s="437">
        <f>BI324*5/20</f>
        <v>297.23502304147468</v>
      </c>
      <c r="CN324" s="446"/>
      <c r="CO324" s="446"/>
      <c r="CP324" s="446"/>
      <c r="CQ324" s="446"/>
      <c r="CR324" s="446"/>
      <c r="CS324" s="446"/>
    </row>
    <row r="325" spans="57:97" ht="12" hidden="1" x14ac:dyDescent="0.2">
      <c r="BE325" s="432">
        <v>213</v>
      </c>
      <c r="BF325" s="432"/>
      <c r="BG325" s="432"/>
      <c r="BH325" s="216">
        <f>BH323*30.2/130.2</f>
        <v>1795.2995391705072</v>
      </c>
      <c r="BI325" s="435">
        <f>BI324*30.2%</f>
        <v>359.05990783410141</v>
      </c>
      <c r="BJ325" s="435"/>
      <c r="BK325" s="435"/>
      <c r="BL325" s="435"/>
      <c r="BM325" s="435"/>
      <c r="BN325" s="435">
        <f>BN324*30.2%</f>
        <v>1436.2396313364054</v>
      </c>
      <c r="BO325" s="435"/>
      <c r="BP325" s="435"/>
      <c r="BQ325" s="435"/>
      <c r="BR325" s="435"/>
      <c r="BS325" s="435"/>
      <c r="BT325" s="435"/>
    </row>
    <row r="326" spans="57:97" ht="8.25" hidden="1" customHeight="1" x14ac:dyDescent="0.2"/>
    <row r="327" spans="57:97" ht="8.25" hidden="1" customHeight="1" x14ac:dyDescent="0.2"/>
    <row r="328" spans="57:97" ht="8.25" hidden="1" customHeight="1" x14ac:dyDescent="0.2"/>
    <row r="329" spans="57:97" ht="15" hidden="1" x14ac:dyDescent="0.25">
      <c r="CM329" s="778">
        <f>CM257+CM264+CM272+CM279+CM286+CM293+CM301+CM309+CM317+CM324</f>
        <v>6103.6866359447004</v>
      </c>
      <c r="CN329" s="779"/>
      <c r="CO329" s="779"/>
      <c r="CP329" s="779"/>
      <c r="CQ329" s="779"/>
      <c r="CR329" s="779"/>
    </row>
    <row r="330" spans="57:97" ht="12" hidden="1" x14ac:dyDescent="0.2">
      <c r="BE330" s="432" t="s">
        <v>559</v>
      </c>
      <c r="BF330" s="432"/>
      <c r="BG330" s="432"/>
      <c r="BH330" s="432"/>
      <c r="BI330" s="432"/>
      <c r="BJ330" s="432"/>
      <c r="BK330" s="432"/>
      <c r="BL330" s="432"/>
      <c r="BM330" s="432"/>
      <c r="BN330" s="432"/>
      <c r="BO330" s="432"/>
      <c r="BP330" s="432"/>
      <c r="BQ330" s="432"/>
      <c r="BR330" s="432"/>
      <c r="BS330" s="432"/>
      <c r="BT330" s="432"/>
      <c r="BU330" s="432"/>
      <c r="BV330" s="432"/>
      <c r="BW330" s="432"/>
      <c r="BX330" s="432"/>
      <c r="BY330" s="432"/>
      <c r="BZ330" s="432"/>
      <c r="CA330" s="432"/>
    </row>
    <row r="331" spans="57:97" ht="12" hidden="1" x14ac:dyDescent="0.2">
      <c r="BE331" s="432" t="s">
        <v>126</v>
      </c>
      <c r="BF331" s="432"/>
      <c r="BG331" s="432"/>
      <c r="BH331" s="433">
        <f>300*99</f>
        <v>29700</v>
      </c>
      <c r="BI331" s="433"/>
      <c r="BJ331" s="433"/>
      <c r="BK331" s="433"/>
      <c r="BL331" s="433"/>
      <c r="BM331" s="400" t="s">
        <v>127</v>
      </c>
      <c r="BN331" s="400"/>
      <c r="BO331" s="400"/>
      <c r="BP331" s="400"/>
      <c r="BQ331" s="400"/>
      <c r="BR331" s="400"/>
      <c r="BS331" s="400"/>
      <c r="BT331" s="400"/>
    </row>
    <row r="332" spans="57:97" ht="15" hidden="1" x14ac:dyDescent="0.25">
      <c r="BE332" s="434">
        <v>0.6</v>
      </c>
      <c r="BF332" s="432"/>
      <c r="BG332" s="432"/>
      <c r="BH332" s="216">
        <f>BH331*BE332</f>
        <v>17820</v>
      </c>
      <c r="BI332" s="432" t="s">
        <v>128</v>
      </c>
      <c r="BJ332" s="432"/>
      <c r="BK332" s="432"/>
      <c r="BL332" s="432"/>
      <c r="BM332" s="432"/>
      <c r="BN332" s="432" t="s">
        <v>129</v>
      </c>
      <c r="BO332" s="432"/>
      <c r="BP332" s="432"/>
      <c r="BQ332" s="432"/>
      <c r="BR332" s="432"/>
      <c r="BS332" s="432"/>
      <c r="BT332" s="432"/>
      <c r="CD332" s="444" t="s">
        <v>368</v>
      </c>
      <c r="CE332" s="441"/>
      <c r="CF332" s="441"/>
      <c r="CG332" s="441"/>
      <c r="CH332" s="441"/>
      <c r="CI332" s="441"/>
      <c r="CJ332" s="441"/>
      <c r="CM332" s="444" t="s">
        <v>366</v>
      </c>
      <c r="CN332" s="441"/>
      <c r="CO332" s="441"/>
      <c r="CP332" s="441"/>
      <c r="CQ332" s="441"/>
      <c r="CR332" s="441"/>
      <c r="CS332" s="441"/>
    </row>
    <row r="333" spans="57:97" ht="15" hidden="1" x14ac:dyDescent="0.25">
      <c r="BE333" s="432">
        <v>211</v>
      </c>
      <c r="BF333" s="432"/>
      <c r="BG333" s="432"/>
      <c r="BH333" s="216">
        <f>BH332-BH334</f>
        <v>13686.635944700462</v>
      </c>
      <c r="BI333" s="435">
        <f>BH333*0.2</f>
        <v>2737.3271889400926</v>
      </c>
      <c r="BJ333" s="435"/>
      <c r="BK333" s="435"/>
      <c r="BL333" s="435"/>
      <c r="BM333" s="435"/>
      <c r="BN333" s="436">
        <f>BH333-BI333</f>
        <v>10949.308755760369</v>
      </c>
      <c r="BO333" s="445"/>
      <c r="BP333" s="445"/>
      <c r="BQ333" s="445"/>
      <c r="BR333" s="445"/>
      <c r="BS333" s="445"/>
      <c r="BT333" s="445"/>
      <c r="CD333" s="437">
        <f>BI333*15/20</f>
        <v>2052.9953917050693</v>
      </c>
      <c r="CE333" s="446"/>
      <c r="CF333" s="446"/>
      <c r="CG333" s="446"/>
      <c r="CH333" s="446"/>
      <c r="CI333" s="446"/>
      <c r="CJ333" s="446"/>
      <c r="CM333" s="437">
        <f>BI333*5/20</f>
        <v>684.33179723502315</v>
      </c>
      <c r="CN333" s="446"/>
      <c r="CO333" s="446"/>
      <c r="CP333" s="446"/>
      <c r="CQ333" s="446"/>
      <c r="CR333" s="446"/>
      <c r="CS333" s="446"/>
    </row>
    <row r="334" spans="57:97" ht="12" hidden="1" x14ac:dyDescent="0.2">
      <c r="BE334" s="432">
        <v>213</v>
      </c>
      <c r="BF334" s="432"/>
      <c r="BG334" s="432"/>
      <c r="BH334" s="216">
        <f>BH332*30.2/130.2</f>
        <v>4133.3640552995394</v>
      </c>
      <c r="BI334" s="435">
        <f>BI333*30.2%</f>
        <v>826.67281105990799</v>
      </c>
      <c r="BJ334" s="435"/>
      <c r="BK334" s="435"/>
      <c r="BL334" s="435"/>
      <c r="BM334" s="435"/>
      <c r="BN334" s="435">
        <f>BN333*30.2%</f>
        <v>3306.691244239631</v>
      </c>
      <c r="BO334" s="435"/>
      <c r="BP334" s="435"/>
      <c r="BQ334" s="435"/>
      <c r="BR334" s="435"/>
      <c r="BS334" s="435"/>
      <c r="BT334" s="435"/>
    </row>
    <row r="335" spans="57:97" ht="12" hidden="1" x14ac:dyDescent="0.2"/>
    <row r="336" spans="57:97" ht="12" hidden="1" x14ac:dyDescent="0.2">
      <c r="BE336" s="432" t="s">
        <v>572</v>
      </c>
      <c r="BF336" s="432"/>
      <c r="BG336" s="432"/>
      <c r="BH336" s="432"/>
      <c r="BI336" s="432"/>
      <c r="BJ336" s="432"/>
      <c r="BK336" s="432"/>
      <c r="BL336" s="432"/>
      <c r="BM336" s="432"/>
      <c r="BN336" s="432"/>
      <c r="BO336" s="432"/>
      <c r="BP336" s="432"/>
      <c r="BQ336" s="432"/>
      <c r="BR336" s="432"/>
      <c r="BS336" s="432"/>
      <c r="BT336" s="432"/>
      <c r="BU336" s="432"/>
      <c r="BV336" s="432"/>
      <c r="BW336" s="432"/>
      <c r="BX336" s="432"/>
      <c r="BY336" s="432"/>
      <c r="BZ336" s="432"/>
      <c r="CA336" s="432"/>
    </row>
    <row r="337" spans="57:97" ht="12" hidden="1" x14ac:dyDescent="0.2">
      <c r="BE337" s="432" t="s">
        <v>126</v>
      </c>
      <c r="BF337" s="432"/>
      <c r="BG337" s="432"/>
      <c r="BH337" s="433">
        <f>300*143</f>
        <v>42900</v>
      </c>
      <c r="BI337" s="433"/>
      <c r="BJ337" s="433"/>
      <c r="BK337" s="433"/>
      <c r="BL337" s="433"/>
      <c r="BM337" s="400" t="s">
        <v>127</v>
      </c>
      <c r="BN337" s="400"/>
      <c r="BO337" s="400"/>
      <c r="BP337" s="400"/>
      <c r="BQ337" s="400"/>
      <c r="BR337" s="400"/>
      <c r="BS337" s="400"/>
      <c r="BT337" s="400"/>
    </row>
    <row r="338" spans="57:97" ht="15" hidden="1" x14ac:dyDescent="0.25">
      <c r="BE338" s="434">
        <v>0.6</v>
      </c>
      <c r="BF338" s="432"/>
      <c r="BG338" s="432"/>
      <c r="BH338" s="216">
        <f>BH337*BE338</f>
        <v>25740</v>
      </c>
      <c r="BI338" s="432" t="s">
        <v>128</v>
      </c>
      <c r="BJ338" s="432"/>
      <c r="BK338" s="432"/>
      <c r="BL338" s="432"/>
      <c r="BM338" s="432"/>
      <c r="BN338" s="432" t="s">
        <v>129</v>
      </c>
      <c r="BO338" s="432"/>
      <c r="BP338" s="432"/>
      <c r="BQ338" s="432"/>
      <c r="BR338" s="432"/>
      <c r="BS338" s="432"/>
      <c r="BT338" s="432"/>
      <c r="CD338" s="444" t="s">
        <v>368</v>
      </c>
      <c r="CE338" s="441"/>
      <c r="CF338" s="441"/>
      <c r="CG338" s="441"/>
      <c r="CH338" s="441"/>
      <c r="CI338" s="441"/>
      <c r="CJ338" s="441"/>
      <c r="CM338" s="444" t="s">
        <v>366</v>
      </c>
      <c r="CN338" s="441"/>
      <c r="CO338" s="441"/>
      <c r="CP338" s="441"/>
      <c r="CQ338" s="441"/>
      <c r="CR338" s="441"/>
      <c r="CS338" s="441"/>
    </row>
    <row r="339" spans="57:97" ht="15" hidden="1" x14ac:dyDescent="0.25">
      <c r="BE339" s="432">
        <v>211</v>
      </c>
      <c r="BF339" s="432"/>
      <c r="BG339" s="432"/>
      <c r="BH339" s="216">
        <f>BH338-BH340</f>
        <v>19769.585253456222</v>
      </c>
      <c r="BI339" s="435">
        <f>BH339*0.2</f>
        <v>3953.9170506912446</v>
      </c>
      <c r="BJ339" s="435"/>
      <c r="BK339" s="435"/>
      <c r="BL339" s="435"/>
      <c r="BM339" s="435"/>
      <c r="BN339" s="436">
        <f>BH339-BI339</f>
        <v>15815.668202764977</v>
      </c>
      <c r="BO339" s="445"/>
      <c r="BP339" s="445"/>
      <c r="BQ339" s="445"/>
      <c r="BR339" s="445"/>
      <c r="BS339" s="445"/>
      <c r="BT339" s="445"/>
      <c r="CD339" s="437">
        <f>BI339*15/20</f>
        <v>2965.4377880184338</v>
      </c>
      <c r="CE339" s="446"/>
      <c r="CF339" s="446"/>
      <c r="CG339" s="446"/>
      <c r="CH339" s="446"/>
      <c r="CI339" s="446"/>
      <c r="CJ339" s="446"/>
      <c r="CM339" s="437">
        <f>BI339*5/20</f>
        <v>988.47926267281105</v>
      </c>
      <c r="CN339" s="446"/>
      <c r="CO339" s="446"/>
      <c r="CP339" s="446"/>
      <c r="CQ339" s="446"/>
      <c r="CR339" s="446"/>
      <c r="CS339" s="446"/>
    </row>
    <row r="340" spans="57:97" ht="12" hidden="1" x14ac:dyDescent="0.2">
      <c r="BE340" s="432">
        <v>213</v>
      </c>
      <c r="BF340" s="432"/>
      <c r="BG340" s="432"/>
      <c r="BH340" s="216">
        <f>BH338*30.2/130.2</f>
        <v>5970.4147465437791</v>
      </c>
      <c r="BI340" s="435">
        <f>BI339*30.2%</f>
        <v>1194.0829493087558</v>
      </c>
      <c r="BJ340" s="435"/>
      <c r="BK340" s="435"/>
      <c r="BL340" s="435"/>
      <c r="BM340" s="435"/>
      <c r="BN340" s="435">
        <f>BN339*30.2%</f>
        <v>4776.3317972350233</v>
      </c>
      <c r="BO340" s="435"/>
      <c r="BP340" s="435"/>
      <c r="BQ340" s="435"/>
      <c r="BR340" s="435"/>
      <c r="BS340" s="435"/>
      <c r="BT340" s="435"/>
    </row>
    <row r="341" spans="57:97" ht="8.25" hidden="1" customHeight="1" x14ac:dyDescent="0.2"/>
    <row r="342" spans="57:97" ht="8.25" hidden="1" customHeight="1" x14ac:dyDescent="0.2"/>
    <row r="343" spans="57:97" ht="12" hidden="1" x14ac:dyDescent="0.2">
      <c r="BE343" s="432" t="s">
        <v>594</v>
      </c>
      <c r="BF343" s="432"/>
      <c r="BG343" s="432"/>
      <c r="BH343" s="432"/>
      <c r="BI343" s="432"/>
      <c r="BJ343" s="432"/>
      <c r="BK343" s="432"/>
      <c r="BL343" s="432"/>
      <c r="BM343" s="432"/>
      <c r="BN343" s="432"/>
      <c r="BO343" s="432"/>
      <c r="BP343" s="432"/>
      <c r="BQ343" s="432"/>
      <c r="BR343" s="432"/>
      <c r="BS343" s="432"/>
      <c r="BT343" s="432"/>
      <c r="BU343" s="432"/>
      <c r="BV343" s="432"/>
      <c r="BW343" s="432"/>
      <c r="BX343" s="432"/>
      <c r="BY343" s="432"/>
      <c r="BZ343" s="432"/>
      <c r="CA343" s="432"/>
    </row>
    <row r="344" spans="57:97" ht="12" hidden="1" x14ac:dyDescent="0.2">
      <c r="BE344" s="432" t="s">
        <v>126</v>
      </c>
      <c r="BF344" s="432"/>
      <c r="BG344" s="432"/>
      <c r="BH344" s="433">
        <f>300*54</f>
        <v>16200</v>
      </c>
      <c r="BI344" s="433"/>
      <c r="BJ344" s="433"/>
      <c r="BK344" s="433"/>
      <c r="BL344" s="433"/>
      <c r="BM344" s="400" t="s">
        <v>127</v>
      </c>
      <c r="BN344" s="400"/>
      <c r="BO344" s="400"/>
      <c r="BP344" s="400"/>
      <c r="BQ344" s="400"/>
      <c r="BR344" s="400"/>
      <c r="BS344" s="400"/>
      <c r="BT344" s="400"/>
    </row>
    <row r="345" spans="57:97" ht="15" hidden="1" x14ac:dyDescent="0.25">
      <c r="BE345" s="434">
        <v>0.6</v>
      </c>
      <c r="BF345" s="432"/>
      <c r="BG345" s="432"/>
      <c r="BH345" s="216">
        <f>BH344*BE345</f>
        <v>9720</v>
      </c>
      <c r="BI345" s="432" t="s">
        <v>128</v>
      </c>
      <c r="BJ345" s="432"/>
      <c r="BK345" s="432"/>
      <c r="BL345" s="432"/>
      <c r="BM345" s="432"/>
      <c r="BN345" s="432" t="s">
        <v>129</v>
      </c>
      <c r="BO345" s="432"/>
      <c r="BP345" s="432"/>
      <c r="BQ345" s="432"/>
      <c r="BR345" s="432"/>
      <c r="BS345" s="432"/>
      <c r="BT345" s="432"/>
      <c r="CD345" s="444" t="s">
        <v>368</v>
      </c>
      <c r="CE345" s="441"/>
      <c r="CF345" s="441"/>
      <c r="CG345" s="441"/>
      <c r="CH345" s="441"/>
      <c r="CI345" s="441"/>
      <c r="CJ345" s="441"/>
      <c r="CM345" s="444" t="s">
        <v>366</v>
      </c>
      <c r="CN345" s="441"/>
      <c r="CO345" s="441"/>
      <c r="CP345" s="441"/>
      <c r="CQ345" s="441"/>
      <c r="CR345" s="441"/>
      <c r="CS345" s="441"/>
    </row>
    <row r="346" spans="57:97" ht="15" hidden="1" x14ac:dyDescent="0.25">
      <c r="BE346" s="432">
        <v>211</v>
      </c>
      <c r="BF346" s="432"/>
      <c r="BG346" s="432"/>
      <c r="BH346" s="216">
        <f>BH345-BH347</f>
        <v>7465.4377880184329</v>
      </c>
      <c r="BI346" s="435">
        <f>BH346*0.2</f>
        <v>1493.0875576036867</v>
      </c>
      <c r="BJ346" s="435"/>
      <c r="BK346" s="435"/>
      <c r="BL346" s="435"/>
      <c r="BM346" s="435"/>
      <c r="BN346" s="436">
        <f>BH346-BI346</f>
        <v>5972.350230414746</v>
      </c>
      <c r="BO346" s="445"/>
      <c r="BP346" s="445"/>
      <c r="BQ346" s="445"/>
      <c r="BR346" s="445"/>
      <c r="BS346" s="445"/>
      <c r="BT346" s="445"/>
      <c r="CD346" s="437">
        <f>BI346*15/20</f>
        <v>1119.8156682027652</v>
      </c>
      <c r="CE346" s="446"/>
      <c r="CF346" s="446"/>
      <c r="CG346" s="446"/>
      <c r="CH346" s="446"/>
      <c r="CI346" s="446"/>
      <c r="CJ346" s="446"/>
      <c r="CM346" s="437">
        <f>BI346*5/20</f>
        <v>373.27188940092168</v>
      </c>
      <c r="CN346" s="446"/>
      <c r="CO346" s="446"/>
      <c r="CP346" s="446"/>
      <c r="CQ346" s="446"/>
      <c r="CR346" s="446"/>
      <c r="CS346" s="446"/>
    </row>
    <row r="347" spans="57:97" ht="12" hidden="1" x14ac:dyDescent="0.2">
      <c r="BE347" s="432">
        <v>213</v>
      </c>
      <c r="BF347" s="432"/>
      <c r="BG347" s="432"/>
      <c r="BH347" s="216">
        <f>BH345*30.2/130.2</f>
        <v>2254.5622119815671</v>
      </c>
      <c r="BI347" s="435">
        <f>BI346*30.2%</f>
        <v>450.91244239631339</v>
      </c>
      <c r="BJ347" s="435"/>
      <c r="BK347" s="435"/>
      <c r="BL347" s="435"/>
      <c r="BM347" s="435"/>
      <c r="BN347" s="435">
        <f>BN346*30.2%</f>
        <v>1803.6497695852531</v>
      </c>
      <c r="BO347" s="435"/>
      <c r="BP347" s="435"/>
      <c r="BQ347" s="435"/>
      <c r="BR347" s="435"/>
      <c r="BS347" s="435"/>
      <c r="BT347" s="435"/>
    </row>
    <row r="348" spans="57:97" ht="8.25" hidden="1" customHeight="1" x14ac:dyDescent="0.2"/>
    <row r="349" spans="57:97" ht="8.25" hidden="1" customHeight="1" x14ac:dyDescent="0.2"/>
    <row r="350" spans="57:97" ht="8.25" hidden="1" customHeight="1" x14ac:dyDescent="0.2"/>
    <row r="351" spans="57:97" ht="12" hidden="1" x14ac:dyDescent="0.2">
      <c r="BE351" s="432" t="s">
        <v>604</v>
      </c>
      <c r="BF351" s="432"/>
      <c r="BG351" s="432"/>
      <c r="BH351" s="432"/>
      <c r="BI351" s="432"/>
      <c r="BJ351" s="432"/>
      <c r="BK351" s="432"/>
      <c r="BL351" s="432"/>
      <c r="BM351" s="432"/>
      <c r="BN351" s="432"/>
      <c r="BO351" s="432"/>
      <c r="BP351" s="432"/>
      <c r="BQ351" s="432"/>
      <c r="BR351" s="432"/>
      <c r="BS351" s="432"/>
      <c r="BT351" s="432"/>
      <c r="BU351" s="432"/>
      <c r="BV351" s="432"/>
      <c r="BW351" s="432"/>
      <c r="BX351" s="432"/>
      <c r="BY351" s="432"/>
      <c r="BZ351" s="432"/>
      <c r="CA351" s="432"/>
    </row>
    <row r="352" spans="57:97" ht="12" hidden="1" x14ac:dyDescent="0.2">
      <c r="BE352" s="432" t="s">
        <v>126</v>
      </c>
      <c r="BF352" s="432"/>
      <c r="BG352" s="432"/>
      <c r="BH352" s="433">
        <f>300*25</f>
        <v>7500</v>
      </c>
      <c r="BI352" s="433"/>
      <c r="BJ352" s="433"/>
      <c r="BK352" s="433"/>
      <c r="BL352" s="433"/>
      <c r="BM352" s="400" t="s">
        <v>127</v>
      </c>
      <c r="BN352" s="400"/>
      <c r="BO352" s="400"/>
      <c r="BP352" s="400"/>
      <c r="BQ352" s="400"/>
      <c r="BR352" s="400"/>
      <c r="BS352" s="400"/>
      <c r="BT352" s="400"/>
    </row>
    <row r="353" spans="57:97" ht="15" hidden="1" x14ac:dyDescent="0.25">
      <c r="BE353" s="434">
        <v>0.6</v>
      </c>
      <c r="BF353" s="432"/>
      <c r="BG353" s="432"/>
      <c r="BH353" s="216">
        <f>BH352*BE353</f>
        <v>4500</v>
      </c>
      <c r="BI353" s="432" t="s">
        <v>128</v>
      </c>
      <c r="BJ353" s="432"/>
      <c r="BK353" s="432"/>
      <c r="BL353" s="432"/>
      <c r="BM353" s="432"/>
      <c r="BN353" s="432" t="s">
        <v>129</v>
      </c>
      <c r="BO353" s="432"/>
      <c r="BP353" s="432"/>
      <c r="BQ353" s="432"/>
      <c r="BR353" s="432"/>
      <c r="BS353" s="432"/>
      <c r="BT353" s="432"/>
      <c r="CD353" s="444" t="s">
        <v>368</v>
      </c>
      <c r="CE353" s="441"/>
      <c r="CF353" s="441"/>
      <c r="CG353" s="441"/>
      <c r="CH353" s="441"/>
      <c r="CI353" s="441"/>
      <c r="CJ353" s="441"/>
      <c r="CM353" s="444" t="s">
        <v>366</v>
      </c>
      <c r="CN353" s="441"/>
      <c r="CO353" s="441"/>
      <c r="CP353" s="441"/>
      <c r="CQ353" s="441"/>
      <c r="CR353" s="441"/>
      <c r="CS353" s="441"/>
    </row>
    <row r="354" spans="57:97" ht="15" hidden="1" x14ac:dyDescent="0.25">
      <c r="BE354" s="432">
        <v>211</v>
      </c>
      <c r="BF354" s="432"/>
      <c r="BG354" s="432"/>
      <c r="BH354" s="216">
        <f>BH353-BH355</f>
        <v>3456.221198156682</v>
      </c>
      <c r="BI354" s="435">
        <f>BH354*0.2</f>
        <v>691.24423963133643</v>
      </c>
      <c r="BJ354" s="435"/>
      <c r="BK354" s="435"/>
      <c r="BL354" s="435"/>
      <c r="BM354" s="435"/>
      <c r="BN354" s="436">
        <f>BH354-BI354</f>
        <v>2764.9769585253457</v>
      </c>
      <c r="BO354" s="445"/>
      <c r="BP354" s="445"/>
      <c r="BQ354" s="445"/>
      <c r="BR354" s="445"/>
      <c r="BS354" s="445"/>
      <c r="BT354" s="445"/>
      <c r="CD354" s="437">
        <f>BI354*15/20</f>
        <v>518.43317972350235</v>
      </c>
      <c r="CE354" s="446"/>
      <c r="CF354" s="446"/>
      <c r="CG354" s="446"/>
      <c r="CH354" s="446"/>
      <c r="CI354" s="446"/>
      <c r="CJ354" s="446"/>
      <c r="CM354" s="437">
        <f>BI354*5/20</f>
        <v>172.81105990783411</v>
      </c>
      <c r="CN354" s="446"/>
      <c r="CO354" s="446"/>
      <c r="CP354" s="446"/>
      <c r="CQ354" s="446"/>
      <c r="CR354" s="446"/>
      <c r="CS354" s="446"/>
    </row>
    <row r="355" spans="57:97" ht="12" hidden="1" x14ac:dyDescent="0.2">
      <c r="BE355" s="432">
        <v>213</v>
      </c>
      <c r="BF355" s="432"/>
      <c r="BG355" s="432"/>
      <c r="BH355" s="216">
        <f>BH353*30.2/130.2</f>
        <v>1043.778801843318</v>
      </c>
      <c r="BI355" s="435">
        <f>BI354*30.2%</f>
        <v>208.7557603686636</v>
      </c>
      <c r="BJ355" s="435"/>
      <c r="BK355" s="435"/>
      <c r="BL355" s="435"/>
      <c r="BM355" s="435"/>
      <c r="BN355" s="435">
        <f>BN354*30.2%</f>
        <v>835.02304147465441</v>
      </c>
      <c r="BO355" s="435"/>
      <c r="BP355" s="435"/>
      <c r="BQ355" s="435"/>
      <c r="BR355" s="435"/>
      <c r="BS355" s="435"/>
      <c r="BT355" s="435"/>
    </row>
    <row r="356" spans="57:97" ht="12" hidden="1" x14ac:dyDescent="0.2"/>
    <row r="357" spans="57:97" ht="8.25" hidden="1" customHeight="1" x14ac:dyDescent="0.2"/>
    <row r="358" spans="57:97" ht="12" hidden="1" x14ac:dyDescent="0.2">
      <c r="BE358" s="432" t="s">
        <v>635</v>
      </c>
      <c r="BF358" s="432"/>
      <c r="BG358" s="432"/>
      <c r="BH358" s="432"/>
      <c r="BI358" s="432"/>
      <c r="BJ358" s="432"/>
      <c r="BK358" s="432"/>
      <c r="BL358" s="432"/>
      <c r="BM358" s="432"/>
      <c r="BN358" s="432"/>
      <c r="BO358" s="432"/>
      <c r="BP358" s="432"/>
      <c r="BQ358" s="432"/>
      <c r="BR358" s="432"/>
      <c r="BS358" s="432"/>
      <c r="BT358" s="432"/>
      <c r="BU358" s="432"/>
      <c r="BV358" s="432"/>
      <c r="BW358" s="432"/>
      <c r="BX358" s="432"/>
      <c r="BY358" s="432"/>
      <c r="BZ358" s="432"/>
      <c r="CA358" s="432"/>
    </row>
    <row r="359" spans="57:97" ht="12" hidden="1" x14ac:dyDescent="0.2">
      <c r="BE359" s="432" t="s">
        <v>126</v>
      </c>
      <c r="BF359" s="432"/>
      <c r="BG359" s="432"/>
      <c r="BH359" s="433">
        <f>300*117</f>
        <v>35100</v>
      </c>
      <c r="BI359" s="433"/>
      <c r="BJ359" s="433"/>
      <c r="BK359" s="433"/>
      <c r="BL359" s="433"/>
      <c r="BM359" s="400" t="s">
        <v>127</v>
      </c>
      <c r="BN359" s="400"/>
      <c r="BO359" s="400"/>
      <c r="BP359" s="400"/>
      <c r="BQ359" s="400"/>
      <c r="BR359" s="400"/>
      <c r="BS359" s="400"/>
      <c r="BT359" s="400"/>
    </row>
    <row r="360" spans="57:97" ht="15" hidden="1" x14ac:dyDescent="0.25">
      <c r="BE360" s="434">
        <v>0.6</v>
      </c>
      <c r="BF360" s="432"/>
      <c r="BG360" s="432"/>
      <c r="BH360" s="216">
        <f>BH359*BE360</f>
        <v>21060</v>
      </c>
      <c r="BI360" s="432" t="s">
        <v>128</v>
      </c>
      <c r="BJ360" s="432"/>
      <c r="BK360" s="432"/>
      <c r="BL360" s="432"/>
      <c r="BM360" s="432"/>
      <c r="BN360" s="432" t="s">
        <v>129</v>
      </c>
      <c r="BO360" s="432"/>
      <c r="BP360" s="432"/>
      <c r="BQ360" s="432"/>
      <c r="BR360" s="432"/>
      <c r="BS360" s="432"/>
      <c r="BT360" s="432"/>
      <c r="CD360" s="444" t="s">
        <v>368</v>
      </c>
      <c r="CE360" s="441"/>
      <c r="CF360" s="441"/>
      <c r="CG360" s="441"/>
      <c r="CH360" s="441"/>
      <c r="CI360" s="441"/>
      <c r="CJ360" s="441"/>
      <c r="CM360" s="444" t="s">
        <v>366</v>
      </c>
      <c r="CN360" s="441"/>
      <c r="CO360" s="441"/>
      <c r="CP360" s="441"/>
      <c r="CQ360" s="441"/>
      <c r="CR360" s="441"/>
      <c r="CS360" s="441"/>
    </row>
    <row r="361" spans="57:97" ht="15" hidden="1" x14ac:dyDescent="0.25">
      <c r="BE361" s="432">
        <v>211</v>
      </c>
      <c r="BF361" s="432"/>
      <c r="BG361" s="432"/>
      <c r="BH361" s="216">
        <f>BH360-BH362</f>
        <v>16175.115207373272</v>
      </c>
      <c r="BI361" s="435">
        <f>BH361*0.2</f>
        <v>3235.0230414746547</v>
      </c>
      <c r="BJ361" s="435"/>
      <c r="BK361" s="435"/>
      <c r="BL361" s="435"/>
      <c r="BM361" s="435"/>
      <c r="BN361" s="436">
        <f>BH361-BI361</f>
        <v>12940.092165898617</v>
      </c>
      <c r="BO361" s="445"/>
      <c r="BP361" s="445"/>
      <c r="BQ361" s="445"/>
      <c r="BR361" s="445"/>
      <c r="BS361" s="445"/>
      <c r="BT361" s="445"/>
      <c r="CD361" s="437">
        <f>BI361*15/20</f>
        <v>2426.2672811059911</v>
      </c>
      <c r="CE361" s="446"/>
      <c r="CF361" s="446"/>
      <c r="CG361" s="446"/>
      <c r="CH361" s="446"/>
      <c r="CI361" s="446"/>
      <c r="CJ361" s="446"/>
      <c r="CM361" s="437">
        <f>BI361*5/20</f>
        <v>808.75576036866369</v>
      </c>
      <c r="CN361" s="446"/>
      <c r="CO361" s="446"/>
      <c r="CP361" s="446"/>
      <c r="CQ361" s="446"/>
      <c r="CR361" s="446"/>
      <c r="CS361" s="446"/>
    </row>
    <row r="362" spans="57:97" ht="12" hidden="1" x14ac:dyDescent="0.2">
      <c r="BE362" s="432">
        <v>213</v>
      </c>
      <c r="BF362" s="432"/>
      <c r="BG362" s="432"/>
      <c r="BH362" s="216">
        <f>BH360*30.2/130.2</f>
        <v>4884.8847926267281</v>
      </c>
      <c r="BI362" s="435">
        <f>BI361*30.2%</f>
        <v>976.97695852534571</v>
      </c>
      <c r="BJ362" s="435"/>
      <c r="BK362" s="435"/>
      <c r="BL362" s="435"/>
      <c r="BM362" s="435"/>
      <c r="BN362" s="435">
        <f>BN361*30.2%</f>
        <v>3907.9078341013824</v>
      </c>
      <c r="BO362" s="435"/>
      <c r="BP362" s="435"/>
      <c r="BQ362" s="435"/>
      <c r="BR362" s="435"/>
      <c r="BS362" s="435"/>
      <c r="BT362" s="435"/>
    </row>
    <row r="363" spans="57:97" ht="8.25" hidden="1" customHeight="1" x14ac:dyDescent="0.2"/>
    <row r="364" spans="57:97" ht="8.25" hidden="1" customHeight="1" x14ac:dyDescent="0.2"/>
    <row r="365" spans="57:97" ht="12" hidden="1" x14ac:dyDescent="0.2">
      <c r="BE365" s="432" t="s">
        <v>649</v>
      </c>
      <c r="BF365" s="432"/>
      <c r="BG365" s="432"/>
      <c r="BH365" s="432"/>
      <c r="BI365" s="432"/>
      <c r="BJ365" s="432"/>
      <c r="BK365" s="432"/>
      <c r="BL365" s="432"/>
      <c r="BM365" s="432"/>
      <c r="BN365" s="432"/>
      <c r="BO365" s="432"/>
      <c r="BP365" s="432"/>
      <c r="BQ365" s="432"/>
      <c r="BR365" s="432"/>
      <c r="BS365" s="432"/>
      <c r="BT365" s="432"/>
      <c r="BU365" s="432"/>
      <c r="BV365" s="432"/>
      <c r="BW365" s="432"/>
      <c r="BX365" s="432"/>
      <c r="BY365" s="432"/>
      <c r="BZ365" s="432"/>
      <c r="CA365" s="432"/>
    </row>
    <row r="366" spans="57:97" ht="12" hidden="1" x14ac:dyDescent="0.2">
      <c r="BE366" s="432" t="s">
        <v>126</v>
      </c>
      <c r="BF366" s="432"/>
      <c r="BG366" s="432"/>
      <c r="BH366" s="433">
        <f>300*103</f>
        <v>30900</v>
      </c>
      <c r="BI366" s="433"/>
      <c r="BJ366" s="433"/>
      <c r="BK366" s="433"/>
      <c r="BL366" s="433"/>
      <c r="BM366" s="400" t="s">
        <v>127</v>
      </c>
      <c r="BN366" s="400"/>
      <c r="BO366" s="400"/>
      <c r="BP366" s="400"/>
      <c r="BQ366" s="400"/>
      <c r="BR366" s="400"/>
      <c r="BS366" s="400"/>
      <c r="BT366" s="400"/>
    </row>
    <row r="367" spans="57:97" ht="15" hidden="1" x14ac:dyDescent="0.25">
      <c r="BE367" s="434">
        <v>0.6</v>
      </c>
      <c r="BF367" s="432"/>
      <c r="BG367" s="432"/>
      <c r="BH367" s="216">
        <f>BH366*BE367</f>
        <v>18540</v>
      </c>
      <c r="BI367" s="432" t="s">
        <v>128</v>
      </c>
      <c r="BJ367" s="432"/>
      <c r="BK367" s="432"/>
      <c r="BL367" s="432"/>
      <c r="BM367" s="432"/>
      <c r="BN367" s="432" t="s">
        <v>129</v>
      </c>
      <c r="BO367" s="432"/>
      <c r="BP367" s="432"/>
      <c r="BQ367" s="432"/>
      <c r="BR367" s="432"/>
      <c r="BS367" s="432"/>
      <c r="BT367" s="432"/>
      <c r="CD367" s="444" t="s">
        <v>368</v>
      </c>
      <c r="CE367" s="441"/>
      <c r="CF367" s="441"/>
      <c r="CG367" s="441"/>
      <c r="CH367" s="441"/>
      <c r="CI367" s="441"/>
      <c r="CJ367" s="441"/>
      <c r="CM367" s="444" t="s">
        <v>366</v>
      </c>
      <c r="CN367" s="441"/>
      <c r="CO367" s="441"/>
      <c r="CP367" s="441"/>
      <c r="CQ367" s="441"/>
      <c r="CR367" s="441"/>
      <c r="CS367" s="441"/>
    </row>
    <row r="368" spans="57:97" ht="15" hidden="1" x14ac:dyDescent="0.25">
      <c r="BE368" s="432">
        <v>211</v>
      </c>
      <c r="BF368" s="432"/>
      <c r="BG368" s="432"/>
      <c r="BH368" s="216">
        <f>BH367-BH369</f>
        <v>14239.63133640553</v>
      </c>
      <c r="BI368" s="435">
        <f>BH368*0.2</f>
        <v>2847.926267281106</v>
      </c>
      <c r="BJ368" s="435"/>
      <c r="BK368" s="435"/>
      <c r="BL368" s="435"/>
      <c r="BM368" s="435"/>
      <c r="BN368" s="436">
        <f>BH368-BI368</f>
        <v>11391.705069124424</v>
      </c>
      <c r="BO368" s="445"/>
      <c r="BP368" s="445"/>
      <c r="BQ368" s="445"/>
      <c r="BR368" s="445"/>
      <c r="BS368" s="445"/>
      <c r="BT368" s="445"/>
      <c r="CD368" s="437">
        <f>BI368*15/20</f>
        <v>2135.9447004608292</v>
      </c>
      <c r="CE368" s="446"/>
      <c r="CF368" s="446"/>
      <c r="CG368" s="446"/>
      <c r="CH368" s="446"/>
      <c r="CI368" s="446"/>
      <c r="CJ368" s="446"/>
      <c r="CM368" s="437">
        <f>BI368*5/20</f>
        <v>711.9815668202765</v>
      </c>
      <c r="CN368" s="446"/>
      <c r="CO368" s="446"/>
      <c r="CP368" s="446"/>
      <c r="CQ368" s="446"/>
      <c r="CR368" s="446"/>
      <c r="CS368" s="446"/>
    </row>
    <row r="369" spans="57:72" ht="12" hidden="1" x14ac:dyDescent="0.2">
      <c r="BE369" s="432">
        <v>213</v>
      </c>
      <c r="BF369" s="432"/>
      <c r="BG369" s="432"/>
      <c r="BH369" s="216">
        <f>BH367*30.2/130.2</f>
        <v>4300.3686635944705</v>
      </c>
      <c r="BI369" s="435">
        <f>BI368*30.2%</f>
        <v>860.07373271889401</v>
      </c>
      <c r="BJ369" s="435"/>
      <c r="BK369" s="435"/>
      <c r="BL369" s="435"/>
      <c r="BM369" s="435"/>
      <c r="BN369" s="435">
        <f>BN368*30.2%</f>
        <v>3440.294930875576</v>
      </c>
      <c r="BO369" s="435"/>
      <c r="BP369" s="435"/>
      <c r="BQ369" s="435"/>
      <c r="BR369" s="435"/>
      <c r="BS369" s="435"/>
      <c r="BT369" s="435"/>
    </row>
    <row r="370" spans="57:72" ht="8.25" hidden="1" customHeight="1" x14ac:dyDescent="0.2"/>
  </sheetData>
  <mergeCells count="831">
    <mergeCell ref="BE369:BG369"/>
    <mergeCell ref="BI369:BM369"/>
    <mergeCell ref="BN369:BT369"/>
    <mergeCell ref="BE367:BG367"/>
    <mergeCell ref="BI367:BM367"/>
    <mergeCell ref="BN367:BT367"/>
    <mergeCell ref="CD367:CJ367"/>
    <mergeCell ref="CM367:CS367"/>
    <mergeCell ref="BE368:BG368"/>
    <mergeCell ref="BI368:BM368"/>
    <mergeCell ref="BN368:BT368"/>
    <mergeCell ref="CD368:CJ368"/>
    <mergeCell ref="CM368:CS368"/>
    <mergeCell ref="BE362:BG362"/>
    <mergeCell ref="BI362:BM362"/>
    <mergeCell ref="BN362:BT362"/>
    <mergeCell ref="BE365:CA365"/>
    <mergeCell ref="BE366:BG366"/>
    <mergeCell ref="BH366:BL366"/>
    <mergeCell ref="BE360:BG360"/>
    <mergeCell ref="BI360:BM360"/>
    <mergeCell ref="BN360:BT360"/>
    <mergeCell ref="CD360:CJ360"/>
    <mergeCell ref="CM360:CS360"/>
    <mergeCell ref="BE361:BG361"/>
    <mergeCell ref="BI361:BM361"/>
    <mergeCell ref="BN361:BT361"/>
    <mergeCell ref="CD361:CJ361"/>
    <mergeCell ref="CM361:CS361"/>
    <mergeCell ref="BE355:BG355"/>
    <mergeCell ref="BI355:BM355"/>
    <mergeCell ref="BN355:BT355"/>
    <mergeCell ref="BE358:CA358"/>
    <mergeCell ref="BE359:BG359"/>
    <mergeCell ref="BH359:BL359"/>
    <mergeCell ref="BE353:BG353"/>
    <mergeCell ref="BI353:BM353"/>
    <mergeCell ref="BN353:BT353"/>
    <mergeCell ref="CD353:CJ353"/>
    <mergeCell ref="CM353:CS353"/>
    <mergeCell ref="BE354:BG354"/>
    <mergeCell ref="BI354:BM354"/>
    <mergeCell ref="BN354:BT354"/>
    <mergeCell ref="CD354:CJ354"/>
    <mergeCell ref="CM354:CS354"/>
    <mergeCell ref="BE347:BG347"/>
    <mergeCell ref="BI347:BM347"/>
    <mergeCell ref="BN347:BT347"/>
    <mergeCell ref="BE351:CA351"/>
    <mergeCell ref="BE352:BG352"/>
    <mergeCell ref="BH352:BL352"/>
    <mergeCell ref="BE345:BG345"/>
    <mergeCell ref="BI345:BM345"/>
    <mergeCell ref="BN345:BT345"/>
    <mergeCell ref="CD345:CJ345"/>
    <mergeCell ref="CM345:CS345"/>
    <mergeCell ref="BE346:BG346"/>
    <mergeCell ref="BI346:BM346"/>
    <mergeCell ref="BN346:BT346"/>
    <mergeCell ref="CD346:CJ346"/>
    <mergeCell ref="CM346:CS346"/>
    <mergeCell ref="BE340:BG340"/>
    <mergeCell ref="BI340:BM340"/>
    <mergeCell ref="BN340:BT340"/>
    <mergeCell ref="BE343:CA343"/>
    <mergeCell ref="BE344:BG344"/>
    <mergeCell ref="BH344:BL344"/>
    <mergeCell ref="BE338:BG338"/>
    <mergeCell ref="BI338:BM338"/>
    <mergeCell ref="BN338:BT338"/>
    <mergeCell ref="CD338:CJ338"/>
    <mergeCell ref="CM338:CS338"/>
    <mergeCell ref="BE339:BG339"/>
    <mergeCell ref="BI339:BM339"/>
    <mergeCell ref="BN339:BT339"/>
    <mergeCell ref="CD339:CJ339"/>
    <mergeCell ref="CM339:CS339"/>
    <mergeCell ref="BE334:BG334"/>
    <mergeCell ref="BI334:BM334"/>
    <mergeCell ref="BN334:BT334"/>
    <mergeCell ref="BE336:CA336"/>
    <mergeCell ref="BE337:BG337"/>
    <mergeCell ref="BH337:BL337"/>
    <mergeCell ref="BE332:BG332"/>
    <mergeCell ref="BI332:BM332"/>
    <mergeCell ref="BN332:BT332"/>
    <mergeCell ref="CD332:CJ332"/>
    <mergeCell ref="CM332:CS332"/>
    <mergeCell ref="BE333:BG333"/>
    <mergeCell ref="BI333:BM333"/>
    <mergeCell ref="BN333:BT333"/>
    <mergeCell ref="CD333:CJ333"/>
    <mergeCell ref="CM333:CS333"/>
    <mergeCell ref="BE325:BG325"/>
    <mergeCell ref="BI325:BM325"/>
    <mergeCell ref="BN325:BT325"/>
    <mergeCell ref="CM329:CR329"/>
    <mergeCell ref="BE330:CA330"/>
    <mergeCell ref="BE331:BG331"/>
    <mergeCell ref="BH331:BL331"/>
    <mergeCell ref="BE323:BG323"/>
    <mergeCell ref="BI323:BM323"/>
    <mergeCell ref="BN323:BT323"/>
    <mergeCell ref="CD323:CJ323"/>
    <mergeCell ref="CM323:CS323"/>
    <mergeCell ref="BE324:BG324"/>
    <mergeCell ref="BI324:BM324"/>
    <mergeCell ref="BN324:BT324"/>
    <mergeCell ref="CD324:CJ324"/>
    <mergeCell ref="CM324:CS324"/>
    <mergeCell ref="BE318:BG318"/>
    <mergeCell ref="BI318:BM318"/>
    <mergeCell ref="BN318:BT318"/>
    <mergeCell ref="BE321:CA321"/>
    <mergeCell ref="BE322:BG322"/>
    <mergeCell ref="BH322:BL322"/>
    <mergeCell ref="BE316:BG316"/>
    <mergeCell ref="BI316:BM316"/>
    <mergeCell ref="BN316:BT316"/>
    <mergeCell ref="CD316:CJ316"/>
    <mergeCell ref="CM316:CS316"/>
    <mergeCell ref="BE317:BG317"/>
    <mergeCell ref="BI317:BM317"/>
    <mergeCell ref="BN317:BT317"/>
    <mergeCell ref="CD317:CJ317"/>
    <mergeCell ref="CM317:CS317"/>
    <mergeCell ref="BE310:BG310"/>
    <mergeCell ref="BI310:BM310"/>
    <mergeCell ref="BN310:BT310"/>
    <mergeCell ref="BE314:CA314"/>
    <mergeCell ref="BE315:BG315"/>
    <mergeCell ref="BH315:BL315"/>
    <mergeCell ref="BE308:BG308"/>
    <mergeCell ref="BI308:BM308"/>
    <mergeCell ref="BN308:BT308"/>
    <mergeCell ref="CD308:CJ308"/>
    <mergeCell ref="CM308:CS308"/>
    <mergeCell ref="BE309:BG309"/>
    <mergeCell ref="BI309:BM309"/>
    <mergeCell ref="BN309:BT309"/>
    <mergeCell ref="CD309:CJ309"/>
    <mergeCell ref="CM309:CS309"/>
    <mergeCell ref="BE302:BG302"/>
    <mergeCell ref="BI302:BM302"/>
    <mergeCell ref="BN302:BT302"/>
    <mergeCell ref="BE306:CA306"/>
    <mergeCell ref="BE307:BG307"/>
    <mergeCell ref="BH307:BL307"/>
    <mergeCell ref="BE300:BG300"/>
    <mergeCell ref="BI300:BM300"/>
    <mergeCell ref="BN300:BT300"/>
    <mergeCell ref="CD300:CJ300"/>
    <mergeCell ref="CM300:CS300"/>
    <mergeCell ref="BE301:BG301"/>
    <mergeCell ref="BI301:BM301"/>
    <mergeCell ref="BN301:BT301"/>
    <mergeCell ref="CD301:CJ301"/>
    <mergeCell ref="CM301:CS301"/>
    <mergeCell ref="BE294:BG294"/>
    <mergeCell ref="BI294:BM294"/>
    <mergeCell ref="BN294:BT294"/>
    <mergeCell ref="BE298:CA298"/>
    <mergeCell ref="BE299:BG299"/>
    <mergeCell ref="BH299:BL299"/>
    <mergeCell ref="BE292:BG292"/>
    <mergeCell ref="BI292:BM292"/>
    <mergeCell ref="BN292:BT292"/>
    <mergeCell ref="CD292:CJ292"/>
    <mergeCell ref="CM292:CS292"/>
    <mergeCell ref="BE293:BG293"/>
    <mergeCell ref="BI293:BM293"/>
    <mergeCell ref="BN293:BT293"/>
    <mergeCell ref="CD293:CJ293"/>
    <mergeCell ref="CM293:CS293"/>
    <mergeCell ref="BE287:BG287"/>
    <mergeCell ref="BI287:BM287"/>
    <mergeCell ref="BN287:BT287"/>
    <mergeCell ref="BE290:CA290"/>
    <mergeCell ref="BE291:BG291"/>
    <mergeCell ref="BH291:BL291"/>
    <mergeCell ref="BE285:BG285"/>
    <mergeCell ref="BI285:BM285"/>
    <mergeCell ref="BN285:BT285"/>
    <mergeCell ref="CD285:CJ285"/>
    <mergeCell ref="CM285:CS285"/>
    <mergeCell ref="BE286:BG286"/>
    <mergeCell ref="BI286:BM286"/>
    <mergeCell ref="BN286:BT286"/>
    <mergeCell ref="CD286:CJ286"/>
    <mergeCell ref="CM286:CS286"/>
    <mergeCell ref="BE280:BG280"/>
    <mergeCell ref="BI280:BM280"/>
    <mergeCell ref="BN280:BT280"/>
    <mergeCell ref="BE283:CA283"/>
    <mergeCell ref="BE284:BG284"/>
    <mergeCell ref="BH284:BL284"/>
    <mergeCell ref="BE278:BG278"/>
    <mergeCell ref="BI278:BM278"/>
    <mergeCell ref="BN278:BT278"/>
    <mergeCell ref="CD278:CJ278"/>
    <mergeCell ref="CM278:CS278"/>
    <mergeCell ref="BE279:BG279"/>
    <mergeCell ref="BI279:BM279"/>
    <mergeCell ref="BN279:BT279"/>
    <mergeCell ref="CD279:CJ279"/>
    <mergeCell ref="CM279:CS279"/>
    <mergeCell ref="BE273:BG273"/>
    <mergeCell ref="BI273:BM273"/>
    <mergeCell ref="BN273:BT273"/>
    <mergeCell ref="BE276:CA276"/>
    <mergeCell ref="BE277:BG277"/>
    <mergeCell ref="BH277:BL277"/>
    <mergeCell ref="BE271:BG271"/>
    <mergeCell ref="BI271:BM271"/>
    <mergeCell ref="BN271:BT271"/>
    <mergeCell ref="CD271:CJ271"/>
    <mergeCell ref="CM271:CS271"/>
    <mergeCell ref="BE272:BG272"/>
    <mergeCell ref="BI272:BM272"/>
    <mergeCell ref="BN272:BT272"/>
    <mergeCell ref="CD272:CJ272"/>
    <mergeCell ref="CM272:CS272"/>
    <mergeCell ref="BE265:BG265"/>
    <mergeCell ref="BI265:BM265"/>
    <mergeCell ref="BN265:BT265"/>
    <mergeCell ref="BE269:CA269"/>
    <mergeCell ref="BE270:BG270"/>
    <mergeCell ref="BH270:BL270"/>
    <mergeCell ref="BE263:BG263"/>
    <mergeCell ref="BI263:BM263"/>
    <mergeCell ref="BN263:BT263"/>
    <mergeCell ref="CD263:CJ263"/>
    <mergeCell ref="CM263:CS263"/>
    <mergeCell ref="BE264:BG264"/>
    <mergeCell ref="BI264:BM264"/>
    <mergeCell ref="BN264:BT264"/>
    <mergeCell ref="CD264:CJ264"/>
    <mergeCell ref="CM264:CS264"/>
    <mergeCell ref="BE258:BG258"/>
    <mergeCell ref="BI258:BM258"/>
    <mergeCell ref="BN258:BT258"/>
    <mergeCell ref="BE261:CA261"/>
    <mergeCell ref="BE262:BG262"/>
    <mergeCell ref="BH262:BL262"/>
    <mergeCell ref="BE256:BG256"/>
    <mergeCell ref="BI256:BM256"/>
    <mergeCell ref="BN256:BT256"/>
    <mergeCell ref="CD256:CJ256"/>
    <mergeCell ref="CM256:CS256"/>
    <mergeCell ref="BE257:BG257"/>
    <mergeCell ref="BI257:BM257"/>
    <mergeCell ref="BN257:BT257"/>
    <mergeCell ref="CD257:CJ257"/>
    <mergeCell ref="CM257:CS257"/>
    <mergeCell ref="BE247:BG247"/>
    <mergeCell ref="BI247:BM247"/>
    <mergeCell ref="BN247:BT247"/>
    <mergeCell ref="BE254:CA254"/>
    <mergeCell ref="BE255:BG255"/>
    <mergeCell ref="BH255:BL255"/>
    <mergeCell ref="BE245:BG245"/>
    <mergeCell ref="BI245:BM245"/>
    <mergeCell ref="BN245:BT245"/>
    <mergeCell ref="CD245:CJ245"/>
    <mergeCell ref="CM245:CS245"/>
    <mergeCell ref="BE246:BG246"/>
    <mergeCell ref="BI246:BM246"/>
    <mergeCell ref="BN246:BT246"/>
    <mergeCell ref="CD246:CJ246"/>
    <mergeCell ref="CM246:CS246"/>
    <mergeCell ref="BE240:BG240"/>
    <mergeCell ref="BI240:BM240"/>
    <mergeCell ref="BN240:BT240"/>
    <mergeCell ref="BE243:CA243"/>
    <mergeCell ref="BE244:BG244"/>
    <mergeCell ref="BH244:BL244"/>
    <mergeCell ref="BE238:BG238"/>
    <mergeCell ref="BI238:BM238"/>
    <mergeCell ref="BN238:BT238"/>
    <mergeCell ref="CD238:CJ238"/>
    <mergeCell ref="CM238:CS238"/>
    <mergeCell ref="BE239:BG239"/>
    <mergeCell ref="BI239:BM239"/>
    <mergeCell ref="BN239:BT239"/>
    <mergeCell ref="CD239:CJ239"/>
    <mergeCell ref="CM239:CS239"/>
    <mergeCell ref="BE232:BG232"/>
    <mergeCell ref="BI232:BM232"/>
    <mergeCell ref="BN232:BT232"/>
    <mergeCell ref="BE236:CA236"/>
    <mergeCell ref="BE237:BG237"/>
    <mergeCell ref="BH237:BL237"/>
    <mergeCell ref="BE230:BG230"/>
    <mergeCell ref="BI230:BM230"/>
    <mergeCell ref="BN230:BT230"/>
    <mergeCell ref="CD230:CJ230"/>
    <mergeCell ref="CM230:CS230"/>
    <mergeCell ref="BE231:BG231"/>
    <mergeCell ref="BI231:BM231"/>
    <mergeCell ref="BN231:BT231"/>
    <mergeCell ref="CD231:CJ231"/>
    <mergeCell ref="CM231:CS231"/>
    <mergeCell ref="BE225:BG225"/>
    <mergeCell ref="BI225:BM225"/>
    <mergeCell ref="BN225:BT225"/>
    <mergeCell ref="BE228:CA228"/>
    <mergeCell ref="BE229:BG229"/>
    <mergeCell ref="BH229:BL229"/>
    <mergeCell ref="BE223:BG223"/>
    <mergeCell ref="BI223:BM223"/>
    <mergeCell ref="BN223:BT223"/>
    <mergeCell ref="BE224:BG224"/>
    <mergeCell ref="BI224:BM224"/>
    <mergeCell ref="BN224:BT224"/>
    <mergeCell ref="BE218:BG218"/>
    <mergeCell ref="BI218:BM218"/>
    <mergeCell ref="BN218:BT218"/>
    <mergeCell ref="BE221:CA221"/>
    <mergeCell ref="BE222:BG222"/>
    <mergeCell ref="BH222:BL222"/>
    <mergeCell ref="BE216:BG216"/>
    <mergeCell ref="BI216:BM216"/>
    <mergeCell ref="BN216:BT216"/>
    <mergeCell ref="BE217:BG217"/>
    <mergeCell ref="BI217:BM217"/>
    <mergeCell ref="BN217:BT217"/>
    <mergeCell ref="BE213:BG213"/>
    <mergeCell ref="BI213:BM213"/>
    <mergeCell ref="BN213:BT213"/>
    <mergeCell ref="BE214:CA214"/>
    <mergeCell ref="BE215:BG215"/>
    <mergeCell ref="BH215:BL215"/>
    <mergeCell ref="BE211:BG211"/>
    <mergeCell ref="BI211:BM211"/>
    <mergeCell ref="BN211:BT211"/>
    <mergeCell ref="BE212:BG212"/>
    <mergeCell ref="BI212:BM212"/>
    <mergeCell ref="BN212:BT212"/>
    <mergeCell ref="BE206:BG206"/>
    <mergeCell ref="BI206:BM206"/>
    <mergeCell ref="BN206:BT206"/>
    <mergeCell ref="BE209:CA209"/>
    <mergeCell ref="BE210:BG210"/>
    <mergeCell ref="BH210:BL210"/>
    <mergeCell ref="BE204:BG204"/>
    <mergeCell ref="BI204:BM204"/>
    <mergeCell ref="BN204:BT204"/>
    <mergeCell ref="BE205:BG205"/>
    <mergeCell ref="BI205:BM205"/>
    <mergeCell ref="BN205:BT205"/>
    <mergeCell ref="BE199:BG199"/>
    <mergeCell ref="BI199:BM199"/>
    <mergeCell ref="BN199:BT199"/>
    <mergeCell ref="BE202:CA202"/>
    <mergeCell ref="BE203:BG203"/>
    <mergeCell ref="BH203:BL203"/>
    <mergeCell ref="BE197:BG197"/>
    <mergeCell ref="BI197:BM197"/>
    <mergeCell ref="BN197:BT197"/>
    <mergeCell ref="BE198:BG198"/>
    <mergeCell ref="BI198:BM198"/>
    <mergeCell ref="BN198:BT198"/>
    <mergeCell ref="BE192:BG192"/>
    <mergeCell ref="BI192:BM192"/>
    <mergeCell ref="BN192:BT192"/>
    <mergeCell ref="BE195:CA195"/>
    <mergeCell ref="BE196:BG196"/>
    <mergeCell ref="BH196:BL196"/>
    <mergeCell ref="BE190:BG190"/>
    <mergeCell ref="BI190:BM190"/>
    <mergeCell ref="BN190:BT190"/>
    <mergeCell ref="BE191:BG191"/>
    <mergeCell ref="BI191:BM191"/>
    <mergeCell ref="BN191:BT191"/>
    <mergeCell ref="BE185:BG185"/>
    <mergeCell ref="BI185:BM185"/>
    <mergeCell ref="BN185:BT185"/>
    <mergeCell ref="BE188:CA188"/>
    <mergeCell ref="BE189:BG189"/>
    <mergeCell ref="BH189:BL189"/>
    <mergeCell ref="BE183:BG183"/>
    <mergeCell ref="BI183:BM183"/>
    <mergeCell ref="BN183:BT183"/>
    <mergeCell ref="BE184:BG184"/>
    <mergeCell ref="BI184:BM184"/>
    <mergeCell ref="BN184:BT184"/>
    <mergeCell ref="BE178:BG178"/>
    <mergeCell ref="BI178:BM178"/>
    <mergeCell ref="BN178:BT178"/>
    <mergeCell ref="BE181:CA181"/>
    <mergeCell ref="BE182:BG182"/>
    <mergeCell ref="BH182:BL182"/>
    <mergeCell ref="BE176:BG176"/>
    <mergeCell ref="BI176:BM176"/>
    <mergeCell ref="BN176:BT176"/>
    <mergeCell ref="BE177:BG177"/>
    <mergeCell ref="BI177:BM177"/>
    <mergeCell ref="BN177:BT177"/>
    <mergeCell ref="BE171:BG171"/>
    <mergeCell ref="BI171:BM171"/>
    <mergeCell ref="BN171:BT171"/>
    <mergeCell ref="BE174:CA174"/>
    <mergeCell ref="BE175:BG175"/>
    <mergeCell ref="BH175:BL175"/>
    <mergeCell ref="BE169:BG169"/>
    <mergeCell ref="BI169:BM169"/>
    <mergeCell ref="BN169:BT169"/>
    <mergeCell ref="BE170:BG170"/>
    <mergeCell ref="BI170:BM170"/>
    <mergeCell ref="BN170:BT170"/>
    <mergeCell ref="BE163:BG163"/>
    <mergeCell ref="BI163:BM163"/>
    <mergeCell ref="BN163:BT163"/>
    <mergeCell ref="BE167:CA167"/>
    <mergeCell ref="BE168:BG168"/>
    <mergeCell ref="BH168:BL168"/>
    <mergeCell ref="BE161:BG161"/>
    <mergeCell ref="BI161:BM161"/>
    <mergeCell ref="BN161:BT161"/>
    <mergeCell ref="BE162:BG162"/>
    <mergeCell ref="BI162:BM162"/>
    <mergeCell ref="BN162:BT162"/>
    <mergeCell ref="BE156:BG156"/>
    <mergeCell ref="BI156:BM156"/>
    <mergeCell ref="BN156:BT156"/>
    <mergeCell ref="BE159:CA159"/>
    <mergeCell ref="BE160:BG160"/>
    <mergeCell ref="BH160:BL160"/>
    <mergeCell ref="BE154:BG154"/>
    <mergeCell ref="BI154:BM154"/>
    <mergeCell ref="BN154:BT154"/>
    <mergeCell ref="BE155:BG155"/>
    <mergeCell ref="BI155:BM155"/>
    <mergeCell ref="BN155:BT155"/>
    <mergeCell ref="BE147:BG147"/>
    <mergeCell ref="BI147:BM147"/>
    <mergeCell ref="BN147:BT147"/>
    <mergeCell ref="BE151:CA151"/>
    <mergeCell ref="BE152:CA152"/>
    <mergeCell ref="BE153:BG153"/>
    <mergeCell ref="BH153:BL153"/>
    <mergeCell ref="BE144:BG144"/>
    <mergeCell ref="BH144:BL144"/>
    <mergeCell ref="BE145:BG145"/>
    <mergeCell ref="BI145:BM145"/>
    <mergeCell ref="BN145:BT145"/>
    <mergeCell ref="BE146:BG146"/>
    <mergeCell ref="BI146:BM146"/>
    <mergeCell ref="BN146:BT146"/>
    <mergeCell ref="R135:U135"/>
    <mergeCell ref="V135:Y135"/>
    <mergeCell ref="Z135:AC135"/>
    <mergeCell ref="B139:S140"/>
    <mergeCell ref="AM139:BC140"/>
    <mergeCell ref="BE139:BG139"/>
    <mergeCell ref="BI139:BM139"/>
    <mergeCell ref="BN139:BT139"/>
    <mergeCell ref="BE143:CA143"/>
    <mergeCell ref="BN137:BT137"/>
    <mergeCell ref="B138:S138"/>
    <mergeCell ref="AM138:BB138"/>
    <mergeCell ref="BC138:BD138"/>
    <mergeCell ref="BE138:BG138"/>
    <mergeCell ref="BI138:BM138"/>
    <mergeCell ref="BN138:BT138"/>
    <mergeCell ref="BC137:BD137"/>
    <mergeCell ref="BE137:BG137"/>
    <mergeCell ref="BI137:BM137"/>
    <mergeCell ref="BC136:BD136"/>
    <mergeCell ref="BE136:BG136"/>
    <mergeCell ref="BH136:BL136"/>
    <mergeCell ref="AD135:AI135"/>
    <mergeCell ref="AJ135:AP135"/>
    <mergeCell ref="AY133:BB133"/>
    <mergeCell ref="A134:F134"/>
    <mergeCell ref="H134:L134"/>
    <mergeCell ref="M134:Q134"/>
    <mergeCell ref="R134:U134"/>
    <mergeCell ref="V134:Y134"/>
    <mergeCell ref="Z134:AC134"/>
    <mergeCell ref="AD134:AI134"/>
    <mergeCell ref="AJ134:AP134"/>
    <mergeCell ref="AQ134:AT134"/>
    <mergeCell ref="AU134:AX134"/>
    <mergeCell ref="AY134:BB134"/>
    <mergeCell ref="AQ135:AT135"/>
    <mergeCell ref="AU135:AX135"/>
    <mergeCell ref="AY135:BB135"/>
    <mergeCell ref="BE135:CA135"/>
    <mergeCell ref="A135:G135"/>
    <mergeCell ref="H135:L135"/>
    <mergeCell ref="M135:Q135"/>
    <mergeCell ref="M131:Q131"/>
    <mergeCell ref="AD131:AI131"/>
    <mergeCell ref="AJ131:AP131"/>
    <mergeCell ref="AQ131:AT131"/>
    <mergeCell ref="AU131:AX131"/>
    <mergeCell ref="AY131:BB131"/>
    <mergeCell ref="AU132:AX132"/>
    <mergeCell ref="AY132:BB132"/>
    <mergeCell ref="A133:G133"/>
    <mergeCell ref="H133:L133"/>
    <mergeCell ref="M133:Q133"/>
    <mergeCell ref="R133:U133"/>
    <mergeCell ref="V133:Y133"/>
    <mergeCell ref="Z133:AC133"/>
    <mergeCell ref="AD133:AI133"/>
    <mergeCell ref="AJ133:AP133"/>
    <mergeCell ref="A132:G132"/>
    <mergeCell ref="H132:L132"/>
    <mergeCell ref="M132:Q132"/>
    <mergeCell ref="AD132:AI132"/>
    <mergeCell ref="AJ132:AP132"/>
    <mergeCell ref="AQ132:AT132"/>
    <mergeCell ref="AQ133:AT133"/>
    <mergeCell ref="AU133:AX133"/>
    <mergeCell ref="A126:G127"/>
    <mergeCell ref="AU128:AX128"/>
    <mergeCell ref="M128:Q128"/>
    <mergeCell ref="R128:U128"/>
    <mergeCell ref="V128:Y128"/>
    <mergeCell ref="Z128:AC128"/>
    <mergeCell ref="AD128:AI128"/>
    <mergeCell ref="AJ128:AP128"/>
    <mergeCell ref="AQ128:AT128"/>
    <mergeCell ref="AD126:AP126"/>
    <mergeCell ref="AQ126:AT126"/>
    <mergeCell ref="AU126:AX126"/>
    <mergeCell ref="AY128:BB128"/>
    <mergeCell ref="A129:G129"/>
    <mergeCell ref="H129:L129"/>
    <mergeCell ref="M129:Q129"/>
    <mergeCell ref="R129:U132"/>
    <mergeCell ref="V129:Y132"/>
    <mergeCell ref="Z129:AC132"/>
    <mergeCell ref="AD129:AI129"/>
    <mergeCell ref="AJ129:AP129"/>
    <mergeCell ref="AQ129:AT129"/>
    <mergeCell ref="AU129:AX129"/>
    <mergeCell ref="AY129:BB129"/>
    <mergeCell ref="A130:G130"/>
    <mergeCell ref="H130:L130"/>
    <mergeCell ref="M130:Q130"/>
    <mergeCell ref="AD130:AI130"/>
    <mergeCell ref="AJ130:AP130"/>
    <mergeCell ref="AQ130:AT130"/>
    <mergeCell ref="AU130:AX130"/>
    <mergeCell ref="AY130:BB130"/>
    <mergeCell ref="A131:G131"/>
    <mergeCell ref="H131:L131"/>
    <mergeCell ref="A128:G128"/>
    <mergeCell ref="H128:L128"/>
    <mergeCell ref="AY126:BB126"/>
    <mergeCell ref="H127:L127"/>
    <mergeCell ref="M127:Q127"/>
    <mergeCell ref="AD127:AI127"/>
    <mergeCell ref="AJ127:AP127"/>
    <mergeCell ref="AQ127:AT127"/>
    <mergeCell ref="AU127:AX127"/>
    <mergeCell ref="H126:L126"/>
    <mergeCell ref="M126:Q126"/>
    <mergeCell ref="R126:U127"/>
    <mergeCell ref="V126:Y127"/>
    <mergeCell ref="Z126:AC127"/>
    <mergeCell ref="AY127:BB127"/>
    <mergeCell ref="A122:Z122"/>
    <mergeCell ref="AA122:AF122"/>
    <mergeCell ref="AG122:AL122"/>
    <mergeCell ref="AM122:AT122"/>
    <mergeCell ref="AU122:BB122"/>
    <mergeCell ref="AU118:BB118"/>
    <mergeCell ref="A119:Z119"/>
    <mergeCell ref="AA119:AF119"/>
    <mergeCell ref="AU119:BB119"/>
    <mergeCell ref="A120:Z120"/>
    <mergeCell ref="AA120:AF120"/>
    <mergeCell ref="AU120:BB120"/>
    <mergeCell ref="A116:Z116"/>
    <mergeCell ref="AA116:AF116"/>
    <mergeCell ref="AG116:AL121"/>
    <mergeCell ref="AM116:AT121"/>
    <mergeCell ref="AU116:BB116"/>
    <mergeCell ref="A117:Z117"/>
    <mergeCell ref="AA117:AF117"/>
    <mergeCell ref="AU117:BB117"/>
    <mergeCell ref="A118:Z118"/>
    <mergeCell ref="AA118:AF118"/>
    <mergeCell ref="A121:Z121"/>
    <mergeCell ref="AA121:AF121"/>
    <mergeCell ref="AU121:BB121"/>
    <mergeCell ref="A114:Z114"/>
    <mergeCell ref="AA114:AF114"/>
    <mergeCell ref="AG114:AL114"/>
    <mergeCell ref="AM114:AT114"/>
    <mergeCell ref="AU114:BB114"/>
    <mergeCell ref="A115:Z115"/>
    <mergeCell ref="AA115:AF115"/>
    <mergeCell ref="AG115:AL115"/>
    <mergeCell ref="AM115:AT115"/>
    <mergeCell ref="AU115:BB115"/>
    <mergeCell ref="A109:Z109"/>
    <mergeCell ref="AA109:AF109"/>
    <mergeCell ref="AU109:BB109"/>
    <mergeCell ref="A110:Z110"/>
    <mergeCell ref="AA110:AF110"/>
    <mergeCell ref="AG110:AL110"/>
    <mergeCell ref="AM110:AT110"/>
    <mergeCell ref="AU110:BB110"/>
    <mergeCell ref="A107:Z107"/>
    <mergeCell ref="AA107:AF107"/>
    <mergeCell ref="AU107:BB107"/>
    <mergeCell ref="A108:Z108"/>
    <mergeCell ref="AA108:AF108"/>
    <mergeCell ref="AU108:BB108"/>
    <mergeCell ref="A105:Z105"/>
    <mergeCell ref="AA105:AF105"/>
    <mergeCell ref="AU105:BB105"/>
    <mergeCell ref="A106:Z106"/>
    <mergeCell ref="AA106:AF106"/>
    <mergeCell ref="AU106:BB106"/>
    <mergeCell ref="A103:Z103"/>
    <mergeCell ref="AA103:AF103"/>
    <mergeCell ref="AU103:BB103"/>
    <mergeCell ref="A104:Z104"/>
    <mergeCell ref="AA104:AF104"/>
    <mergeCell ref="AU104:BB104"/>
    <mergeCell ref="A101:Z101"/>
    <mergeCell ref="AA101:AF101"/>
    <mergeCell ref="AU101:BB101"/>
    <mergeCell ref="A102:Z102"/>
    <mergeCell ref="AA102:AF102"/>
    <mergeCell ref="AU102:BB102"/>
    <mergeCell ref="A99:Z99"/>
    <mergeCell ref="AA99:AF99"/>
    <mergeCell ref="AU99:BB99"/>
    <mergeCell ref="A100:Z100"/>
    <mergeCell ref="AA100:AF100"/>
    <mergeCell ref="AU100:BB100"/>
    <mergeCell ref="AU91:BB91"/>
    <mergeCell ref="A92:Z92"/>
    <mergeCell ref="AA92:AF92"/>
    <mergeCell ref="AU92:BB92"/>
    <mergeCell ref="A97:Z97"/>
    <mergeCell ref="AA97:AF97"/>
    <mergeCell ref="AU97:BB97"/>
    <mergeCell ref="A98:Z98"/>
    <mergeCell ref="AA98:AF98"/>
    <mergeCell ref="AU98:BB98"/>
    <mergeCell ref="A95:Z95"/>
    <mergeCell ref="AA95:AF95"/>
    <mergeCell ref="AU95:BB95"/>
    <mergeCell ref="A96:Z96"/>
    <mergeCell ref="AA96:AF96"/>
    <mergeCell ref="AU96:BB96"/>
    <mergeCell ref="A87:Z87"/>
    <mergeCell ref="AA87:AF87"/>
    <mergeCell ref="AG87:AL87"/>
    <mergeCell ref="AM87:AT87"/>
    <mergeCell ref="AU87:BB87"/>
    <mergeCell ref="A88:Z88"/>
    <mergeCell ref="AA88:AF88"/>
    <mergeCell ref="AG88:AL109"/>
    <mergeCell ref="AM88:AT109"/>
    <mergeCell ref="AU88:BB88"/>
    <mergeCell ref="A89:Z89"/>
    <mergeCell ref="AA89:AF89"/>
    <mergeCell ref="AU89:BB89"/>
    <mergeCell ref="A90:Z90"/>
    <mergeCell ref="AA90:AF90"/>
    <mergeCell ref="A93:Z93"/>
    <mergeCell ref="AA93:AF93"/>
    <mergeCell ref="AU93:BB93"/>
    <mergeCell ref="A94:Z94"/>
    <mergeCell ref="AA94:AF94"/>
    <mergeCell ref="AU94:BB94"/>
    <mergeCell ref="AU90:BB90"/>
    <mergeCell ref="A91:Z91"/>
    <mergeCell ref="AA91:AF91"/>
    <mergeCell ref="A82:P82"/>
    <mergeCell ref="Q82:W82"/>
    <mergeCell ref="X82:AD82"/>
    <mergeCell ref="AE82:AL82"/>
    <mergeCell ref="AM82:AU82"/>
    <mergeCell ref="AV82:BB82"/>
    <mergeCell ref="A86:Z86"/>
    <mergeCell ref="AA86:AF86"/>
    <mergeCell ref="AG86:AL86"/>
    <mergeCell ref="AM86:AT86"/>
    <mergeCell ref="AU86:BB86"/>
    <mergeCell ref="AV79:BB79"/>
    <mergeCell ref="A80:P80"/>
    <mergeCell ref="AE80:AL80"/>
    <mergeCell ref="AN80:AP80"/>
    <mergeCell ref="AQ80:AT80"/>
    <mergeCell ref="AV80:BB80"/>
    <mergeCell ref="A78:P78"/>
    <mergeCell ref="Q78:W81"/>
    <mergeCell ref="X78:AD81"/>
    <mergeCell ref="AE78:AL78"/>
    <mergeCell ref="AM78:AU78"/>
    <mergeCell ref="AV78:BB78"/>
    <mergeCell ref="A79:P79"/>
    <mergeCell ref="AE79:AL79"/>
    <mergeCell ref="AN79:AP79"/>
    <mergeCell ref="AQ79:AT79"/>
    <mergeCell ref="A81:P81"/>
    <mergeCell ref="AE81:AL81"/>
    <mergeCell ref="AV81:BB81"/>
    <mergeCell ref="A70:N70"/>
    <mergeCell ref="O70:AN70"/>
    <mergeCell ref="AO70:AU70"/>
    <mergeCell ref="AV70:BB70"/>
    <mergeCell ref="AV76:BB76"/>
    <mergeCell ref="A77:P77"/>
    <mergeCell ref="Q77:W77"/>
    <mergeCell ref="X77:AD77"/>
    <mergeCell ref="AE77:AL77"/>
    <mergeCell ref="AM77:AU77"/>
    <mergeCell ref="AV77:BB77"/>
    <mergeCell ref="O71:AN71"/>
    <mergeCell ref="AO71:AU71"/>
    <mergeCell ref="AV71:BB71"/>
    <mergeCell ref="AO72:AU72"/>
    <mergeCell ref="AV72:BB72"/>
    <mergeCell ref="A76:P76"/>
    <mergeCell ref="Q76:W76"/>
    <mergeCell ref="X76:AD76"/>
    <mergeCell ref="AE76:AL76"/>
    <mergeCell ref="AM76:AU76"/>
    <mergeCell ref="AX63:BB66"/>
    <mergeCell ref="H65:X65"/>
    <mergeCell ref="Z65:AB65"/>
    <mergeCell ref="R59:V59"/>
    <mergeCell ref="H61:X61"/>
    <mergeCell ref="Z61:AB61"/>
    <mergeCell ref="AS67:AW67"/>
    <mergeCell ref="AX67:BB67"/>
    <mergeCell ref="AO68:AR68"/>
    <mergeCell ref="AS68:AW68"/>
    <mergeCell ref="AX68:BB68"/>
    <mergeCell ref="A63:G66"/>
    <mergeCell ref="H63:M64"/>
    <mergeCell ref="N63:P63"/>
    <mergeCell ref="R63:V63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AC63:AG66"/>
    <mergeCell ref="AH63:AM66"/>
    <mergeCell ref="AN63:AR66"/>
    <mergeCell ref="AS63:AW66"/>
    <mergeCell ref="H51:K51"/>
    <mergeCell ref="AS51:AW51"/>
    <mergeCell ref="AX51:BB51"/>
    <mergeCell ref="AO52:AR52"/>
    <mergeCell ref="AS52:AW52"/>
    <mergeCell ref="AX52:BB52"/>
    <mergeCell ref="AX37:BB39"/>
    <mergeCell ref="A40:BB4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37:G39"/>
    <mergeCell ref="H37:AB39"/>
    <mergeCell ref="AC37:AG39"/>
    <mergeCell ref="AH37:AM39"/>
    <mergeCell ref="AN37:AR39"/>
    <mergeCell ref="AS37:AW39"/>
    <mergeCell ref="AO35:AR35"/>
    <mergeCell ref="AS35:AW35"/>
    <mergeCell ref="AX35:BB35"/>
    <mergeCell ref="AX20:BB22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X19:BB19"/>
    <mergeCell ref="A20:G22"/>
    <mergeCell ref="H20:AB22"/>
    <mergeCell ref="AC20:AG22"/>
    <mergeCell ref="AH20:AM22"/>
    <mergeCell ref="AN20:AR22"/>
    <mergeCell ref="AS20:AW22"/>
    <mergeCell ref="A26:G33"/>
    <mergeCell ref="H34:M34"/>
    <mergeCell ref="AS34:AW34"/>
    <mergeCell ref="AX34:BB34"/>
    <mergeCell ref="A14:S14"/>
    <mergeCell ref="U14:W14"/>
    <mergeCell ref="C10:E10"/>
    <mergeCell ref="G10:L10"/>
    <mergeCell ref="N10:Q10"/>
    <mergeCell ref="U10:AG10"/>
    <mergeCell ref="AH10:AI10"/>
    <mergeCell ref="AJ10:AL10"/>
    <mergeCell ref="A16:S16"/>
    <mergeCell ref="U16:W16"/>
    <mergeCell ref="Y16:AA16"/>
    <mergeCell ref="AQ2:AS2"/>
    <mergeCell ref="AT2:AU2"/>
    <mergeCell ref="AW2:BB2"/>
    <mergeCell ref="AW5:BC5"/>
    <mergeCell ref="A7:BA7"/>
    <mergeCell ref="A8:BA8"/>
    <mergeCell ref="AN10:AT10"/>
    <mergeCell ref="AV10:AY10"/>
    <mergeCell ref="A12:S12"/>
    <mergeCell ref="U12:W12"/>
  </mergeCells>
  <pageMargins left="0" right="0" top="0" bottom="0" header="0.31496062992125984" footer="0.31496062992125984"/>
  <pageSetup paperSize="9" scale="73" fitToHeight="0" orientation="portrait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B221"/>
  <sheetViews>
    <sheetView tabSelected="1" topLeftCell="A110" zoomScaleNormal="100" workbookViewId="0">
      <selection activeCell="BR232" sqref="BR232"/>
    </sheetView>
  </sheetViews>
  <sheetFormatPr defaultColWidth="1.85546875" defaultRowHeight="12" x14ac:dyDescent="0.2"/>
  <cols>
    <col min="1" max="6" width="1.85546875" style="4"/>
    <col min="7" max="7" width="5.28515625" style="4" customWidth="1"/>
    <col min="8" max="16" width="1.85546875" style="4"/>
    <col min="17" max="17" width="4.140625" style="4" customWidth="1"/>
    <col min="18" max="20" width="1.85546875" style="4"/>
    <col min="21" max="21" width="4.42578125" style="4" customWidth="1"/>
    <col min="22" max="23" width="1.85546875" style="4"/>
    <col min="24" max="24" width="3.140625" style="4" customWidth="1"/>
    <col min="25" max="25" width="1.85546875" style="4"/>
    <col min="26" max="26" width="9.85546875" style="4" bestFit="1" customWidth="1"/>
    <col min="27" max="27" width="4.28515625" style="4" customWidth="1"/>
    <col min="28" max="38" width="1.85546875" style="4"/>
    <col min="39" max="39" width="2" style="4" customWidth="1"/>
    <col min="40" max="41" width="1.85546875" style="4" customWidth="1"/>
    <col min="42" max="44" width="1.85546875" style="4"/>
    <col min="45" max="45" width="5.85546875" style="4" customWidth="1"/>
    <col min="46" max="46" width="2.28515625" style="4" customWidth="1"/>
    <col min="47" max="47" width="1.85546875" style="4"/>
    <col min="48" max="48" width="5.28515625" style="4" customWidth="1"/>
    <col min="49" max="51" width="1.85546875" style="4"/>
    <col min="52" max="52" width="2.28515625" style="4" customWidth="1"/>
    <col min="53" max="53" width="1.85546875" style="4"/>
    <col min="54" max="54" width="4.42578125" style="4" customWidth="1"/>
    <col min="55" max="57" width="1.85546875" style="4"/>
    <col min="58" max="58" width="13" style="4" customWidth="1"/>
    <col min="59" max="59" width="1.28515625" style="4" customWidth="1"/>
    <col min="60" max="60" width="7" style="4" hidden="1" customWidth="1"/>
    <col min="61" max="61" width="10.7109375" style="4" customWidth="1"/>
    <col min="62" max="75" width="1.85546875" style="4"/>
    <col min="76" max="76" width="12.7109375" style="4" customWidth="1"/>
    <col min="77" max="16384" width="1.85546875" style="4"/>
  </cols>
  <sheetData>
    <row r="1" spans="1:57" s="1" customFormat="1" ht="15" customHeight="1" x14ac:dyDescent="0.25">
      <c r="AP1" s="1426" t="s">
        <v>701</v>
      </c>
      <c r="AQ1" s="1427"/>
      <c r="AR1" s="1427"/>
      <c r="AS1" s="1427"/>
      <c r="AT1" s="1427"/>
      <c r="AU1" s="1427"/>
      <c r="AV1" s="1427"/>
      <c r="AW1" s="1427"/>
      <c r="AX1" s="1427"/>
      <c r="AY1" s="1427"/>
      <c r="AZ1" s="1427"/>
      <c r="BA1" s="1427"/>
      <c r="BB1" s="1427"/>
      <c r="BC1" s="100"/>
    </row>
    <row r="2" spans="1:57" s="1" customFormat="1" ht="15.75" customHeight="1" x14ac:dyDescent="0.25">
      <c r="AK2" s="1428" t="s">
        <v>702</v>
      </c>
      <c r="AL2" s="441"/>
      <c r="AM2" s="441"/>
      <c r="AN2" s="441"/>
      <c r="AO2" s="441"/>
      <c r="AP2" s="441"/>
      <c r="AQ2" s="441"/>
      <c r="AR2" s="441"/>
      <c r="AS2" s="441"/>
      <c r="AT2" s="441"/>
      <c r="AU2" s="441"/>
      <c r="AV2" s="441"/>
      <c r="AW2" s="441"/>
      <c r="AX2" s="441"/>
      <c r="AY2" s="441"/>
      <c r="AZ2" s="441"/>
      <c r="BA2" s="441"/>
      <c r="BB2" s="441"/>
      <c r="BC2" s="100"/>
    </row>
    <row r="3" spans="1:57" s="1" customFormat="1" ht="15" customHeight="1" x14ac:dyDescent="0.25">
      <c r="AO3" s="1323" t="s">
        <v>703</v>
      </c>
      <c r="AP3" s="1323"/>
      <c r="AQ3" s="1323"/>
      <c r="AR3" s="1323"/>
      <c r="AS3" s="1323"/>
      <c r="AT3" s="1323"/>
      <c r="AU3" s="1323"/>
      <c r="AV3" s="1323"/>
      <c r="AW3" s="1323"/>
      <c r="AX3" s="1323"/>
      <c r="AY3" s="1323"/>
      <c r="AZ3" s="1323"/>
      <c r="BA3" s="1323"/>
      <c r="BB3" s="1323"/>
    </row>
    <row r="4" spans="1:57" s="1" customFormat="1" ht="5.0999999999999996" customHeight="1" x14ac:dyDescent="0.25"/>
    <row r="5" spans="1:57" s="1" customFormat="1" ht="15" customHeight="1" x14ac:dyDescent="0.25">
      <c r="AL5" s="3"/>
      <c r="AM5" s="3"/>
      <c r="AN5" s="3"/>
      <c r="AO5" s="3"/>
      <c r="AP5" s="1429" t="s">
        <v>704</v>
      </c>
      <c r="AQ5" s="1427"/>
      <c r="AR5" s="1427"/>
      <c r="AS5" s="1427"/>
      <c r="AT5" s="1427"/>
      <c r="AU5" s="1427"/>
      <c r="AV5" s="1427"/>
      <c r="AW5" s="1427"/>
      <c r="AX5" s="1427"/>
      <c r="AY5" s="1427"/>
      <c r="AZ5" s="1427"/>
      <c r="BA5" s="1427"/>
      <c r="BB5" s="441"/>
      <c r="BC5" s="81"/>
      <c r="BD5" s="81"/>
      <c r="BE5" s="81"/>
    </row>
    <row r="6" spans="1:57" s="1" customFormat="1" ht="15" x14ac:dyDescent="0.25">
      <c r="AK6" s="3"/>
      <c r="AL6" s="3"/>
      <c r="AM6" s="3"/>
      <c r="AN6" s="3"/>
      <c r="AO6" s="3"/>
      <c r="AP6" s="3"/>
      <c r="AQ6" s="3"/>
      <c r="AR6" s="3"/>
    </row>
    <row r="7" spans="1:57" s="1" customFormat="1" ht="15" customHeight="1" x14ac:dyDescent="0.25">
      <c r="A7" s="1302" t="s">
        <v>0</v>
      </c>
      <c r="B7" s="1302"/>
      <c r="C7" s="1302"/>
      <c r="D7" s="1302"/>
      <c r="E7" s="1302"/>
      <c r="F7" s="1302"/>
      <c r="G7" s="1302"/>
      <c r="H7" s="1302"/>
      <c r="I7" s="1302"/>
      <c r="J7" s="1302"/>
      <c r="K7" s="1302"/>
      <c r="L7" s="1302"/>
      <c r="M7" s="1302"/>
      <c r="N7" s="1302"/>
      <c r="O7" s="1302"/>
      <c r="P7" s="1302"/>
      <c r="Q7" s="1302"/>
      <c r="R7" s="1302"/>
      <c r="S7" s="1302"/>
      <c r="T7" s="1302"/>
      <c r="U7" s="1302"/>
      <c r="V7" s="1302"/>
      <c r="W7" s="1302"/>
      <c r="X7" s="1302"/>
      <c r="Y7" s="1302"/>
      <c r="Z7" s="1302"/>
      <c r="AA7" s="1302"/>
      <c r="AB7" s="1302"/>
      <c r="AC7" s="1302"/>
      <c r="AD7" s="1302"/>
      <c r="AE7" s="1302"/>
      <c r="AF7" s="1302"/>
      <c r="AG7" s="1302"/>
      <c r="AH7" s="1302"/>
      <c r="AI7" s="1302"/>
      <c r="AJ7" s="1302"/>
      <c r="AK7" s="1302"/>
      <c r="AL7" s="1302"/>
      <c r="AM7" s="1302"/>
      <c r="AN7" s="1302"/>
      <c r="AO7" s="1302"/>
      <c r="AP7" s="1302"/>
      <c r="AQ7" s="1302"/>
      <c r="AR7" s="1302"/>
      <c r="AS7" s="1302"/>
      <c r="AT7" s="1302"/>
      <c r="AU7" s="1302"/>
      <c r="AV7" s="1302"/>
      <c r="AW7" s="1302"/>
      <c r="AX7" s="1302"/>
      <c r="AY7" s="1302"/>
      <c r="AZ7" s="1302"/>
      <c r="BA7" s="1302"/>
    </row>
    <row r="8" spans="1:57" s="1" customFormat="1" ht="15" customHeight="1" x14ac:dyDescent="0.25">
      <c r="A8" s="1302" t="s">
        <v>705</v>
      </c>
      <c r="B8" s="1302"/>
      <c r="C8" s="1302"/>
      <c r="D8" s="1302"/>
      <c r="E8" s="1302"/>
      <c r="F8" s="1302"/>
      <c r="G8" s="1302"/>
      <c r="H8" s="1302"/>
      <c r="I8" s="1302"/>
      <c r="J8" s="1302"/>
      <c r="K8" s="1302"/>
      <c r="L8" s="1302"/>
      <c r="M8" s="1302"/>
      <c r="N8" s="1302"/>
      <c r="O8" s="1302"/>
      <c r="P8" s="1302"/>
      <c r="Q8" s="1302"/>
      <c r="R8" s="1302"/>
      <c r="S8" s="1302"/>
      <c r="T8" s="1302"/>
      <c r="U8" s="1302"/>
      <c r="V8" s="1302"/>
      <c r="W8" s="1302"/>
      <c r="X8" s="1302"/>
      <c r="Y8" s="1302"/>
      <c r="Z8" s="1302"/>
      <c r="AA8" s="1302"/>
      <c r="AB8" s="1302"/>
      <c r="AC8" s="1302"/>
      <c r="AD8" s="1302"/>
      <c r="AE8" s="1302"/>
      <c r="AF8" s="1302"/>
      <c r="AG8" s="1302"/>
      <c r="AH8" s="1302"/>
      <c r="AI8" s="1302"/>
      <c r="AJ8" s="1302"/>
      <c r="AK8" s="1302"/>
      <c r="AL8" s="1302"/>
      <c r="AM8" s="1302"/>
      <c r="AN8" s="1302"/>
      <c r="AO8" s="1302"/>
      <c r="AP8" s="1302"/>
      <c r="AQ8" s="1302"/>
      <c r="AR8" s="1302"/>
      <c r="AS8" s="1302"/>
      <c r="AT8" s="1302"/>
      <c r="AU8" s="1302"/>
      <c r="AV8" s="1302"/>
      <c r="AW8" s="1302"/>
      <c r="AX8" s="1302"/>
      <c r="AY8" s="1302"/>
      <c r="AZ8" s="1302"/>
      <c r="BA8" s="1302"/>
    </row>
    <row r="9" spans="1:57" s="1" customFormat="1" ht="13.5" customHeight="1" x14ac:dyDescent="0.25">
      <c r="A9" s="412"/>
      <c r="B9" s="412"/>
      <c r="C9" s="412"/>
      <c r="D9" s="412"/>
      <c r="E9" s="412"/>
      <c r="F9" s="412"/>
      <c r="G9" s="412"/>
      <c r="H9" s="412"/>
      <c r="I9" s="412"/>
      <c r="J9" s="412"/>
      <c r="K9" s="412"/>
      <c r="L9" s="412"/>
      <c r="M9" s="412"/>
      <c r="N9" s="412"/>
      <c r="O9" s="412"/>
      <c r="P9" s="412"/>
      <c r="Q9" s="412"/>
      <c r="R9" s="412"/>
      <c r="S9" s="412"/>
      <c r="T9" s="412"/>
      <c r="U9" s="412"/>
      <c r="V9" s="412"/>
      <c r="W9" s="412"/>
      <c r="X9" s="412"/>
      <c r="Y9" s="412"/>
      <c r="Z9" s="412"/>
      <c r="AA9" s="412"/>
      <c r="AB9" s="412"/>
      <c r="AC9" s="412"/>
      <c r="AD9" s="412"/>
      <c r="AE9" s="412"/>
      <c r="AF9" s="412"/>
      <c r="AG9" s="412"/>
      <c r="AH9" s="412"/>
      <c r="AI9" s="412"/>
      <c r="AJ9" s="412"/>
      <c r="AK9" s="412"/>
      <c r="AL9" s="412"/>
      <c r="AM9" s="412"/>
      <c r="AN9" s="412"/>
      <c r="AO9" s="412"/>
      <c r="AP9" s="412"/>
      <c r="AQ9" s="412"/>
      <c r="AR9" s="412"/>
      <c r="AS9" s="412"/>
      <c r="AT9" s="412"/>
      <c r="AU9" s="412"/>
      <c r="AV9" s="412"/>
      <c r="AW9" s="412"/>
      <c r="AX9" s="412"/>
      <c r="AY9" s="412"/>
      <c r="AZ9" s="412"/>
      <c r="BA9" s="412"/>
    </row>
    <row r="10" spans="1:57" s="1" customFormat="1" ht="5.0999999999999996" customHeight="1" x14ac:dyDescent="0.25">
      <c r="A10" s="412"/>
      <c r="B10" s="412"/>
      <c r="C10" s="412"/>
      <c r="D10" s="412"/>
      <c r="E10" s="412"/>
      <c r="F10" s="412"/>
      <c r="G10" s="412"/>
      <c r="H10" s="412"/>
      <c r="I10" s="412"/>
      <c r="J10" s="412"/>
      <c r="K10" s="412"/>
      <c r="L10" s="412"/>
      <c r="M10" s="412"/>
      <c r="N10" s="412"/>
      <c r="O10" s="412"/>
      <c r="P10" s="412"/>
      <c r="Q10" s="412"/>
      <c r="R10" s="412"/>
      <c r="S10" s="412"/>
      <c r="T10" s="412"/>
      <c r="U10" s="412"/>
      <c r="V10" s="412"/>
      <c r="W10" s="412"/>
      <c r="X10" s="412"/>
      <c r="Y10" s="412"/>
      <c r="Z10" s="412"/>
      <c r="AA10" s="412"/>
      <c r="AB10" s="412"/>
      <c r="AC10" s="412"/>
      <c r="AD10" s="412"/>
      <c r="AE10" s="412"/>
      <c r="AF10" s="412"/>
      <c r="AG10" s="412"/>
      <c r="AH10" s="412"/>
      <c r="AI10" s="412"/>
      <c r="AJ10" s="412"/>
      <c r="AK10" s="412"/>
      <c r="AL10" s="412"/>
      <c r="AM10" s="412"/>
      <c r="AN10" s="412"/>
      <c r="AO10" s="412"/>
      <c r="AP10" s="412"/>
      <c r="AQ10" s="412"/>
      <c r="AR10" s="412"/>
      <c r="AS10" s="412"/>
      <c r="AT10" s="412"/>
      <c r="AU10" s="412"/>
      <c r="AV10" s="412"/>
      <c r="AW10" s="412"/>
      <c r="AX10" s="412"/>
      <c r="AY10" s="412"/>
      <c r="AZ10" s="412"/>
      <c r="BA10" s="412"/>
    </row>
    <row r="11" spans="1:57" s="100" customFormat="1" ht="15" customHeight="1" x14ac:dyDescent="0.25">
      <c r="A11" s="413"/>
      <c r="B11" s="413" t="s">
        <v>113</v>
      </c>
      <c r="C11" s="1305">
        <v>12</v>
      </c>
      <c r="D11" s="1305"/>
      <c r="E11" s="1305"/>
      <c r="F11" s="413"/>
      <c r="G11" s="1305" t="s">
        <v>695</v>
      </c>
      <c r="H11" s="1305"/>
      <c r="I11" s="1305"/>
      <c r="J11" s="1305"/>
      <c r="K11" s="1305"/>
      <c r="L11" s="1305"/>
      <c r="M11" s="413"/>
      <c r="N11" s="1303">
        <v>2021</v>
      </c>
      <c r="O11" s="1303"/>
      <c r="P11" s="1303"/>
      <c r="Q11" s="1303"/>
      <c r="R11" s="413"/>
      <c r="S11" s="413" t="s">
        <v>114</v>
      </c>
      <c r="T11" s="413"/>
      <c r="U11" s="1303" t="s">
        <v>115</v>
      </c>
      <c r="V11" s="443"/>
      <c r="W11" s="443"/>
      <c r="X11" s="443"/>
      <c r="Y11" s="443"/>
      <c r="Z11" s="443"/>
      <c r="AA11" s="443"/>
      <c r="AB11" s="443"/>
      <c r="AC11" s="443"/>
      <c r="AD11" s="443"/>
      <c r="AE11" s="443"/>
      <c r="AF11" s="443"/>
      <c r="AG11" s="443"/>
      <c r="AH11" s="443"/>
      <c r="AI11" s="443"/>
      <c r="AJ11" s="1305">
        <v>31</v>
      </c>
      <c r="AK11" s="1305"/>
      <c r="AL11" s="1305"/>
      <c r="AM11" s="413"/>
      <c r="AN11" s="1305" t="s">
        <v>116</v>
      </c>
      <c r="AO11" s="1305"/>
      <c r="AP11" s="1305"/>
      <c r="AQ11" s="1305"/>
      <c r="AR11" s="1305"/>
      <c r="AS11" s="1305"/>
      <c r="AT11" s="1305"/>
      <c r="AU11" s="413"/>
      <c r="AV11" s="1303">
        <v>2021</v>
      </c>
      <c r="AW11" s="1303"/>
      <c r="AX11" s="1303"/>
      <c r="AY11" s="1303"/>
      <c r="AZ11" s="413"/>
      <c r="BA11" s="413" t="s">
        <v>114</v>
      </c>
    </row>
    <row r="12" spans="1:57" ht="5.0999999999999996" customHeight="1" x14ac:dyDescent="0.2"/>
    <row r="13" spans="1:57" s="1" customFormat="1" ht="12" customHeight="1" x14ac:dyDescent="0.25">
      <c r="A13" s="1299" t="s">
        <v>1</v>
      </c>
      <c r="B13" s="1299"/>
      <c r="C13" s="1299"/>
      <c r="D13" s="1299"/>
      <c r="E13" s="1299"/>
      <c r="F13" s="1299"/>
      <c r="G13" s="1299"/>
      <c r="H13" s="1299"/>
      <c r="I13" s="1299"/>
      <c r="J13" s="1299"/>
      <c r="K13" s="1299"/>
      <c r="L13" s="1299"/>
      <c r="M13" s="1299"/>
      <c r="N13" s="1299"/>
      <c r="O13" s="1299"/>
      <c r="P13" s="1299"/>
      <c r="Q13" s="1299"/>
      <c r="R13" s="1299"/>
      <c r="S13" s="1299"/>
      <c r="U13" s="1300">
        <v>7</v>
      </c>
      <c r="V13" s="1300"/>
      <c r="W13" s="1300"/>
    </row>
    <row r="14" spans="1:57" s="1" customFormat="1" ht="5.0999999999999996" customHeight="1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57" s="1" customFormat="1" ht="12" customHeight="1" x14ac:dyDescent="0.25">
      <c r="A15" s="1299" t="s">
        <v>2</v>
      </c>
      <c r="B15" s="1299"/>
      <c r="C15" s="1299"/>
      <c r="D15" s="1299"/>
      <c r="E15" s="1299"/>
      <c r="F15" s="1299"/>
      <c r="G15" s="1299"/>
      <c r="H15" s="1299"/>
      <c r="I15" s="1299"/>
      <c r="J15" s="1299"/>
      <c r="K15" s="1299"/>
      <c r="L15" s="1299"/>
      <c r="M15" s="1299"/>
      <c r="N15" s="1299"/>
      <c r="O15" s="1299"/>
      <c r="P15" s="1299"/>
      <c r="Q15" s="1299"/>
      <c r="R15" s="1299"/>
      <c r="S15" s="1299"/>
      <c r="U15" s="761">
        <v>3</v>
      </c>
      <c r="V15" s="761"/>
      <c r="W15" s="761"/>
      <c r="X15" s="100"/>
      <c r="Y15" s="100"/>
      <c r="Z15" s="100"/>
      <c r="AA15" s="100"/>
    </row>
    <row r="16" spans="1:57" s="1" customFormat="1" ht="5.0999999999999996" customHeight="1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U16" s="100"/>
      <c r="V16" s="100"/>
      <c r="W16" s="100"/>
      <c r="X16" s="100"/>
      <c r="Y16" s="100"/>
      <c r="Z16" s="100"/>
      <c r="AA16" s="100"/>
    </row>
    <row r="17" spans="1:54" s="1" customFormat="1" ht="12" customHeight="1" x14ac:dyDescent="0.25">
      <c r="A17" s="1299" t="s">
        <v>3</v>
      </c>
      <c r="B17" s="1299"/>
      <c r="C17" s="1299"/>
      <c r="D17" s="1299"/>
      <c r="E17" s="1299"/>
      <c r="F17" s="1299"/>
      <c r="G17" s="1299"/>
      <c r="H17" s="1299"/>
      <c r="I17" s="1299"/>
      <c r="J17" s="1299"/>
      <c r="K17" s="1299"/>
      <c r="L17" s="1299"/>
      <c r="M17" s="1299"/>
      <c r="N17" s="1299"/>
      <c r="O17" s="1299"/>
      <c r="P17" s="1299"/>
      <c r="Q17" s="1299"/>
      <c r="R17" s="1299"/>
      <c r="S17" s="1299"/>
      <c r="U17" s="761">
        <v>1</v>
      </c>
      <c r="V17" s="761"/>
      <c r="W17" s="761"/>
      <c r="X17" s="411" t="s">
        <v>4</v>
      </c>
      <c r="Y17" s="761">
        <v>3</v>
      </c>
      <c r="Z17" s="761"/>
      <c r="AA17" s="761"/>
    </row>
    <row r="18" spans="1:54" ht="5.0999999999999996" customHeight="1" x14ac:dyDescent="0.2">
      <c r="U18" s="117"/>
      <c r="V18" s="117"/>
      <c r="W18" s="117"/>
      <c r="X18" s="117"/>
      <c r="Y18" s="117"/>
      <c r="Z18" s="117"/>
      <c r="AA18" s="117"/>
    </row>
    <row r="19" spans="1:54" s="5" customFormat="1" ht="15" customHeight="1" x14ac:dyDescent="0.2">
      <c r="A19" s="5" t="s">
        <v>5</v>
      </c>
      <c r="C19" s="5" t="s">
        <v>6</v>
      </c>
      <c r="U19" s="159"/>
      <c r="V19" s="159"/>
      <c r="W19" s="159"/>
      <c r="X19" s="159"/>
      <c r="Y19" s="159"/>
      <c r="Z19" s="159"/>
      <c r="AA19" s="159"/>
      <c r="AN19" s="6"/>
      <c r="AO19" s="6"/>
      <c r="AP19" s="6"/>
      <c r="AQ19" s="6"/>
      <c r="AR19" s="6"/>
    </row>
    <row r="20" spans="1:54" s="5" customFormat="1" ht="15" customHeight="1" thickBot="1" x14ac:dyDescent="0.25">
      <c r="U20" s="159"/>
      <c r="V20" s="159"/>
      <c r="W20" s="159"/>
      <c r="X20" s="159"/>
      <c r="Y20" s="159"/>
      <c r="Z20" s="159"/>
      <c r="AA20" s="159"/>
      <c r="AN20" s="6"/>
      <c r="AO20" s="6"/>
      <c r="AP20" s="6"/>
      <c r="AQ20" s="6"/>
      <c r="AR20" s="6"/>
    </row>
    <row r="21" spans="1:54" ht="14.25" hidden="1" customHeight="1" x14ac:dyDescent="0.2">
      <c r="U21" s="117"/>
      <c r="V21" s="117"/>
      <c r="W21" s="117"/>
      <c r="X21" s="117"/>
      <c r="Y21" s="117"/>
      <c r="Z21" s="117"/>
      <c r="AA21" s="117"/>
      <c r="AJ21" s="7"/>
      <c r="AK21" s="7"/>
      <c r="AL21" s="7"/>
      <c r="AM21" s="7"/>
      <c r="AN21" s="8"/>
      <c r="AO21" s="8"/>
      <c r="AP21" s="9"/>
      <c r="AQ21" s="9"/>
      <c r="AR21" s="8"/>
      <c r="AS21" s="10"/>
      <c r="AX21" s="1306"/>
      <c r="AY21" s="1307"/>
      <c r="AZ21" s="1307"/>
      <c r="BA21" s="1307"/>
      <c r="BB21" s="1308"/>
    </row>
    <row r="22" spans="1:54" ht="12" customHeight="1" x14ac:dyDescent="0.2">
      <c r="A22" s="1192" t="s">
        <v>8</v>
      </c>
      <c r="B22" s="1193"/>
      <c r="C22" s="1193"/>
      <c r="D22" s="1193"/>
      <c r="E22" s="1193"/>
      <c r="F22" s="1193"/>
      <c r="G22" s="1194"/>
      <c r="H22" s="1201" t="s">
        <v>9</v>
      </c>
      <c r="I22" s="1193"/>
      <c r="J22" s="1193"/>
      <c r="K22" s="1193"/>
      <c r="L22" s="1193"/>
      <c r="M22" s="1193"/>
      <c r="N22" s="1193"/>
      <c r="O22" s="1193"/>
      <c r="P22" s="1193"/>
      <c r="Q22" s="1193"/>
      <c r="R22" s="1193"/>
      <c r="S22" s="1193"/>
      <c r="T22" s="1193"/>
      <c r="U22" s="1193"/>
      <c r="V22" s="1193"/>
      <c r="W22" s="1193"/>
      <c r="X22" s="1193"/>
      <c r="Y22" s="1193"/>
      <c r="Z22" s="1193"/>
      <c r="AA22" s="1193"/>
      <c r="AB22" s="1194"/>
      <c r="AC22" s="1201" t="s">
        <v>10</v>
      </c>
      <c r="AD22" s="1193"/>
      <c r="AE22" s="1193"/>
      <c r="AF22" s="1193"/>
      <c r="AG22" s="1194"/>
      <c r="AH22" s="1210" t="s">
        <v>419</v>
      </c>
      <c r="AI22" s="1265"/>
      <c r="AJ22" s="1265"/>
      <c r="AK22" s="1265"/>
      <c r="AL22" s="1265"/>
      <c r="AM22" s="1266"/>
      <c r="AN22" s="1210" t="s">
        <v>12</v>
      </c>
      <c r="AO22" s="1204"/>
      <c r="AP22" s="1204"/>
      <c r="AQ22" s="1204"/>
      <c r="AR22" s="1205"/>
      <c r="AS22" s="1210" t="s">
        <v>13</v>
      </c>
      <c r="AT22" s="1204"/>
      <c r="AU22" s="1204"/>
      <c r="AV22" s="1204"/>
      <c r="AW22" s="1213"/>
      <c r="AX22" s="1210" t="s">
        <v>14</v>
      </c>
      <c r="AY22" s="1204"/>
      <c r="AZ22" s="1204"/>
      <c r="BA22" s="1204"/>
      <c r="BB22" s="1213"/>
    </row>
    <row r="23" spans="1:54" ht="12" customHeight="1" x14ac:dyDescent="0.2">
      <c r="A23" s="1195"/>
      <c r="B23" s="1196"/>
      <c r="C23" s="1196"/>
      <c r="D23" s="1196"/>
      <c r="E23" s="1196"/>
      <c r="F23" s="1196"/>
      <c r="G23" s="1197"/>
      <c r="H23" s="1202"/>
      <c r="I23" s="1196"/>
      <c r="J23" s="1196"/>
      <c r="K23" s="1196"/>
      <c r="L23" s="1196"/>
      <c r="M23" s="1196"/>
      <c r="N23" s="1196"/>
      <c r="O23" s="1196"/>
      <c r="P23" s="1196"/>
      <c r="Q23" s="1196"/>
      <c r="R23" s="1196"/>
      <c r="S23" s="1196"/>
      <c r="T23" s="1196"/>
      <c r="U23" s="1196"/>
      <c r="V23" s="1196"/>
      <c r="W23" s="1196"/>
      <c r="X23" s="1196"/>
      <c r="Y23" s="1196"/>
      <c r="Z23" s="1196"/>
      <c r="AA23" s="1196"/>
      <c r="AB23" s="1197"/>
      <c r="AC23" s="1202"/>
      <c r="AD23" s="1196"/>
      <c r="AE23" s="1196"/>
      <c r="AF23" s="1196"/>
      <c r="AG23" s="1197"/>
      <c r="AH23" s="1267"/>
      <c r="AI23" s="1268"/>
      <c r="AJ23" s="1268"/>
      <c r="AK23" s="1268"/>
      <c r="AL23" s="1268"/>
      <c r="AM23" s="1269"/>
      <c r="AN23" s="1211"/>
      <c r="AO23" s="1206"/>
      <c r="AP23" s="1206"/>
      <c r="AQ23" s="1206"/>
      <c r="AR23" s="1207"/>
      <c r="AS23" s="1211"/>
      <c r="AT23" s="1206"/>
      <c r="AU23" s="1206"/>
      <c r="AV23" s="1206"/>
      <c r="AW23" s="1214"/>
      <c r="AX23" s="1211"/>
      <c r="AY23" s="1206"/>
      <c r="AZ23" s="1206"/>
      <c r="BA23" s="1206"/>
      <c r="BB23" s="1214"/>
    </row>
    <row r="24" spans="1:54" ht="12" customHeight="1" thickBot="1" x14ac:dyDescent="0.25">
      <c r="A24" s="1198"/>
      <c r="B24" s="1199"/>
      <c r="C24" s="1199"/>
      <c r="D24" s="1199"/>
      <c r="E24" s="1199"/>
      <c r="F24" s="1199"/>
      <c r="G24" s="1200"/>
      <c r="H24" s="1203"/>
      <c r="I24" s="1199"/>
      <c r="J24" s="1199"/>
      <c r="K24" s="1199"/>
      <c r="L24" s="1199"/>
      <c r="M24" s="1199"/>
      <c r="N24" s="1199"/>
      <c r="O24" s="1199"/>
      <c r="P24" s="1199"/>
      <c r="Q24" s="1199"/>
      <c r="R24" s="1199"/>
      <c r="S24" s="1199"/>
      <c r="T24" s="1199"/>
      <c r="U24" s="1199"/>
      <c r="V24" s="1199"/>
      <c r="W24" s="1199"/>
      <c r="X24" s="1199"/>
      <c r="Y24" s="1199"/>
      <c r="Z24" s="1199"/>
      <c r="AA24" s="1199"/>
      <c r="AB24" s="1200"/>
      <c r="AC24" s="1203"/>
      <c r="AD24" s="1199"/>
      <c r="AE24" s="1199"/>
      <c r="AF24" s="1199"/>
      <c r="AG24" s="1200"/>
      <c r="AH24" s="1270"/>
      <c r="AI24" s="1271"/>
      <c r="AJ24" s="1271"/>
      <c r="AK24" s="1271"/>
      <c r="AL24" s="1271"/>
      <c r="AM24" s="1272"/>
      <c r="AN24" s="1212"/>
      <c r="AO24" s="1208"/>
      <c r="AP24" s="1208"/>
      <c r="AQ24" s="1208"/>
      <c r="AR24" s="1209"/>
      <c r="AS24" s="1212"/>
      <c r="AT24" s="1208"/>
      <c r="AU24" s="1208"/>
      <c r="AV24" s="1208"/>
      <c r="AW24" s="1215"/>
      <c r="AX24" s="1212"/>
      <c r="AY24" s="1208"/>
      <c r="AZ24" s="1208"/>
      <c r="BA24" s="1208"/>
      <c r="BB24" s="1215"/>
    </row>
    <row r="25" spans="1:54" ht="16.5" customHeight="1" thickBot="1" x14ac:dyDescent="0.25">
      <c r="A25" s="1518" t="s">
        <v>15</v>
      </c>
      <c r="B25" s="1021"/>
      <c r="C25" s="1021"/>
      <c r="D25" s="1021"/>
      <c r="E25" s="1021"/>
      <c r="F25" s="1021"/>
      <c r="G25" s="1021"/>
      <c r="H25" s="1021"/>
      <c r="I25" s="1021"/>
      <c r="J25" s="1021"/>
      <c r="K25" s="1021"/>
      <c r="L25" s="1021"/>
      <c r="M25" s="1021"/>
      <c r="N25" s="1021"/>
      <c r="O25" s="1021"/>
      <c r="P25" s="1021"/>
      <c r="Q25" s="1021"/>
      <c r="R25" s="1021"/>
      <c r="S25" s="1021"/>
      <c r="T25" s="1021"/>
      <c r="U25" s="1021"/>
      <c r="V25" s="1021"/>
      <c r="W25" s="1021"/>
      <c r="X25" s="1021"/>
      <c r="Y25" s="1021"/>
      <c r="Z25" s="1021"/>
      <c r="AA25" s="1021"/>
      <c r="AB25" s="1021"/>
      <c r="AC25" s="1021"/>
      <c r="AD25" s="1021"/>
      <c r="AE25" s="1021"/>
      <c r="AF25" s="1021"/>
      <c r="AG25" s="1021"/>
      <c r="AH25" s="1021"/>
      <c r="AI25" s="1021"/>
      <c r="AJ25" s="1021"/>
      <c r="AK25" s="1021"/>
      <c r="AL25" s="1021"/>
      <c r="AM25" s="1021"/>
      <c r="AN25" s="1021"/>
      <c r="AO25" s="1021"/>
      <c r="AP25" s="1021"/>
      <c r="AQ25" s="1021"/>
      <c r="AR25" s="1021"/>
      <c r="AS25" s="1021"/>
      <c r="AT25" s="1021"/>
      <c r="AU25" s="1021"/>
      <c r="AV25" s="1021"/>
      <c r="AW25" s="1021"/>
      <c r="AX25" s="1021"/>
      <c r="AY25" s="1021"/>
      <c r="AZ25" s="1021"/>
      <c r="BA25" s="1021"/>
      <c r="BB25" s="1519"/>
    </row>
    <row r="26" spans="1:54" ht="5.0999999999999996" customHeight="1" x14ac:dyDescent="0.2">
      <c r="A26" s="1542" t="s">
        <v>117</v>
      </c>
      <c r="B26" s="1050"/>
      <c r="C26" s="1050"/>
      <c r="D26" s="1050"/>
      <c r="E26" s="1050"/>
      <c r="F26" s="1050"/>
      <c r="G26" s="1051"/>
      <c r="H26" s="1282" t="s">
        <v>16</v>
      </c>
      <c r="I26" s="1283"/>
      <c r="J26" s="1283"/>
      <c r="K26" s="1283"/>
      <c r="L26" s="1283"/>
      <c r="M26" s="1283"/>
      <c r="N26" s="1283"/>
      <c r="O26" s="1283"/>
      <c r="P26" s="1283"/>
      <c r="Q26" s="1283"/>
      <c r="R26" s="1283"/>
      <c r="S26" s="1283"/>
      <c r="T26" s="1283"/>
      <c r="U26" s="1283"/>
      <c r="V26" s="1283"/>
      <c r="W26" s="1283"/>
      <c r="X26" s="1283"/>
      <c r="Y26" s="1283"/>
      <c r="Z26" s="1238">
        <v>0.15</v>
      </c>
      <c r="AA26" s="1238"/>
      <c r="AB26" s="1238"/>
      <c r="AC26" s="1286">
        <f>(AX53+AX80)*Z26*AH26</f>
        <v>708.07100000000003</v>
      </c>
      <c r="AD26" s="1286"/>
      <c r="AE26" s="1286"/>
      <c r="AF26" s="1286"/>
      <c r="AG26" s="1286"/>
      <c r="AH26" s="1287">
        <v>2</v>
      </c>
      <c r="AI26" s="1287"/>
      <c r="AJ26" s="1287"/>
      <c r="AK26" s="1287"/>
      <c r="AL26" s="1287"/>
      <c r="AM26" s="1287"/>
      <c r="AN26" s="781">
        <f>AC26/U13</f>
        <v>101.15300000000001</v>
      </c>
      <c r="AO26" s="781"/>
      <c r="AP26" s="781"/>
      <c r="AQ26" s="781"/>
      <c r="AR26" s="781"/>
      <c r="AS26" s="1287" t="s">
        <v>17</v>
      </c>
      <c r="AT26" s="1287"/>
      <c r="AU26" s="1287"/>
      <c r="AV26" s="1287"/>
      <c r="AW26" s="1287"/>
      <c r="AX26" s="781" t="s">
        <v>17</v>
      </c>
      <c r="AY26" s="781"/>
      <c r="AZ26" s="781"/>
      <c r="BA26" s="781"/>
      <c r="BB26" s="782"/>
    </row>
    <row r="27" spans="1:54" s="11" customFormat="1" ht="11.25" customHeight="1" x14ac:dyDescent="0.2">
      <c r="A27" s="1542"/>
      <c r="B27" s="1050"/>
      <c r="C27" s="1050"/>
      <c r="D27" s="1050"/>
      <c r="E27" s="1050"/>
      <c r="F27" s="1050"/>
      <c r="G27" s="1051"/>
      <c r="H27" s="1282"/>
      <c r="I27" s="1283"/>
      <c r="J27" s="1283"/>
      <c r="K27" s="1283"/>
      <c r="L27" s="1283"/>
      <c r="M27" s="1283"/>
      <c r="N27" s="1283"/>
      <c r="O27" s="1283"/>
      <c r="P27" s="1283"/>
      <c r="Q27" s="1283"/>
      <c r="R27" s="1283"/>
      <c r="S27" s="1283"/>
      <c r="T27" s="1283"/>
      <c r="U27" s="1283"/>
      <c r="V27" s="1283"/>
      <c r="W27" s="1283"/>
      <c r="X27" s="1283"/>
      <c r="Y27" s="1283"/>
      <c r="Z27" s="1241"/>
      <c r="AA27" s="1241"/>
      <c r="AB27" s="1241"/>
      <c r="AC27" s="1185"/>
      <c r="AD27" s="1185"/>
      <c r="AE27" s="1185"/>
      <c r="AF27" s="1185"/>
      <c r="AG27" s="1185"/>
      <c r="AH27" s="1288"/>
      <c r="AI27" s="1288"/>
      <c r="AJ27" s="1288"/>
      <c r="AK27" s="1288"/>
      <c r="AL27" s="1288"/>
      <c r="AM27" s="1288"/>
      <c r="AN27" s="601"/>
      <c r="AO27" s="601"/>
      <c r="AP27" s="601"/>
      <c r="AQ27" s="601"/>
      <c r="AR27" s="601"/>
      <c r="AS27" s="1288"/>
      <c r="AT27" s="1288"/>
      <c r="AU27" s="1288"/>
      <c r="AV27" s="1288"/>
      <c r="AW27" s="1288"/>
      <c r="AX27" s="601"/>
      <c r="AY27" s="601"/>
      <c r="AZ27" s="601"/>
      <c r="BA27" s="601"/>
      <c r="BB27" s="655"/>
    </row>
    <row r="28" spans="1:54" s="11" customFormat="1" ht="5.0999999999999996" customHeight="1" x14ac:dyDescent="0.2">
      <c r="A28" s="1488" t="s">
        <v>89</v>
      </c>
      <c r="B28" s="1489"/>
      <c r="C28" s="1489"/>
      <c r="D28" s="1489"/>
      <c r="E28" s="1489"/>
      <c r="F28" s="1489"/>
      <c r="G28" s="1490"/>
      <c r="H28" s="1282"/>
      <c r="I28" s="1283"/>
      <c r="J28" s="1283"/>
      <c r="K28" s="1283"/>
      <c r="L28" s="1283"/>
      <c r="M28" s="1283"/>
      <c r="N28" s="1283"/>
      <c r="O28" s="1283"/>
      <c r="P28" s="1283"/>
      <c r="Q28" s="1283"/>
      <c r="R28" s="1283"/>
      <c r="S28" s="1283"/>
      <c r="T28" s="1283"/>
      <c r="U28" s="1283"/>
      <c r="V28" s="1283"/>
      <c r="W28" s="1283"/>
      <c r="X28" s="1283"/>
      <c r="Y28" s="1283"/>
      <c r="Z28" s="1241"/>
      <c r="AA28" s="1241"/>
      <c r="AB28" s="1241"/>
      <c r="AC28" s="1185"/>
      <c r="AD28" s="1185"/>
      <c r="AE28" s="1185"/>
      <c r="AF28" s="1185"/>
      <c r="AG28" s="1185"/>
      <c r="AH28" s="1288"/>
      <c r="AI28" s="1288"/>
      <c r="AJ28" s="1288"/>
      <c r="AK28" s="1288"/>
      <c r="AL28" s="1288"/>
      <c r="AM28" s="1288"/>
      <c r="AN28" s="601"/>
      <c r="AO28" s="601"/>
      <c r="AP28" s="601"/>
      <c r="AQ28" s="601"/>
      <c r="AR28" s="601"/>
      <c r="AS28" s="1288"/>
      <c r="AT28" s="1288"/>
      <c r="AU28" s="1288"/>
      <c r="AV28" s="1288"/>
      <c r="AW28" s="1288"/>
      <c r="AX28" s="601"/>
      <c r="AY28" s="601"/>
      <c r="AZ28" s="601"/>
      <c r="BA28" s="601"/>
      <c r="BB28" s="655"/>
    </row>
    <row r="29" spans="1:54" s="11" customFormat="1" ht="11.25" customHeight="1" x14ac:dyDescent="0.2">
      <c r="A29" s="1542"/>
      <c r="B29" s="1050"/>
      <c r="C29" s="1050"/>
      <c r="D29" s="1050"/>
      <c r="E29" s="1050"/>
      <c r="F29" s="1050"/>
      <c r="G29" s="1051"/>
      <c r="H29" s="1282"/>
      <c r="I29" s="1283"/>
      <c r="J29" s="1283"/>
      <c r="K29" s="1283"/>
      <c r="L29" s="1283"/>
      <c r="M29" s="1283"/>
      <c r="N29" s="1283"/>
      <c r="O29" s="1283"/>
      <c r="P29" s="1283"/>
      <c r="Q29" s="1283"/>
      <c r="R29" s="1283"/>
      <c r="S29" s="1283"/>
      <c r="T29" s="1283"/>
      <c r="U29" s="1283"/>
      <c r="V29" s="1283"/>
      <c r="W29" s="1283"/>
      <c r="X29" s="1283"/>
      <c r="Y29" s="1283"/>
      <c r="Z29" s="1241"/>
      <c r="AA29" s="1241"/>
      <c r="AB29" s="1241"/>
      <c r="AC29" s="1185"/>
      <c r="AD29" s="1185"/>
      <c r="AE29" s="1185"/>
      <c r="AF29" s="1185"/>
      <c r="AG29" s="1185"/>
      <c r="AH29" s="1288"/>
      <c r="AI29" s="1288"/>
      <c r="AJ29" s="1288"/>
      <c r="AK29" s="1288"/>
      <c r="AL29" s="1288"/>
      <c r="AM29" s="1288"/>
      <c r="AN29" s="601"/>
      <c r="AO29" s="601"/>
      <c r="AP29" s="601"/>
      <c r="AQ29" s="601"/>
      <c r="AR29" s="601"/>
      <c r="AS29" s="1288"/>
      <c r="AT29" s="1288"/>
      <c r="AU29" s="1288"/>
      <c r="AV29" s="1288"/>
      <c r="AW29" s="1288"/>
      <c r="AX29" s="601"/>
      <c r="AY29" s="601"/>
      <c r="AZ29" s="601"/>
      <c r="BA29" s="601"/>
      <c r="BB29" s="655"/>
    </row>
    <row r="30" spans="1:54" ht="5.0999999999999996" hidden="1" customHeight="1" x14ac:dyDescent="0.2">
      <c r="A30" s="1542"/>
      <c r="B30" s="1050"/>
      <c r="C30" s="1050"/>
      <c r="D30" s="1050"/>
      <c r="E30" s="1050"/>
      <c r="F30" s="1050"/>
      <c r="G30" s="1051"/>
      <c r="H30" s="1282"/>
      <c r="I30" s="1283"/>
      <c r="J30" s="1283"/>
      <c r="K30" s="1283"/>
      <c r="L30" s="1283"/>
      <c r="M30" s="1283"/>
      <c r="N30" s="1283"/>
      <c r="O30" s="1283"/>
      <c r="P30" s="1283"/>
      <c r="Q30" s="1283"/>
      <c r="R30" s="1283"/>
      <c r="S30" s="1283"/>
      <c r="T30" s="1283"/>
      <c r="U30" s="1283"/>
      <c r="V30" s="1283"/>
      <c r="W30" s="1283"/>
      <c r="X30" s="1283"/>
      <c r="Y30" s="1283"/>
      <c r="Z30" s="1241"/>
      <c r="AA30" s="1241"/>
      <c r="AB30" s="1241"/>
      <c r="AC30" s="1185"/>
      <c r="AD30" s="1185"/>
      <c r="AE30" s="1185"/>
      <c r="AF30" s="1185"/>
      <c r="AG30" s="1185"/>
      <c r="AH30" s="1288"/>
      <c r="AI30" s="1288"/>
      <c r="AJ30" s="1288"/>
      <c r="AK30" s="1288"/>
      <c r="AL30" s="1288"/>
      <c r="AM30" s="1288"/>
      <c r="AN30" s="601"/>
      <c r="AO30" s="601"/>
      <c r="AP30" s="601"/>
      <c r="AQ30" s="601"/>
      <c r="AR30" s="601"/>
      <c r="AS30" s="1288"/>
      <c r="AT30" s="1288"/>
      <c r="AU30" s="1288"/>
      <c r="AV30" s="1288"/>
      <c r="AW30" s="1288"/>
      <c r="AX30" s="601"/>
      <c r="AY30" s="601"/>
      <c r="AZ30" s="601"/>
      <c r="BA30" s="601"/>
      <c r="BB30" s="655"/>
    </row>
    <row r="31" spans="1:54" s="11" customFormat="1" ht="11.25" hidden="1" customHeight="1" x14ac:dyDescent="0.2">
      <c r="A31" s="1542"/>
      <c r="B31" s="1050"/>
      <c r="C31" s="1050"/>
      <c r="D31" s="1050"/>
      <c r="E31" s="1050"/>
      <c r="F31" s="1050"/>
      <c r="G31" s="1051"/>
      <c r="H31" s="1282"/>
      <c r="I31" s="1283"/>
      <c r="J31" s="1283"/>
      <c r="K31" s="1283"/>
      <c r="L31" s="1283"/>
      <c r="M31" s="1283"/>
      <c r="N31" s="1283"/>
      <c r="O31" s="1283"/>
      <c r="P31" s="1283"/>
      <c r="Q31" s="1283"/>
      <c r="R31" s="1283"/>
      <c r="S31" s="1283"/>
      <c r="T31" s="1283"/>
      <c r="U31" s="1283"/>
      <c r="V31" s="1283"/>
      <c r="W31" s="1283"/>
      <c r="X31" s="1283"/>
      <c r="Y31" s="1283"/>
      <c r="Z31" s="1241"/>
      <c r="AA31" s="1241"/>
      <c r="AB31" s="1241"/>
      <c r="AC31" s="1185"/>
      <c r="AD31" s="1185"/>
      <c r="AE31" s="1185"/>
      <c r="AF31" s="1185"/>
      <c r="AG31" s="1185"/>
      <c r="AH31" s="1288"/>
      <c r="AI31" s="1288"/>
      <c r="AJ31" s="1288"/>
      <c r="AK31" s="1288"/>
      <c r="AL31" s="1288"/>
      <c r="AM31" s="1288"/>
      <c r="AN31" s="601"/>
      <c r="AO31" s="601"/>
      <c r="AP31" s="601"/>
      <c r="AQ31" s="601"/>
      <c r="AR31" s="601"/>
      <c r="AS31" s="1288"/>
      <c r="AT31" s="1288"/>
      <c r="AU31" s="1288"/>
      <c r="AV31" s="1288"/>
      <c r="AW31" s="1288"/>
      <c r="AX31" s="601"/>
      <c r="AY31" s="601"/>
      <c r="AZ31" s="601"/>
      <c r="BA31" s="601"/>
      <c r="BB31" s="655"/>
    </row>
    <row r="32" spans="1:54" s="11" customFormat="1" ht="5.0999999999999996" hidden="1" customHeight="1" x14ac:dyDescent="0.2">
      <c r="A32" s="1542"/>
      <c r="B32" s="1050"/>
      <c r="C32" s="1050"/>
      <c r="D32" s="1050"/>
      <c r="E32" s="1050"/>
      <c r="F32" s="1050"/>
      <c r="G32" s="1051"/>
      <c r="H32" s="1282"/>
      <c r="I32" s="1283"/>
      <c r="J32" s="1283"/>
      <c r="K32" s="1283"/>
      <c r="L32" s="1283"/>
      <c r="M32" s="1283"/>
      <c r="N32" s="1283"/>
      <c r="O32" s="1283"/>
      <c r="P32" s="1283"/>
      <c r="Q32" s="1283"/>
      <c r="R32" s="1283"/>
      <c r="S32" s="1283"/>
      <c r="T32" s="1283"/>
      <c r="U32" s="1283"/>
      <c r="V32" s="1283"/>
      <c r="W32" s="1283"/>
      <c r="X32" s="1283"/>
      <c r="Y32" s="1283"/>
      <c r="Z32" s="1241"/>
      <c r="AA32" s="1241"/>
      <c r="AB32" s="1241"/>
      <c r="AC32" s="1185"/>
      <c r="AD32" s="1185"/>
      <c r="AE32" s="1185"/>
      <c r="AF32" s="1185"/>
      <c r="AG32" s="1185"/>
      <c r="AH32" s="1288"/>
      <c r="AI32" s="1288"/>
      <c r="AJ32" s="1288"/>
      <c r="AK32" s="1288"/>
      <c r="AL32" s="1288"/>
      <c r="AM32" s="1288"/>
      <c r="AN32" s="601"/>
      <c r="AO32" s="601"/>
      <c r="AP32" s="601"/>
      <c r="AQ32" s="601"/>
      <c r="AR32" s="601"/>
      <c r="AS32" s="1288"/>
      <c r="AT32" s="1288"/>
      <c r="AU32" s="1288"/>
      <c r="AV32" s="1288"/>
      <c r="AW32" s="1288"/>
      <c r="AX32" s="601"/>
      <c r="AY32" s="601"/>
      <c r="AZ32" s="601"/>
      <c r="BA32" s="601"/>
      <c r="BB32" s="655"/>
    </row>
    <row r="33" spans="1:54" s="11" customFormat="1" ht="11.25" hidden="1" customHeight="1" thickBot="1" x14ac:dyDescent="0.25">
      <c r="A33" s="1542"/>
      <c r="B33" s="1050"/>
      <c r="C33" s="1050"/>
      <c r="D33" s="1050"/>
      <c r="E33" s="1050"/>
      <c r="F33" s="1050"/>
      <c r="G33" s="1051"/>
      <c r="H33" s="1282"/>
      <c r="I33" s="1283"/>
      <c r="J33" s="1283"/>
      <c r="K33" s="1283"/>
      <c r="L33" s="1283"/>
      <c r="M33" s="1283"/>
      <c r="N33" s="1283"/>
      <c r="O33" s="1283"/>
      <c r="P33" s="1283"/>
      <c r="Q33" s="1283"/>
      <c r="R33" s="1283"/>
      <c r="S33" s="1283"/>
      <c r="T33" s="1283"/>
      <c r="U33" s="1283"/>
      <c r="V33" s="1283"/>
      <c r="W33" s="1283"/>
      <c r="X33" s="1283"/>
      <c r="Y33" s="1283"/>
      <c r="Z33" s="1241"/>
      <c r="AA33" s="1241"/>
      <c r="AB33" s="1241"/>
      <c r="AC33" s="1185"/>
      <c r="AD33" s="1185"/>
      <c r="AE33" s="1185"/>
      <c r="AF33" s="1185"/>
      <c r="AG33" s="1185"/>
      <c r="AH33" s="1288"/>
      <c r="AI33" s="1288"/>
      <c r="AJ33" s="1288"/>
      <c r="AK33" s="1288"/>
      <c r="AL33" s="1288"/>
      <c r="AM33" s="1288"/>
      <c r="AN33" s="601"/>
      <c r="AO33" s="601"/>
      <c r="AP33" s="601"/>
      <c r="AQ33" s="601"/>
      <c r="AR33" s="601"/>
      <c r="AS33" s="1288"/>
      <c r="AT33" s="1288"/>
      <c r="AU33" s="1288"/>
      <c r="AV33" s="1288"/>
      <c r="AW33" s="1288"/>
      <c r="AX33" s="601"/>
      <c r="AY33" s="601"/>
      <c r="AZ33" s="601"/>
      <c r="BA33" s="601"/>
      <c r="BB33" s="655"/>
    </row>
    <row r="34" spans="1:54" ht="5.0999999999999996" hidden="1" customHeight="1" x14ac:dyDescent="0.2">
      <c r="A34" s="1542"/>
      <c r="B34" s="1050"/>
      <c r="C34" s="1050"/>
      <c r="D34" s="1050"/>
      <c r="E34" s="1050"/>
      <c r="F34" s="1050"/>
      <c r="G34" s="1051"/>
      <c r="H34" s="1282"/>
      <c r="I34" s="1283"/>
      <c r="J34" s="1283"/>
      <c r="K34" s="1283"/>
      <c r="L34" s="1283"/>
      <c r="M34" s="1283"/>
      <c r="N34" s="1283"/>
      <c r="O34" s="1283"/>
      <c r="P34" s="1283"/>
      <c r="Q34" s="1283"/>
      <c r="R34" s="1283"/>
      <c r="S34" s="1283"/>
      <c r="T34" s="1283"/>
      <c r="U34" s="1283"/>
      <c r="V34" s="1283"/>
      <c r="W34" s="1283"/>
      <c r="X34" s="1283"/>
      <c r="Y34" s="1283"/>
      <c r="Z34" s="1241"/>
      <c r="AA34" s="1241"/>
      <c r="AB34" s="1241"/>
      <c r="AC34" s="1185"/>
      <c r="AD34" s="1185"/>
      <c r="AE34" s="1185"/>
      <c r="AF34" s="1185"/>
      <c r="AG34" s="1185"/>
      <c r="AH34" s="1288"/>
      <c r="AI34" s="1288"/>
      <c r="AJ34" s="1288"/>
      <c r="AK34" s="1288"/>
      <c r="AL34" s="1288"/>
      <c r="AM34" s="1288"/>
      <c r="AN34" s="601"/>
      <c r="AO34" s="601"/>
      <c r="AP34" s="601"/>
      <c r="AQ34" s="601"/>
      <c r="AR34" s="601"/>
      <c r="AS34" s="1288"/>
      <c r="AT34" s="1288"/>
      <c r="AU34" s="1288"/>
      <c r="AV34" s="1288"/>
      <c r="AW34" s="1288"/>
      <c r="AX34" s="601"/>
      <c r="AY34" s="601"/>
      <c r="AZ34" s="601"/>
      <c r="BA34" s="601"/>
      <c r="BB34" s="655"/>
    </row>
    <row r="35" spans="1:54" s="11" customFormat="1" ht="3.75" customHeight="1" thickBot="1" x14ac:dyDescent="0.25">
      <c r="A35" s="1543"/>
      <c r="B35" s="1544"/>
      <c r="C35" s="1544"/>
      <c r="D35" s="1544"/>
      <c r="E35" s="1544"/>
      <c r="F35" s="1544"/>
      <c r="G35" s="1545"/>
      <c r="H35" s="1284"/>
      <c r="I35" s="1285"/>
      <c r="J35" s="1285"/>
      <c r="K35" s="1285"/>
      <c r="L35" s="1285"/>
      <c r="M35" s="1285"/>
      <c r="N35" s="1285"/>
      <c r="O35" s="1285"/>
      <c r="P35" s="1285"/>
      <c r="Q35" s="1285"/>
      <c r="R35" s="1285"/>
      <c r="S35" s="1285"/>
      <c r="T35" s="1285"/>
      <c r="U35" s="1285"/>
      <c r="V35" s="1285"/>
      <c r="W35" s="1285"/>
      <c r="X35" s="1285"/>
      <c r="Y35" s="1285"/>
      <c r="Z35" s="1244"/>
      <c r="AA35" s="1244"/>
      <c r="AB35" s="1244"/>
      <c r="AC35" s="1187"/>
      <c r="AD35" s="1187"/>
      <c r="AE35" s="1187"/>
      <c r="AF35" s="1187"/>
      <c r="AG35" s="1187"/>
      <c r="AH35" s="1289"/>
      <c r="AI35" s="1289"/>
      <c r="AJ35" s="1289"/>
      <c r="AK35" s="1289"/>
      <c r="AL35" s="1289"/>
      <c r="AM35" s="1289"/>
      <c r="AN35" s="656"/>
      <c r="AO35" s="656"/>
      <c r="AP35" s="656"/>
      <c r="AQ35" s="656"/>
      <c r="AR35" s="656"/>
      <c r="AS35" s="1289"/>
      <c r="AT35" s="1289"/>
      <c r="AU35" s="1289"/>
      <c r="AV35" s="1289"/>
      <c r="AW35" s="1289"/>
      <c r="AX35" s="656"/>
      <c r="AY35" s="656"/>
      <c r="AZ35" s="656"/>
      <c r="BA35" s="656"/>
      <c r="BB35" s="657"/>
    </row>
    <row r="36" spans="1:54" s="13" customFormat="1" ht="12" customHeight="1" x14ac:dyDescent="0.2">
      <c r="A36" s="12"/>
      <c r="B36" s="12"/>
      <c r="C36" s="12"/>
      <c r="D36" s="12"/>
      <c r="E36" s="12"/>
      <c r="F36" s="12"/>
      <c r="G36" s="12"/>
      <c r="H36" s="1273"/>
      <c r="I36" s="1273"/>
      <c r="J36" s="1273"/>
      <c r="K36" s="1273"/>
      <c r="L36" s="1273"/>
      <c r="M36" s="1273"/>
      <c r="P36" s="14"/>
      <c r="Q36" s="15"/>
      <c r="R36" s="16" t="s">
        <v>18</v>
      </c>
      <c r="S36" s="17"/>
      <c r="T36" s="17"/>
      <c r="U36" s="18"/>
      <c r="V36" s="18"/>
      <c r="W36" s="18"/>
      <c r="X36" s="18"/>
      <c r="Y36" s="18"/>
      <c r="Z36" s="8"/>
      <c r="AA36" s="8"/>
      <c r="AB36" s="8"/>
      <c r="AC36" s="18"/>
      <c r="AD36" s="18" t="s">
        <v>19</v>
      </c>
      <c r="AE36" s="18" t="s">
        <v>20</v>
      </c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9"/>
      <c r="AS36" s="1178">
        <f>AN26</f>
        <v>101.15300000000001</v>
      </c>
      <c r="AT36" s="1178"/>
      <c r="AU36" s="1178"/>
      <c r="AV36" s="1178"/>
      <c r="AW36" s="1178"/>
      <c r="AX36" s="1178">
        <f>AC26</f>
        <v>708.07100000000003</v>
      </c>
      <c r="AY36" s="1178"/>
      <c r="AZ36" s="1178"/>
      <c r="BA36" s="1178"/>
      <c r="BB36" s="1179"/>
    </row>
    <row r="37" spans="1:54" s="13" customFormat="1" ht="11.25" customHeight="1" thickBot="1" x14ac:dyDescent="0.25">
      <c r="A37" s="12"/>
      <c r="B37" s="12"/>
      <c r="C37" s="12"/>
      <c r="D37" s="12"/>
      <c r="E37" s="12"/>
      <c r="F37" s="12"/>
      <c r="G37" s="12"/>
      <c r="H37" s="415"/>
      <c r="I37" s="415"/>
      <c r="J37" s="415"/>
      <c r="K37" s="415"/>
      <c r="L37" s="415"/>
      <c r="M37" s="415"/>
      <c r="P37" s="14"/>
      <c r="Q37" s="418"/>
      <c r="R37" s="20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 t="s">
        <v>19</v>
      </c>
      <c r="AE37" s="21" t="s">
        <v>21</v>
      </c>
      <c r="AF37" s="21"/>
      <c r="AG37" s="21"/>
      <c r="AH37" s="21"/>
      <c r="AI37" s="21"/>
      <c r="AJ37" s="21"/>
      <c r="AK37" s="21"/>
      <c r="AL37" s="21"/>
      <c r="AM37" s="21"/>
      <c r="AN37" s="21"/>
      <c r="AO37" s="1153">
        <v>0.30199999999999999</v>
      </c>
      <c r="AP37" s="997"/>
      <c r="AQ37" s="997"/>
      <c r="AR37" s="998"/>
      <c r="AS37" s="1154">
        <f>AX37/U13</f>
        <v>30.548206</v>
      </c>
      <c r="AT37" s="1154"/>
      <c r="AU37" s="1154"/>
      <c r="AV37" s="1154"/>
      <c r="AW37" s="1154"/>
      <c r="AX37" s="1154">
        <f>AX36*AO37</f>
        <v>213.83744200000001</v>
      </c>
      <c r="AY37" s="1154"/>
      <c r="AZ37" s="1154"/>
      <c r="BA37" s="1154"/>
      <c r="BB37" s="1155"/>
    </row>
    <row r="38" spans="1:54" s="13" customFormat="1" ht="5.0999999999999996" customHeight="1" thickBot="1" x14ac:dyDescent="0.25">
      <c r="A38" s="12"/>
      <c r="B38" s="12"/>
      <c r="C38" s="12"/>
      <c r="D38" s="12"/>
      <c r="E38" s="12"/>
      <c r="F38" s="12"/>
      <c r="G38" s="12"/>
      <c r="H38" s="415"/>
      <c r="I38" s="415"/>
      <c r="J38" s="415"/>
      <c r="K38" s="415"/>
      <c r="L38" s="415"/>
      <c r="M38" s="415"/>
      <c r="P38" s="14"/>
      <c r="Q38" s="418"/>
      <c r="R38" s="418"/>
      <c r="S38" s="418"/>
      <c r="U38" s="418"/>
      <c r="V38" s="418"/>
      <c r="W38" s="418"/>
      <c r="Z38" s="8"/>
      <c r="AA38" s="8"/>
      <c r="AB38" s="8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424"/>
      <c r="AT38" s="425"/>
      <c r="AU38" s="425"/>
      <c r="AV38" s="425"/>
      <c r="AW38" s="425"/>
      <c r="AX38" s="424"/>
      <c r="AY38" s="425"/>
      <c r="AZ38" s="425"/>
      <c r="BA38" s="425"/>
      <c r="BB38" s="425"/>
    </row>
    <row r="39" spans="1:54" s="13" customFormat="1" ht="12" customHeight="1" x14ac:dyDescent="0.2">
      <c r="A39" s="1192" t="s">
        <v>8</v>
      </c>
      <c r="B39" s="1193"/>
      <c r="C39" s="1193"/>
      <c r="D39" s="1193"/>
      <c r="E39" s="1193"/>
      <c r="F39" s="1193"/>
      <c r="G39" s="1194"/>
      <c r="H39" s="1201" t="s">
        <v>9</v>
      </c>
      <c r="I39" s="1193"/>
      <c r="J39" s="1193"/>
      <c r="K39" s="1193"/>
      <c r="L39" s="1193"/>
      <c r="M39" s="1193"/>
      <c r="N39" s="1193"/>
      <c r="O39" s="1193"/>
      <c r="P39" s="1193"/>
      <c r="Q39" s="1193"/>
      <c r="R39" s="1193"/>
      <c r="S39" s="1193"/>
      <c r="T39" s="1193"/>
      <c r="U39" s="1193"/>
      <c r="V39" s="1193"/>
      <c r="W39" s="1193"/>
      <c r="X39" s="1193"/>
      <c r="Y39" s="1193"/>
      <c r="Z39" s="1193"/>
      <c r="AA39" s="1193"/>
      <c r="AB39" s="1194"/>
      <c r="AC39" s="1201" t="s">
        <v>10</v>
      </c>
      <c r="AD39" s="1193"/>
      <c r="AE39" s="1193"/>
      <c r="AF39" s="1193"/>
      <c r="AG39" s="1194"/>
      <c r="AH39" s="1210" t="s">
        <v>420</v>
      </c>
      <c r="AI39" s="1265"/>
      <c r="AJ39" s="1265"/>
      <c r="AK39" s="1265"/>
      <c r="AL39" s="1265"/>
      <c r="AM39" s="1266"/>
      <c r="AN39" s="1210" t="s">
        <v>12</v>
      </c>
      <c r="AO39" s="1204"/>
      <c r="AP39" s="1204"/>
      <c r="AQ39" s="1204"/>
      <c r="AR39" s="1205"/>
      <c r="AS39" s="1210" t="s">
        <v>13</v>
      </c>
      <c r="AT39" s="1204"/>
      <c r="AU39" s="1204"/>
      <c r="AV39" s="1204"/>
      <c r="AW39" s="1213"/>
      <c r="AX39" s="1210" t="s">
        <v>14</v>
      </c>
      <c r="AY39" s="1204"/>
      <c r="AZ39" s="1204"/>
      <c r="BA39" s="1204"/>
      <c r="BB39" s="1213"/>
    </row>
    <row r="40" spans="1:54" s="13" customFormat="1" ht="12" customHeight="1" x14ac:dyDescent="0.2">
      <c r="A40" s="1195"/>
      <c r="B40" s="1196"/>
      <c r="C40" s="1196"/>
      <c r="D40" s="1196"/>
      <c r="E40" s="1196"/>
      <c r="F40" s="1196"/>
      <c r="G40" s="1197"/>
      <c r="H40" s="1202"/>
      <c r="I40" s="1196"/>
      <c r="J40" s="1196"/>
      <c r="K40" s="1196"/>
      <c r="L40" s="1196"/>
      <c r="M40" s="1196"/>
      <c r="N40" s="1196"/>
      <c r="O40" s="1196"/>
      <c r="P40" s="1196"/>
      <c r="Q40" s="1196"/>
      <c r="R40" s="1196"/>
      <c r="S40" s="1196"/>
      <c r="T40" s="1196"/>
      <c r="U40" s="1196"/>
      <c r="V40" s="1196"/>
      <c r="W40" s="1196"/>
      <c r="X40" s="1196"/>
      <c r="Y40" s="1196"/>
      <c r="Z40" s="1196"/>
      <c r="AA40" s="1196"/>
      <c r="AB40" s="1197"/>
      <c r="AC40" s="1202"/>
      <c r="AD40" s="1196"/>
      <c r="AE40" s="1196"/>
      <c r="AF40" s="1196"/>
      <c r="AG40" s="1197"/>
      <c r="AH40" s="1267"/>
      <c r="AI40" s="1268"/>
      <c r="AJ40" s="1268"/>
      <c r="AK40" s="1268"/>
      <c r="AL40" s="1268"/>
      <c r="AM40" s="1269"/>
      <c r="AN40" s="1211"/>
      <c r="AO40" s="1206"/>
      <c r="AP40" s="1206"/>
      <c r="AQ40" s="1206"/>
      <c r="AR40" s="1207"/>
      <c r="AS40" s="1211"/>
      <c r="AT40" s="1206"/>
      <c r="AU40" s="1206"/>
      <c r="AV40" s="1206"/>
      <c r="AW40" s="1214"/>
      <c r="AX40" s="1211"/>
      <c r="AY40" s="1206"/>
      <c r="AZ40" s="1206"/>
      <c r="BA40" s="1206"/>
      <c r="BB40" s="1214"/>
    </row>
    <row r="41" spans="1:54" s="13" customFormat="1" ht="11.25" customHeight="1" thickBot="1" x14ac:dyDescent="0.25">
      <c r="A41" s="1198"/>
      <c r="B41" s="1199"/>
      <c r="C41" s="1199"/>
      <c r="D41" s="1199"/>
      <c r="E41" s="1199"/>
      <c r="F41" s="1199"/>
      <c r="G41" s="1200"/>
      <c r="H41" s="1203"/>
      <c r="I41" s="1199"/>
      <c r="J41" s="1199"/>
      <c r="K41" s="1199"/>
      <c r="L41" s="1199"/>
      <c r="M41" s="1199"/>
      <c r="N41" s="1199"/>
      <c r="O41" s="1199"/>
      <c r="P41" s="1199"/>
      <c r="Q41" s="1199"/>
      <c r="R41" s="1199"/>
      <c r="S41" s="1199"/>
      <c r="T41" s="1199"/>
      <c r="U41" s="1199"/>
      <c r="V41" s="1199"/>
      <c r="W41" s="1199"/>
      <c r="X41" s="1199"/>
      <c r="Y41" s="1199"/>
      <c r="Z41" s="1199"/>
      <c r="AA41" s="1199"/>
      <c r="AB41" s="1200"/>
      <c r="AC41" s="1203"/>
      <c r="AD41" s="1199"/>
      <c r="AE41" s="1199"/>
      <c r="AF41" s="1199"/>
      <c r="AG41" s="1200"/>
      <c r="AH41" s="1270"/>
      <c r="AI41" s="1271"/>
      <c r="AJ41" s="1271"/>
      <c r="AK41" s="1271"/>
      <c r="AL41" s="1271"/>
      <c r="AM41" s="1272"/>
      <c r="AN41" s="1212"/>
      <c r="AO41" s="1208"/>
      <c r="AP41" s="1208"/>
      <c r="AQ41" s="1208"/>
      <c r="AR41" s="1209"/>
      <c r="AS41" s="1212"/>
      <c r="AT41" s="1208"/>
      <c r="AU41" s="1208"/>
      <c r="AV41" s="1208"/>
      <c r="AW41" s="1215"/>
      <c r="AX41" s="1212"/>
      <c r="AY41" s="1208"/>
      <c r="AZ41" s="1208"/>
      <c r="BA41" s="1208"/>
      <c r="BB41" s="1215"/>
    </row>
    <row r="42" spans="1:54" ht="11.25" customHeight="1" thickBot="1" x14ac:dyDescent="0.25">
      <c r="A42" s="1192" t="s">
        <v>23</v>
      </c>
      <c r="B42" s="1193"/>
      <c r="C42" s="1193"/>
      <c r="D42" s="1193"/>
      <c r="E42" s="1193"/>
      <c r="F42" s="1193"/>
      <c r="G42" s="1193"/>
      <c r="H42" s="1193"/>
      <c r="I42" s="1193"/>
      <c r="J42" s="1193"/>
      <c r="K42" s="1193"/>
      <c r="L42" s="1193"/>
      <c r="M42" s="1193"/>
      <c r="N42" s="1193"/>
      <c r="O42" s="1193"/>
      <c r="P42" s="1193"/>
      <c r="Q42" s="1193"/>
      <c r="R42" s="1193"/>
      <c r="S42" s="1193"/>
      <c r="T42" s="1193"/>
      <c r="U42" s="1193"/>
      <c r="V42" s="1193"/>
      <c r="W42" s="1193"/>
      <c r="X42" s="1193"/>
      <c r="Y42" s="1193"/>
      <c r="Z42" s="1193"/>
      <c r="AA42" s="1193"/>
      <c r="AB42" s="1193"/>
      <c r="AC42" s="1193"/>
      <c r="AD42" s="1193"/>
      <c r="AE42" s="1193"/>
      <c r="AF42" s="1193"/>
      <c r="AG42" s="1193"/>
      <c r="AH42" s="1193"/>
      <c r="AI42" s="1193"/>
      <c r="AJ42" s="1193"/>
      <c r="AK42" s="1193"/>
      <c r="AL42" s="1193"/>
      <c r="AM42" s="1193"/>
      <c r="AN42" s="1193"/>
      <c r="AO42" s="1193"/>
      <c r="AP42" s="1193"/>
      <c r="AQ42" s="1193"/>
      <c r="AR42" s="1193"/>
      <c r="AS42" s="1193"/>
      <c r="AT42" s="1193"/>
      <c r="AU42" s="1193"/>
      <c r="AV42" s="1193"/>
      <c r="AW42" s="1193"/>
      <c r="AX42" s="1193"/>
      <c r="AY42" s="1193"/>
      <c r="AZ42" s="1193"/>
      <c r="BA42" s="1193"/>
      <c r="BB42" s="1541"/>
    </row>
    <row r="43" spans="1:54" ht="5.0999999999999996" customHeight="1" x14ac:dyDescent="0.2">
      <c r="A43" s="1222"/>
      <c r="B43" s="1223"/>
      <c r="C43" s="1223"/>
      <c r="D43" s="1223"/>
      <c r="E43" s="1223"/>
      <c r="F43" s="1223"/>
      <c r="G43" s="1224"/>
      <c r="H43" s="1416" t="s">
        <v>706</v>
      </c>
      <c r="I43" s="1184"/>
      <c r="J43" s="1184"/>
      <c r="K43" s="1184"/>
      <c r="L43" s="1184"/>
      <c r="M43" s="1184"/>
      <c r="N43" s="1184"/>
      <c r="O43" s="1184"/>
      <c r="P43" s="1184"/>
      <c r="Q43" s="1184"/>
      <c r="R43" s="1184"/>
      <c r="S43" s="1184"/>
      <c r="T43" s="1184"/>
      <c r="U43" s="1184"/>
      <c r="V43" s="1184"/>
      <c r="W43" s="1184"/>
      <c r="X43" s="1184"/>
      <c r="Y43" s="1184"/>
      <c r="Z43" s="1238">
        <v>0.1</v>
      </c>
      <c r="AA43" s="1238"/>
      <c r="AB43" s="1238"/>
      <c r="AC43" s="1184">
        <f>AX80*Z43*AH43</f>
        <v>0</v>
      </c>
      <c r="AD43" s="1184"/>
      <c r="AE43" s="1184"/>
      <c r="AF43" s="1184"/>
      <c r="AG43" s="1184"/>
      <c r="AH43" s="1419">
        <v>0</v>
      </c>
      <c r="AI43" s="1419"/>
      <c r="AJ43" s="1419"/>
      <c r="AK43" s="1419"/>
      <c r="AL43" s="1419"/>
      <c r="AM43" s="1419"/>
      <c r="AN43" s="1184">
        <f>AC43/U13</f>
        <v>0</v>
      </c>
      <c r="AO43" s="1184"/>
      <c r="AP43" s="1184"/>
      <c r="AQ43" s="1184"/>
      <c r="AR43" s="1184"/>
      <c r="AS43" s="1422" t="s">
        <v>17</v>
      </c>
      <c r="AT43" s="1422"/>
      <c r="AU43" s="1422"/>
      <c r="AV43" s="1422"/>
      <c r="AW43" s="1422"/>
      <c r="AX43" s="1184" t="s">
        <v>17</v>
      </c>
      <c r="AY43" s="1184"/>
      <c r="AZ43" s="1184"/>
      <c r="BA43" s="1184"/>
      <c r="BB43" s="1423"/>
    </row>
    <row r="44" spans="1:54" s="11" customFormat="1" ht="11.25" customHeight="1" x14ac:dyDescent="0.2">
      <c r="A44" s="1225"/>
      <c r="B44" s="1226"/>
      <c r="C44" s="1226"/>
      <c r="D44" s="1226"/>
      <c r="E44" s="1226"/>
      <c r="F44" s="1226"/>
      <c r="G44" s="1227"/>
      <c r="H44" s="1417"/>
      <c r="I44" s="1185"/>
      <c r="J44" s="1185"/>
      <c r="K44" s="1185"/>
      <c r="L44" s="1185"/>
      <c r="M44" s="1185"/>
      <c r="N44" s="1185"/>
      <c r="O44" s="1185"/>
      <c r="P44" s="1185"/>
      <c r="Q44" s="1185"/>
      <c r="R44" s="1185"/>
      <c r="S44" s="1185"/>
      <c r="T44" s="1185"/>
      <c r="U44" s="1185"/>
      <c r="V44" s="1185"/>
      <c r="W44" s="1185"/>
      <c r="X44" s="1185"/>
      <c r="Y44" s="1185"/>
      <c r="Z44" s="1241"/>
      <c r="AA44" s="1241"/>
      <c r="AB44" s="1241"/>
      <c r="AC44" s="1185"/>
      <c r="AD44" s="1185"/>
      <c r="AE44" s="1185"/>
      <c r="AF44" s="1185"/>
      <c r="AG44" s="1185"/>
      <c r="AH44" s="1420"/>
      <c r="AI44" s="1420"/>
      <c r="AJ44" s="1420"/>
      <c r="AK44" s="1420"/>
      <c r="AL44" s="1420"/>
      <c r="AM44" s="1420"/>
      <c r="AN44" s="1185"/>
      <c r="AO44" s="1185"/>
      <c r="AP44" s="1185"/>
      <c r="AQ44" s="1185"/>
      <c r="AR44" s="1185"/>
      <c r="AS44" s="1288"/>
      <c r="AT44" s="1288"/>
      <c r="AU44" s="1288"/>
      <c r="AV44" s="1288"/>
      <c r="AW44" s="1288"/>
      <c r="AX44" s="1185"/>
      <c r="AY44" s="1185"/>
      <c r="AZ44" s="1185"/>
      <c r="BA44" s="1185"/>
      <c r="BB44" s="1424"/>
    </row>
    <row r="45" spans="1:54" ht="4.5" customHeight="1" x14ac:dyDescent="0.2">
      <c r="A45" s="1225"/>
      <c r="B45" s="1226"/>
      <c r="C45" s="1226"/>
      <c r="D45" s="1226"/>
      <c r="E45" s="1226"/>
      <c r="F45" s="1226"/>
      <c r="G45" s="1227"/>
      <c r="H45" s="1417"/>
      <c r="I45" s="1185"/>
      <c r="J45" s="1185"/>
      <c r="K45" s="1185"/>
      <c r="L45" s="1185"/>
      <c r="M45" s="1185"/>
      <c r="N45" s="1185"/>
      <c r="O45" s="1185"/>
      <c r="P45" s="1185"/>
      <c r="Q45" s="1185"/>
      <c r="R45" s="1185"/>
      <c r="S45" s="1185"/>
      <c r="T45" s="1185"/>
      <c r="U45" s="1185"/>
      <c r="V45" s="1185"/>
      <c r="W45" s="1185"/>
      <c r="X45" s="1185"/>
      <c r="Y45" s="1185"/>
      <c r="Z45" s="1241"/>
      <c r="AA45" s="1241"/>
      <c r="AB45" s="1241"/>
      <c r="AC45" s="1185"/>
      <c r="AD45" s="1185"/>
      <c r="AE45" s="1185"/>
      <c r="AF45" s="1185"/>
      <c r="AG45" s="1185"/>
      <c r="AH45" s="1420"/>
      <c r="AI45" s="1420"/>
      <c r="AJ45" s="1420"/>
      <c r="AK45" s="1420"/>
      <c r="AL45" s="1420"/>
      <c r="AM45" s="1420"/>
      <c r="AN45" s="1185"/>
      <c r="AO45" s="1185"/>
      <c r="AP45" s="1185"/>
      <c r="AQ45" s="1185"/>
      <c r="AR45" s="1185"/>
      <c r="AS45" s="1288"/>
      <c r="AT45" s="1288"/>
      <c r="AU45" s="1288"/>
      <c r="AV45" s="1288"/>
      <c r="AW45" s="1288"/>
      <c r="AX45" s="1185"/>
      <c r="AY45" s="1185"/>
      <c r="AZ45" s="1185"/>
      <c r="BA45" s="1185"/>
      <c r="BB45" s="1424"/>
    </row>
    <row r="46" spans="1:54" s="11" customFormat="1" ht="9" customHeight="1" x14ac:dyDescent="0.2">
      <c r="A46" s="1225"/>
      <c r="B46" s="1226"/>
      <c r="C46" s="1226"/>
      <c r="D46" s="1226"/>
      <c r="E46" s="1226"/>
      <c r="F46" s="1226"/>
      <c r="G46" s="1227"/>
      <c r="H46" s="1417"/>
      <c r="I46" s="1185"/>
      <c r="J46" s="1185"/>
      <c r="K46" s="1185"/>
      <c r="L46" s="1185"/>
      <c r="M46" s="1185"/>
      <c r="N46" s="1185"/>
      <c r="O46" s="1185"/>
      <c r="P46" s="1185"/>
      <c r="Q46" s="1185"/>
      <c r="R46" s="1185"/>
      <c r="S46" s="1185"/>
      <c r="T46" s="1185"/>
      <c r="U46" s="1185"/>
      <c r="V46" s="1185"/>
      <c r="W46" s="1185"/>
      <c r="X46" s="1185"/>
      <c r="Y46" s="1185"/>
      <c r="Z46" s="1241"/>
      <c r="AA46" s="1241"/>
      <c r="AB46" s="1241"/>
      <c r="AC46" s="1185"/>
      <c r="AD46" s="1185"/>
      <c r="AE46" s="1185"/>
      <c r="AF46" s="1185"/>
      <c r="AG46" s="1185"/>
      <c r="AH46" s="1420"/>
      <c r="AI46" s="1420"/>
      <c r="AJ46" s="1420"/>
      <c r="AK46" s="1420"/>
      <c r="AL46" s="1420"/>
      <c r="AM46" s="1420"/>
      <c r="AN46" s="1185"/>
      <c r="AO46" s="1185"/>
      <c r="AP46" s="1185"/>
      <c r="AQ46" s="1185"/>
      <c r="AR46" s="1185"/>
      <c r="AS46" s="1288"/>
      <c r="AT46" s="1288"/>
      <c r="AU46" s="1288"/>
      <c r="AV46" s="1288"/>
      <c r="AW46" s="1288"/>
      <c r="AX46" s="1185"/>
      <c r="AY46" s="1185"/>
      <c r="AZ46" s="1185"/>
      <c r="BA46" s="1185"/>
      <c r="BB46" s="1424"/>
    </row>
    <row r="47" spans="1:54" s="11" customFormat="1" ht="8.25" hidden="1" customHeight="1" x14ac:dyDescent="0.2">
      <c r="A47" s="1225"/>
      <c r="B47" s="1226"/>
      <c r="C47" s="1226"/>
      <c r="D47" s="1226"/>
      <c r="E47" s="1226"/>
      <c r="F47" s="1226"/>
      <c r="G47" s="1227"/>
      <c r="H47" s="1417"/>
      <c r="I47" s="1185"/>
      <c r="J47" s="1185"/>
      <c r="K47" s="1185"/>
      <c r="L47" s="1185"/>
      <c r="M47" s="1185"/>
      <c r="N47" s="1185"/>
      <c r="O47" s="1185"/>
      <c r="P47" s="1185"/>
      <c r="Q47" s="1185"/>
      <c r="R47" s="1185"/>
      <c r="S47" s="1185"/>
      <c r="T47" s="1185"/>
      <c r="U47" s="1185"/>
      <c r="V47" s="1185"/>
      <c r="W47" s="1185"/>
      <c r="X47" s="1185"/>
      <c r="Y47" s="1185"/>
      <c r="Z47" s="1241"/>
      <c r="AA47" s="1241"/>
      <c r="AB47" s="1241"/>
      <c r="AC47" s="1185"/>
      <c r="AD47" s="1185"/>
      <c r="AE47" s="1185"/>
      <c r="AF47" s="1185"/>
      <c r="AG47" s="1185"/>
      <c r="AH47" s="1420"/>
      <c r="AI47" s="1420"/>
      <c r="AJ47" s="1420"/>
      <c r="AK47" s="1420"/>
      <c r="AL47" s="1420"/>
      <c r="AM47" s="1420"/>
      <c r="AN47" s="1185"/>
      <c r="AO47" s="1185"/>
      <c r="AP47" s="1185"/>
      <c r="AQ47" s="1185"/>
      <c r="AR47" s="1185"/>
      <c r="AS47" s="1288"/>
      <c r="AT47" s="1288"/>
      <c r="AU47" s="1288"/>
      <c r="AV47" s="1288"/>
      <c r="AW47" s="1288"/>
      <c r="AX47" s="1185"/>
      <c r="AY47" s="1185"/>
      <c r="AZ47" s="1185"/>
      <c r="BA47" s="1185"/>
      <c r="BB47" s="1424"/>
    </row>
    <row r="48" spans="1:54" s="11" customFormat="1" ht="11.25" hidden="1" customHeight="1" x14ac:dyDescent="0.2">
      <c r="A48" s="1225"/>
      <c r="B48" s="1226"/>
      <c r="C48" s="1226"/>
      <c r="D48" s="1226"/>
      <c r="E48" s="1226"/>
      <c r="F48" s="1226"/>
      <c r="G48" s="1227"/>
      <c r="H48" s="1417"/>
      <c r="I48" s="1185"/>
      <c r="J48" s="1185"/>
      <c r="K48" s="1185"/>
      <c r="L48" s="1185"/>
      <c r="M48" s="1185"/>
      <c r="N48" s="1185"/>
      <c r="O48" s="1185"/>
      <c r="P48" s="1185"/>
      <c r="Q48" s="1185"/>
      <c r="R48" s="1185"/>
      <c r="S48" s="1185"/>
      <c r="T48" s="1185"/>
      <c r="U48" s="1185"/>
      <c r="V48" s="1185"/>
      <c r="W48" s="1185"/>
      <c r="X48" s="1185"/>
      <c r="Y48" s="1185"/>
      <c r="Z48" s="1241"/>
      <c r="AA48" s="1241"/>
      <c r="AB48" s="1241"/>
      <c r="AC48" s="1185"/>
      <c r="AD48" s="1185"/>
      <c r="AE48" s="1185"/>
      <c r="AF48" s="1185"/>
      <c r="AG48" s="1185"/>
      <c r="AH48" s="1420"/>
      <c r="AI48" s="1420"/>
      <c r="AJ48" s="1420"/>
      <c r="AK48" s="1420"/>
      <c r="AL48" s="1420"/>
      <c r="AM48" s="1420"/>
      <c r="AN48" s="1185"/>
      <c r="AO48" s="1185"/>
      <c r="AP48" s="1185"/>
      <c r="AQ48" s="1185"/>
      <c r="AR48" s="1185"/>
      <c r="AS48" s="1288"/>
      <c r="AT48" s="1288"/>
      <c r="AU48" s="1288"/>
      <c r="AV48" s="1288"/>
      <c r="AW48" s="1288"/>
      <c r="AX48" s="1185"/>
      <c r="AY48" s="1185"/>
      <c r="AZ48" s="1185"/>
      <c r="BA48" s="1185"/>
      <c r="BB48" s="1424"/>
    </row>
    <row r="49" spans="1:54" s="11" customFormat="1" ht="5.0999999999999996" hidden="1" customHeight="1" x14ac:dyDescent="0.2">
      <c r="A49" s="1225"/>
      <c r="B49" s="1226"/>
      <c r="C49" s="1226"/>
      <c r="D49" s="1226"/>
      <c r="E49" s="1226"/>
      <c r="F49" s="1226"/>
      <c r="G49" s="1227"/>
      <c r="H49" s="1417"/>
      <c r="I49" s="1185"/>
      <c r="J49" s="1185"/>
      <c r="K49" s="1185"/>
      <c r="L49" s="1185"/>
      <c r="M49" s="1185"/>
      <c r="N49" s="1185"/>
      <c r="O49" s="1185"/>
      <c r="P49" s="1185"/>
      <c r="Q49" s="1185"/>
      <c r="R49" s="1185"/>
      <c r="S49" s="1185"/>
      <c r="T49" s="1185"/>
      <c r="U49" s="1185"/>
      <c r="V49" s="1185"/>
      <c r="W49" s="1185"/>
      <c r="X49" s="1185"/>
      <c r="Y49" s="1185"/>
      <c r="Z49" s="1241"/>
      <c r="AA49" s="1241"/>
      <c r="AB49" s="1241"/>
      <c r="AC49" s="1185"/>
      <c r="AD49" s="1185"/>
      <c r="AE49" s="1185"/>
      <c r="AF49" s="1185"/>
      <c r="AG49" s="1185"/>
      <c r="AH49" s="1420"/>
      <c r="AI49" s="1420"/>
      <c r="AJ49" s="1420"/>
      <c r="AK49" s="1420"/>
      <c r="AL49" s="1420"/>
      <c r="AM49" s="1420"/>
      <c r="AN49" s="1185"/>
      <c r="AO49" s="1185"/>
      <c r="AP49" s="1185"/>
      <c r="AQ49" s="1185"/>
      <c r="AR49" s="1185"/>
      <c r="AS49" s="1288"/>
      <c r="AT49" s="1288"/>
      <c r="AU49" s="1288"/>
      <c r="AV49" s="1288"/>
      <c r="AW49" s="1288"/>
      <c r="AX49" s="1185"/>
      <c r="AY49" s="1185"/>
      <c r="AZ49" s="1185"/>
      <c r="BA49" s="1185"/>
      <c r="BB49" s="1424"/>
    </row>
    <row r="50" spans="1:54" s="11" customFormat="1" ht="11.25" hidden="1" customHeight="1" thickBot="1" x14ac:dyDescent="0.25">
      <c r="A50" s="1225"/>
      <c r="B50" s="1226"/>
      <c r="C50" s="1226"/>
      <c r="D50" s="1226"/>
      <c r="E50" s="1226"/>
      <c r="F50" s="1226"/>
      <c r="G50" s="1227"/>
      <c r="H50" s="1417"/>
      <c r="I50" s="1185"/>
      <c r="J50" s="1185"/>
      <c r="K50" s="1185"/>
      <c r="L50" s="1185"/>
      <c r="M50" s="1185"/>
      <c r="N50" s="1185"/>
      <c r="O50" s="1185"/>
      <c r="P50" s="1185"/>
      <c r="Q50" s="1185"/>
      <c r="R50" s="1185"/>
      <c r="S50" s="1185"/>
      <c r="T50" s="1185"/>
      <c r="U50" s="1185"/>
      <c r="V50" s="1185"/>
      <c r="W50" s="1185"/>
      <c r="X50" s="1185"/>
      <c r="Y50" s="1185"/>
      <c r="Z50" s="1241"/>
      <c r="AA50" s="1241"/>
      <c r="AB50" s="1241"/>
      <c r="AC50" s="1185"/>
      <c r="AD50" s="1185"/>
      <c r="AE50" s="1185"/>
      <c r="AF50" s="1185"/>
      <c r="AG50" s="1185"/>
      <c r="AH50" s="1420"/>
      <c r="AI50" s="1420"/>
      <c r="AJ50" s="1420"/>
      <c r="AK50" s="1420"/>
      <c r="AL50" s="1420"/>
      <c r="AM50" s="1420"/>
      <c r="AN50" s="1185"/>
      <c r="AO50" s="1185"/>
      <c r="AP50" s="1185"/>
      <c r="AQ50" s="1185"/>
      <c r="AR50" s="1185"/>
      <c r="AS50" s="1288"/>
      <c r="AT50" s="1288"/>
      <c r="AU50" s="1288"/>
      <c r="AV50" s="1288"/>
      <c r="AW50" s="1288"/>
      <c r="AX50" s="1185"/>
      <c r="AY50" s="1185"/>
      <c r="AZ50" s="1185"/>
      <c r="BA50" s="1185"/>
      <c r="BB50" s="1424"/>
    </row>
    <row r="51" spans="1:54" s="11" customFormat="1" ht="5.0999999999999996" hidden="1" customHeight="1" x14ac:dyDescent="0.2">
      <c r="A51" s="1225"/>
      <c r="B51" s="1226"/>
      <c r="C51" s="1226"/>
      <c r="D51" s="1226"/>
      <c r="E51" s="1226"/>
      <c r="F51" s="1226"/>
      <c r="G51" s="1227"/>
      <c r="H51" s="1417"/>
      <c r="I51" s="1185"/>
      <c r="J51" s="1185"/>
      <c r="K51" s="1185"/>
      <c r="L51" s="1185"/>
      <c r="M51" s="1185"/>
      <c r="N51" s="1185"/>
      <c r="O51" s="1185"/>
      <c r="P51" s="1185"/>
      <c r="Q51" s="1185"/>
      <c r="R51" s="1185"/>
      <c r="S51" s="1185"/>
      <c r="T51" s="1185"/>
      <c r="U51" s="1185"/>
      <c r="V51" s="1185"/>
      <c r="W51" s="1185"/>
      <c r="X51" s="1185"/>
      <c r="Y51" s="1185"/>
      <c r="Z51" s="1241"/>
      <c r="AA51" s="1241"/>
      <c r="AB51" s="1241"/>
      <c r="AC51" s="1185"/>
      <c r="AD51" s="1185"/>
      <c r="AE51" s="1185"/>
      <c r="AF51" s="1185"/>
      <c r="AG51" s="1185"/>
      <c r="AH51" s="1420"/>
      <c r="AI51" s="1420"/>
      <c r="AJ51" s="1420"/>
      <c r="AK51" s="1420"/>
      <c r="AL51" s="1420"/>
      <c r="AM51" s="1420"/>
      <c r="AN51" s="1185"/>
      <c r="AO51" s="1185"/>
      <c r="AP51" s="1185"/>
      <c r="AQ51" s="1185"/>
      <c r="AR51" s="1185"/>
      <c r="AS51" s="1288"/>
      <c r="AT51" s="1288"/>
      <c r="AU51" s="1288"/>
      <c r="AV51" s="1288"/>
      <c r="AW51" s="1288"/>
      <c r="AX51" s="1185"/>
      <c r="AY51" s="1185"/>
      <c r="AZ51" s="1185"/>
      <c r="BA51" s="1185"/>
      <c r="BB51" s="1424"/>
    </row>
    <row r="52" spans="1:54" ht="6.75" customHeight="1" thickBot="1" x14ac:dyDescent="0.25">
      <c r="A52" s="1228"/>
      <c r="B52" s="1229"/>
      <c r="C52" s="1229"/>
      <c r="D52" s="1229"/>
      <c r="E52" s="1229"/>
      <c r="F52" s="1229"/>
      <c r="G52" s="1230"/>
      <c r="H52" s="1418"/>
      <c r="I52" s="1187"/>
      <c r="J52" s="1187"/>
      <c r="K52" s="1187"/>
      <c r="L52" s="1187"/>
      <c r="M52" s="1187"/>
      <c r="N52" s="1187"/>
      <c r="O52" s="1187"/>
      <c r="P52" s="1187"/>
      <c r="Q52" s="1187"/>
      <c r="R52" s="1187"/>
      <c r="S52" s="1187"/>
      <c r="T52" s="1187"/>
      <c r="U52" s="1187"/>
      <c r="V52" s="1187"/>
      <c r="W52" s="1187"/>
      <c r="X52" s="1187"/>
      <c r="Y52" s="1187"/>
      <c r="Z52" s="1244"/>
      <c r="AA52" s="1244"/>
      <c r="AB52" s="1244"/>
      <c r="AC52" s="1187"/>
      <c r="AD52" s="1187"/>
      <c r="AE52" s="1187"/>
      <c r="AF52" s="1187"/>
      <c r="AG52" s="1187"/>
      <c r="AH52" s="1421"/>
      <c r="AI52" s="1421"/>
      <c r="AJ52" s="1421"/>
      <c r="AK52" s="1421"/>
      <c r="AL52" s="1421"/>
      <c r="AM52" s="1421"/>
      <c r="AN52" s="1187"/>
      <c r="AO52" s="1187"/>
      <c r="AP52" s="1187"/>
      <c r="AQ52" s="1187"/>
      <c r="AR52" s="1187"/>
      <c r="AS52" s="1289"/>
      <c r="AT52" s="1289"/>
      <c r="AU52" s="1289"/>
      <c r="AV52" s="1289"/>
      <c r="AW52" s="1289"/>
      <c r="AX52" s="1187"/>
      <c r="AY52" s="1187"/>
      <c r="AZ52" s="1187"/>
      <c r="BA52" s="1187"/>
      <c r="BB52" s="1425"/>
    </row>
    <row r="53" spans="1:54" s="11" customFormat="1" ht="11.25" customHeight="1" x14ac:dyDescent="0.2">
      <c r="A53" s="12"/>
      <c r="B53" s="12"/>
      <c r="C53" s="12"/>
      <c r="D53" s="12"/>
      <c r="E53" s="12"/>
      <c r="F53" s="12"/>
      <c r="G53" s="12"/>
      <c r="H53" s="1216"/>
      <c r="I53" s="1216"/>
      <c r="J53" s="1216"/>
      <c r="K53" s="1216"/>
      <c r="L53" s="10"/>
      <c r="M53" s="10"/>
      <c r="N53" s="10"/>
      <c r="O53" s="10"/>
      <c r="P53" s="10"/>
      <c r="Q53" s="23"/>
      <c r="R53" s="24" t="s">
        <v>18</v>
      </c>
      <c r="S53" s="9"/>
      <c r="T53" s="9"/>
      <c r="U53" s="8"/>
      <c r="V53" s="8"/>
      <c r="W53" s="8"/>
      <c r="X53" s="8"/>
      <c r="Y53" s="8"/>
      <c r="Z53" s="8"/>
      <c r="AA53" s="8"/>
      <c r="AB53" s="8"/>
      <c r="AC53" s="8"/>
      <c r="AD53" s="8" t="s">
        <v>19</v>
      </c>
      <c r="AE53" s="8" t="s">
        <v>20</v>
      </c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25"/>
      <c r="AS53" s="1217">
        <f>AN43</f>
        <v>0</v>
      </c>
      <c r="AT53" s="1217"/>
      <c r="AU53" s="1217"/>
      <c r="AV53" s="1217"/>
      <c r="AW53" s="1217"/>
      <c r="AX53" s="1217">
        <f>AC43</f>
        <v>0</v>
      </c>
      <c r="AY53" s="1217"/>
      <c r="AZ53" s="1217"/>
      <c r="BA53" s="1217"/>
      <c r="BB53" s="1218"/>
    </row>
    <row r="54" spans="1:54" s="11" customFormat="1" ht="11.25" customHeight="1" thickBot="1" x14ac:dyDescent="0.25">
      <c r="A54" s="12"/>
      <c r="B54" s="12"/>
      <c r="C54" s="12"/>
      <c r="D54" s="12"/>
      <c r="E54" s="12"/>
      <c r="F54" s="12"/>
      <c r="G54" s="12"/>
      <c r="H54" s="416"/>
      <c r="I54" s="416"/>
      <c r="J54" s="416"/>
      <c r="K54" s="416"/>
      <c r="L54" s="10"/>
      <c r="M54" s="10"/>
      <c r="N54" s="10"/>
      <c r="O54" s="10"/>
      <c r="P54" s="10"/>
      <c r="Q54" s="26"/>
      <c r="R54" s="20"/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 t="s">
        <v>19</v>
      </c>
      <c r="AE54" s="21" t="s">
        <v>21</v>
      </c>
      <c r="AF54" s="21"/>
      <c r="AG54" s="21"/>
      <c r="AH54" s="21"/>
      <c r="AI54" s="21"/>
      <c r="AJ54" s="21"/>
      <c r="AK54" s="21"/>
      <c r="AL54" s="21"/>
      <c r="AM54" s="21"/>
      <c r="AN54" s="21"/>
      <c r="AO54" s="1153">
        <v>0.30199999999999999</v>
      </c>
      <c r="AP54" s="997"/>
      <c r="AQ54" s="997"/>
      <c r="AR54" s="998"/>
      <c r="AS54" s="1154">
        <f>AX54/U13</f>
        <v>0</v>
      </c>
      <c r="AT54" s="1154"/>
      <c r="AU54" s="1154"/>
      <c r="AV54" s="1154"/>
      <c r="AW54" s="1154"/>
      <c r="AX54" s="1154">
        <f>AX53*AO54</f>
        <v>0</v>
      </c>
      <c r="AY54" s="1154"/>
      <c r="AZ54" s="1154"/>
      <c r="BA54" s="1154"/>
      <c r="BB54" s="1155"/>
    </row>
    <row r="55" spans="1:54" s="11" customFormat="1" ht="5.0999999999999996" customHeight="1" thickBot="1" x14ac:dyDescent="0.25">
      <c r="A55" s="12"/>
      <c r="B55" s="12"/>
      <c r="C55" s="12"/>
      <c r="D55" s="12"/>
      <c r="E55" s="12"/>
      <c r="F55" s="12"/>
      <c r="G55" s="12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27"/>
      <c r="AA55" s="27"/>
      <c r="AB55" s="27"/>
      <c r="AC55" s="27"/>
      <c r="AD55" s="27"/>
      <c r="AE55" s="28"/>
      <c r="AF55" s="28"/>
      <c r="AG55" s="28"/>
      <c r="AH55" s="28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13"/>
      <c r="AT55" s="13"/>
      <c r="AU55" s="13"/>
      <c r="AV55" s="13"/>
      <c r="AW55" s="13"/>
      <c r="AX55" s="13"/>
      <c r="AY55" s="13"/>
      <c r="AZ55" s="13"/>
      <c r="BA55" s="13"/>
      <c r="BB55" s="13"/>
    </row>
    <row r="56" spans="1:54" s="11" customFormat="1" ht="12" customHeight="1" x14ac:dyDescent="0.2">
      <c r="A56" s="1192" t="s">
        <v>8</v>
      </c>
      <c r="B56" s="1193"/>
      <c r="C56" s="1193"/>
      <c r="D56" s="1193"/>
      <c r="E56" s="1193"/>
      <c r="F56" s="1193"/>
      <c r="G56" s="1194"/>
      <c r="H56" s="1201" t="s">
        <v>9</v>
      </c>
      <c r="I56" s="1193"/>
      <c r="J56" s="1193"/>
      <c r="K56" s="1193"/>
      <c r="L56" s="1193"/>
      <c r="M56" s="1193"/>
      <c r="N56" s="1193"/>
      <c r="O56" s="1193"/>
      <c r="P56" s="1193"/>
      <c r="Q56" s="1193"/>
      <c r="R56" s="1193"/>
      <c r="S56" s="1193"/>
      <c r="T56" s="1193"/>
      <c r="U56" s="1193"/>
      <c r="V56" s="1193"/>
      <c r="W56" s="1193"/>
      <c r="X56" s="1193"/>
      <c r="Y56" s="1193"/>
      <c r="Z56" s="1193"/>
      <c r="AA56" s="1193"/>
      <c r="AB56" s="1194"/>
      <c r="AC56" s="1201" t="s">
        <v>10</v>
      </c>
      <c r="AD56" s="1193"/>
      <c r="AE56" s="1193"/>
      <c r="AF56" s="1193"/>
      <c r="AG56" s="1194"/>
      <c r="AH56" s="1204" t="s">
        <v>24</v>
      </c>
      <c r="AI56" s="1204"/>
      <c r="AJ56" s="1204"/>
      <c r="AK56" s="1204"/>
      <c r="AL56" s="1204"/>
      <c r="AM56" s="1205"/>
      <c r="AN56" s="1210" t="s">
        <v>12</v>
      </c>
      <c r="AO56" s="1204"/>
      <c r="AP56" s="1204"/>
      <c r="AQ56" s="1204"/>
      <c r="AR56" s="1205"/>
      <c r="AS56" s="1210" t="s">
        <v>13</v>
      </c>
      <c r="AT56" s="1204"/>
      <c r="AU56" s="1204"/>
      <c r="AV56" s="1204"/>
      <c r="AW56" s="1213"/>
      <c r="AX56" s="1210" t="s">
        <v>14</v>
      </c>
      <c r="AY56" s="1204"/>
      <c r="AZ56" s="1204"/>
      <c r="BA56" s="1204"/>
      <c r="BB56" s="1213"/>
    </row>
    <row r="57" spans="1:54" s="11" customFormat="1" ht="12" customHeight="1" x14ac:dyDescent="0.2">
      <c r="A57" s="1195"/>
      <c r="B57" s="1196"/>
      <c r="C57" s="1196"/>
      <c r="D57" s="1196"/>
      <c r="E57" s="1196"/>
      <c r="F57" s="1196"/>
      <c r="G57" s="1197"/>
      <c r="H57" s="1202"/>
      <c r="I57" s="1196"/>
      <c r="J57" s="1196"/>
      <c r="K57" s="1196"/>
      <c r="L57" s="1196"/>
      <c r="M57" s="1196"/>
      <c r="N57" s="1196"/>
      <c r="O57" s="1196"/>
      <c r="P57" s="1196"/>
      <c r="Q57" s="1196"/>
      <c r="R57" s="1196"/>
      <c r="S57" s="1196"/>
      <c r="T57" s="1196"/>
      <c r="U57" s="1196"/>
      <c r="V57" s="1196"/>
      <c r="W57" s="1196"/>
      <c r="X57" s="1196"/>
      <c r="Y57" s="1196"/>
      <c r="Z57" s="1196"/>
      <c r="AA57" s="1196"/>
      <c r="AB57" s="1197"/>
      <c r="AC57" s="1202"/>
      <c r="AD57" s="1196"/>
      <c r="AE57" s="1196"/>
      <c r="AF57" s="1196"/>
      <c r="AG57" s="1197"/>
      <c r="AH57" s="1206"/>
      <c r="AI57" s="1206"/>
      <c r="AJ57" s="1206"/>
      <c r="AK57" s="1206"/>
      <c r="AL57" s="1206"/>
      <c r="AM57" s="1207"/>
      <c r="AN57" s="1211"/>
      <c r="AO57" s="1206"/>
      <c r="AP57" s="1206"/>
      <c r="AQ57" s="1206"/>
      <c r="AR57" s="1207"/>
      <c r="AS57" s="1211"/>
      <c r="AT57" s="1206"/>
      <c r="AU57" s="1206"/>
      <c r="AV57" s="1206"/>
      <c r="AW57" s="1214"/>
      <c r="AX57" s="1211"/>
      <c r="AY57" s="1206"/>
      <c r="AZ57" s="1206"/>
      <c r="BA57" s="1206"/>
      <c r="BB57" s="1214"/>
    </row>
    <row r="58" spans="1:54" s="10" customFormat="1" ht="13.5" customHeight="1" thickBot="1" x14ac:dyDescent="0.25">
      <c r="A58" s="1198"/>
      <c r="B58" s="1199"/>
      <c r="C58" s="1199"/>
      <c r="D58" s="1199"/>
      <c r="E58" s="1199"/>
      <c r="F58" s="1199"/>
      <c r="G58" s="1200"/>
      <c r="H58" s="1203"/>
      <c r="I58" s="1199"/>
      <c r="J58" s="1199"/>
      <c r="K58" s="1199"/>
      <c r="L58" s="1199"/>
      <c r="M58" s="1199"/>
      <c r="N58" s="1199"/>
      <c r="O58" s="1199"/>
      <c r="P58" s="1199"/>
      <c r="Q58" s="1199"/>
      <c r="R58" s="1199"/>
      <c r="S58" s="1199"/>
      <c r="T58" s="1199"/>
      <c r="U58" s="1199"/>
      <c r="V58" s="1199"/>
      <c r="W58" s="1199"/>
      <c r="X58" s="1199"/>
      <c r="Y58" s="1199"/>
      <c r="Z58" s="1199"/>
      <c r="AA58" s="1199"/>
      <c r="AB58" s="1200"/>
      <c r="AC58" s="1203"/>
      <c r="AD58" s="1199"/>
      <c r="AE58" s="1199"/>
      <c r="AF58" s="1199"/>
      <c r="AG58" s="1200"/>
      <c r="AH58" s="1208"/>
      <c r="AI58" s="1208"/>
      <c r="AJ58" s="1208"/>
      <c r="AK58" s="1208"/>
      <c r="AL58" s="1208"/>
      <c r="AM58" s="1209"/>
      <c r="AN58" s="1212"/>
      <c r="AO58" s="1208"/>
      <c r="AP58" s="1208"/>
      <c r="AQ58" s="1208"/>
      <c r="AR58" s="1209"/>
      <c r="AS58" s="1212"/>
      <c r="AT58" s="1208"/>
      <c r="AU58" s="1208"/>
      <c r="AV58" s="1208"/>
      <c r="AW58" s="1215"/>
      <c r="AX58" s="1212"/>
      <c r="AY58" s="1208"/>
      <c r="AZ58" s="1208"/>
      <c r="BA58" s="1208"/>
      <c r="BB58" s="1215"/>
    </row>
    <row r="59" spans="1:54" ht="9.75" customHeight="1" thickBot="1" x14ac:dyDescent="0.25">
      <c r="A59" s="1518" t="s">
        <v>25</v>
      </c>
      <c r="B59" s="1021"/>
      <c r="C59" s="1021"/>
      <c r="D59" s="1021"/>
      <c r="E59" s="1021"/>
      <c r="F59" s="1021"/>
      <c r="G59" s="1021"/>
      <c r="H59" s="1021"/>
      <c r="I59" s="1021"/>
      <c r="J59" s="1021"/>
      <c r="K59" s="1021"/>
      <c r="L59" s="1021"/>
      <c r="M59" s="1021"/>
      <c r="N59" s="1021"/>
      <c r="O59" s="1021"/>
      <c r="P59" s="1021"/>
      <c r="Q59" s="1021"/>
      <c r="R59" s="1021"/>
      <c r="S59" s="1021"/>
      <c r="T59" s="1021"/>
      <c r="U59" s="1021"/>
      <c r="V59" s="1021"/>
      <c r="W59" s="1021"/>
      <c r="X59" s="1021"/>
      <c r="Y59" s="1021"/>
      <c r="Z59" s="1021"/>
      <c r="AA59" s="1021"/>
      <c r="AB59" s="1021"/>
      <c r="AC59" s="1021"/>
      <c r="AD59" s="1021"/>
      <c r="AE59" s="1021"/>
      <c r="AF59" s="1021"/>
      <c r="AG59" s="1021"/>
      <c r="AH59" s="1021"/>
      <c r="AI59" s="1021"/>
      <c r="AJ59" s="1021"/>
      <c r="AK59" s="1021"/>
      <c r="AL59" s="1021"/>
      <c r="AM59" s="1021"/>
      <c r="AN59" s="1021"/>
      <c r="AO59" s="1021"/>
      <c r="AP59" s="1021"/>
      <c r="AQ59" s="1021"/>
      <c r="AR59" s="1021"/>
      <c r="AS59" s="1021"/>
      <c r="AT59" s="1021"/>
      <c r="AU59" s="1021"/>
      <c r="AV59" s="1021"/>
      <c r="AW59" s="1021"/>
      <c r="AX59" s="1021"/>
      <c r="AY59" s="1021"/>
      <c r="AZ59" s="1021"/>
      <c r="BA59" s="1021"/>
      <c r="BB59" s="1519"/>
    </row>
    <row r="60" spans="1:54" ht="4.5" hidden="1" customHeight="1" x14ac:dyDescent="0.2">
      <c r="A60" s="660" t="s">
        <v>106</v>
      </c>
      <c r="B60" s="661"/>
      <c r="C60" s="661"/>
      <c r="D60" s="661"/>
      <c r="E60" s="661"/>
      <c r="F60" s="661"/>
      <c r="G60" s="661"/>
      <c r="H60" s="29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1" t="e">
        <f>#REF!</f>
        <v>#REF!</v>
      </c>
      <c r="AA60" s="15"/>
      <c r="AB60" s="32"/>
      <c r="AC60" s="1520">
        <f>((R61+(R61*U63)+(R61*Q63)+(R61*M63)+(R61*I63))*Z63)</f>
        <v>40461.200000000004</v>
      </c>
      <c r="AD60" s="1521"/>
      <c r="AE60" s="1521"/>
      <c r="AF60" s="1521"/>
      <c r="AG60" s="1522"/>
      <c r="AH60" s="1529">
        <v>120</v>
      </c>
      <c r="AI60" s="1529"/>
      <c r="AJ60" s="1529"/>
      <c r="AK60" s="1529"/>
      <c r="AL60" s="1529"/>
      <c r="AM60" s="1529"/>
      <c r="AN60" s="1531">
        <f>AC60/AH60</f>
        <v>337.17666666666668</v>
      </c>
      <c r="AO60" s="1532"/>
      <c r="AP60" s="1532"/>
      <c r="AQ60" s="1532"/>
      <c r="AR60" s="1533"/>
      <c r="AS60" s="663">
        <f>U13</f>
        <v>7</v>
      </c>
      <c r="AT60" s="663"/>
      <c r="AU60" s="663"/>
      <c r="AV60" s="663"/>
      <c r="AW60" s="663"/>
      <c r="AX60" s="662">
        <f>AN60*AS60</f>
        <v>2360.2366666666667</v>
      </c>
      <c r="AY60" s="662"/>
      <c r="AZ60" s="662"/>
      <c r="BA60" s="662"/>
      <c r="BB60" s="684"/>
    </row>
    <row r="61" spans="1:54" s="11" customFormat="1" ht="20.25" customHeight="1" x14ac:dyDescent="0.2">
      <c r="A61" s="652"/>
      <c r="B61" s="653"/>
      <c r="C61" s="653"/>
      <c r="D61" s="653"/>
      <c r="E61" s="653"/>
      <c r="F61" s="653"/>
      <c r="G61" s="653"/>
      <c r="H61" s="685" t="s">
        <v>530</v>
      </c>
      <c r="I61" s="686"/>
      <c r="J61" s="686"/>
      <c r="K61" s="686"/>
      <c r="L61" s="686"/>
      <c r="M61" s="686"/>
      <c r="N61" s="1540"/>
      <c r="O61" s="1540"/>
      <c r="P61" s="1540"/>
      <c r="Q61" s="103" t="s">
        <v>27</v>
      </c>
      <c r="R61" s="1248">
        <v>15562</v>
      </c>
      <c r="S61" s="1248"/>
      <c r="T61" s="1248"/>
      <c r="U61" s="1248"/>
      <c r="V61" s="1248"/>
      <c r="W61" s="103" t="s">
        <v>28</v>
      </c>
      <c r="X61" s="103"/>
      <c r="Y61" s="103"/>
      <c r="Z61" s="103"/>
      <c r="AA61" s="103"/>
      <c r="AB61" s="104"/>
      <c r="AC61" s="1523"/>
      <c r="AD61" s="1524"/>
      <c r="AE61" s="1524"/>
      <c r="AF61" s="1524"/>
      <c r="AG61" s="1525"/>
      <c r="AH61" s="1082"/>
      <c r="AI61" s="1082"/>
      <c r="AJ61" s="1082"/>
      <c r="AK61" s="1082"/>
      <c r="AL61" s="1082"/>
      <c r="AM61" s="1082"/>
      <c r="AN61" s="1534"/>
      <c r="AO61" s="1535"/>
      <c r="AP61" s="1535"/>
      <c r="AQ61" s="1535"/>
      <c r="AR61" s="1536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1" customFormat="1" ht="4.5" customHeight="1" x14ac:dyDescent="0.2">
      <c r="A62" s="652"/>
      <c r="B62" s="653"/>
      <c r="C62" s="653"/>
      <c r="D62" s="653"/>
      <c r="E62" s="653"/>
      <c r="F62" s="653"/>
      <c r="G62" s="653"/>
      <c r="H62" s="102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4"/>
      <c r="AC62" s="1523"/>
      <c r="AD62" s="1524"/>
      <c r="AE62" s="1524"/>
      <c r="AF62" s="1524"/>
      <c r="AG62" s="1525"/>
      <c r="AH62" s="1082"/>
      <c r="AI62" s="1082"/>
      <c r="AJ62" s="1082"/>
      <c r="AK62" s="1082"/>
      <c r="AL62" s="1082"/>
      <c r="AM62" s="1082"/>
      <c r="AN62" s="1534"/>
      <c r="AO62" s="1535"/>
      <c r="AP62" s="1535"/>
      <c r="AQ62" s="1535"/>
      <c r="AR62" s="1536"/>
      <c r="AS62" s="664"/>
      <c r="AT62" s="664"/>
      <c r="AU62" s="664"/>
      <c r="AV62" s="664"/>
      <c r="AW62" s="664"/>
      <c r="AX62" s="601"/>
      <c r="AY62" s="601"/>
      <c r="AZ62" s="601"/>
      <c r="BA62" s="601"/>
      <c r="BB62" s="655"/>
    </row>
    <row r="63" spans="1:54" s="11" customFormat="1" ht="11.25" customHeight="1" x14ac:dyDescent="0.2">
      <c r="A63" s="652"/>
      <c r="B63" s="653"/>
      <c r="C63" s="653"/>
      <c r="D63" s="653"/>
      <c r="E63" s="653"/>
      <c r="F63" s="653"/>
      <c r="G63" s="653"/>
      <c r="H63" s="714" t="s">
        <v>656</v>
      </c>
      <c r="I63" s="1540"/>
      <c r="J63" s="1540"/>
      <c r="K63" s="1540"/>
      <c r="L63" s="1540"/>
      <c r="M63" s="1540"/>
      <c r="N63" s="1540"/>
      <c r="O63" s="1540"/>
      <c r="P63" s="1540"/>
      <c r="Q63" s="1540"/>
      <c r="R63" s="1540"/>
      <c r="S63" s="1540"/>
      <c r="T63" s="1540"/>
      <c r="U63" s="1540"/>
      <c r="V63" s="1540"/>
      <c r="W63" s="1540"/>
      <c r="X63" s="1540"/>
      <c r="Y63" s="417" t="s">
        <v>28</v>
      </c>
      <c r="Z63" s="1248">
        <v>2.6</v>
      </c>
      <c r="AA63" s="1248"/>
      <c r="AB63" s="1249"/>
      <c r="AC63" s="1523"/>
      <c r="AD63" s="1524"/>
      <c r="AE63" s="1524"/>
      <c r="AF63" s="1524"/>
      <c r="AG63" s="1525"/>
      <c r="AH63" s="1082"/>
      <c r="AI63" s="1082"/>
      <c r="AJ63" s="1082"/>
      <c r="AK63" s="1082"/>
      <c r="AL63" s="1082"/>
      <c r="AM63" s="1082"/>
      <c r="AN63" s="1534"/>
      <c r="AO63" s="1535"/>
      <c r="AP63" s="1535"/>
      <c r="AQ63" s="1535"/>
      <c r="AR63" s="1536"/>
      <c r="AS63" s="664"/>
      <c r="AT63" s="664"/>
      <c r="AU63" s="664"/>
      <c r="AV63" s="664"/>
      <c r="AW63" s="664"/>
      <c r="AX63" s="601"/>
      <c r="AY63" s="601"/>
      <c r="AZ63" s="601"/>
      <c r="BA63" s="601"/>
      <c r="BB63" s="655"/>
    </row>
    <row r="64" spans="1:54" s="11" customFormat="1" ht="31.5" customHeight="1" thickBot="1" x14ac:dyDescent="0.25">
      <c r="A64" s="681"/>
      <c r="B64" s="682"/>
      <c r="C64" s="682"/>
      <c r="D64" s="682"/>
      <c r="E64" s="682"/>
      <c r="F64" s="682"/>
      <c r="G64" s="682"/>
      <c r="H64" s="426"/>
      <c r="I64" s="427"/>
      <c r="J64" s="427"/>
      <c r="K64" s="427"/>
      <c r="L64" s="427"/>
      <c r="M64" s="427"/>
      <c r="N64" s="427"/>
      <c r="O64" s="427"/>
      <c r="P64" s="427"/>
      <c r="Q64" s="427"/>
      <c r="R64" s="427"/>
      <c r="S64" s="427"/>
      <c r="T64" s="427"/>
      <c r="U64" s="427"/>
      <c r="V64" s="427"/>
      <c r="W64" s="427"/>
      <c r="X64" s="427"/>
      <c r="Y64" s="427"/>
      <c r="Z64" s="427"/>
      <c r="AA64" s="427"/>
      <c r="AB64" s="428"/>
      <c r="AC64" s="1526"/>
      <c r="AD64" s="1527"/>
      <c r="AE64" s="1527"/>
      <c r="AF64" s="1527"/>
      <c r="AG64" s="1528"/>
      <c r="AH64" s="1530"/>
      <c r="AI64" s="1530"/>
      <c r="AJ64" s="1530"/>
      <c r="AK64" s="1530"/>
      <c r="AL64" s="1530"/>
      <c r="AM64" s="1530"/>
      <c r="AN64" s="1537"/>
      <c r="AO64" s="1538"/>
      <c r="AP64" s="1538"/>
      <c r="AQ64" s="1538"/>
      <c r="AR64" s="1539"/>
      <c r="AS64" s="683"/>
      <c r="AT64" s="683"/>
      <c r="AU64" s="683"/>
      <c r="AV64" s="683"/>
      <c r="AW64" s="683"/>
      <c r="AX64" s="656"/>
      <c r="AY64" s="656"/>
      <c r="AZ64" s="656"/>
      <c r="BA64" s="656"/>
      <c r="BB64" s="657"/>
    </row>
    <row r="65" spans="1:54" s="11" customFormat="1" ht="5.0999999999999996" hidden="1" customHeight="1" x14ac:dyDescent="0.2">
      <c r="A65" s="1190"/>
      <c r="B65" s="1191"/>
      <c r="C65" s="1191"/>
      <c r="D65" s="1191"/>
      <c r="E65" s="1191"/>
      <c r="F65" s="1191"/>
      <c r="G65" s="1191"/>
      <c r="H65" s="39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40" t="e">
        <f>#REF!</f>
        <v>#REF!</v>
      </c>
      <c r="AA65" s="27"/>
      <c r="AB65" s="33"/>
      <c r="AC65" s="970">
        <f>((R66+(R66*U68)+(R66*Q68)+(R66*M68)+(R66*I68))*Z68)*1.15</f>
        <v>0</v>
      </c>
      <c r="AD65" s="970"/>
      <c r="AE65" s="970"/>
      <c r="AF65" s="970"/>
      <c r="AG65" s="970"/>
      <c r="AH65" s="992">
        <v>1</v>
      </c>
      <c r="AI65" s="992"/>
      <c r="AJ65" s="992"/>
      <c r="AK65" s="992"/>
      <c r="AL65" s="992"/>
      <c r="AM65" s="992"/>
      <c r="AN65" s="529">
        <f>AC65/AH65</f>
        <v>0</v>
      </c>
      <c r="AO65" s="529"/>
      <c r="AP65" s="529"/>
      <c r="AQ65" s="529"/>
      <c r="AR65" s="529"/>
      <c r="AS65" s="1415">
        <v>0</v>
      </c>
      <c r="AT65" s="1415"/>
      <c r="AU65" s="1415"/>
      <c r="AV65" s="1415"/>
      <c r="AW65" s="1415"/>
      <c r="AX65" s="529">
        <f>AN65*AS65</f>
        <v>0</v>
      </c>
      <c r="AY65" s="529"/>
      <c r="AZ65" s="529"/>
      <c r="BA65" s="529"/>
      <c r="BB65" s="665"/>
    </row>
    <row r="66" spans="1:54" s="11" customFormat="1" ht="11.25" hidden="1" customHeight="1" thickBot="1" x14ac:dyDescent="0.25">
      <c r="A66" s="1182"/>
      <c r="B66" s="1183"/>
      <c r="C66" s="1183"/>
      <c r="D66" s="1183"/>
      <c r="E66" s="1183"/>
      <c r="F66" s="1183"/>
      <c r="G66" s="1183"/>
      <c r="H66" s="1174" t="s">
        <v>26</v>
      </c>
      <c r="I66" s="1175"/>
      <c r="J66" s="1175"/>
      <c r="K66" s="1175"/>
      <c r="L66" s="1175"/>
      <c r="M66" s="1175"/>
      <c r="N66" s="1176">
        <v>0</v>
      </c>
      <c r="O66" s="1176"/>
      <c r="P66" s="1176"/>
      <c r="Q66" s="27" t="s">
        <v>27</v>
      </c>
      <c r="R66" s="1176">
        <f>$AX$21*N66</f>
        <v>0</v>
      </c>
      <c r="S66" s="1176"/>
      <c r="T66" s="1176"/>
      <c r="U66" s="1176"/>
      <c r="V66" s="1176"/>
      <c r="W66" s="27" t="s">
        <v>28</v>
      </c>
      <c r="X66" s="27" t="s">
        <v>29</v>
      </c>
      <c r="Y66" s="27"/>
      <c r="Z66" s="27"/>
      <c r="AA66" s="27"/>
      <c r="AB66" s="33"/>
      <c r="AC66" s="992"/>
      <c r="AD66" s="992"/>
      <c r="AE66" s="992"/>
      <c r="AF66" s="992"/>
      <c r="AG66" s="992"/>
      <c r="AH66" s="992"/>
      <c r="AI66" s="992"/>
      <c r="AJ66" s="992"/>
      <c r="AK66" s="992"/>
      <c r="AL66" s="992"/>
      <c r="AM66" s="992"/>
      <c r="AN66" s="529"/>
      <c r="AO66" s="529"/>
      <c r="AP66" s="529"/>
      <c r="AQ66" s="529"/>
      <c r="AR66" s="529"/>
      <c r="AS66" s="1415"/>
      <c r="AT66" s="1415"/>
      <c r="AU66" s="1415"/>
      <c r="AV66" s="1415"/>
      <c r="AW66" s="1415"/>
      <c r="AX66" s="529"/>
      <c r="AY66" s="529"/>
      <c r="AZ66" s="529"/>
      <c r="BA66" s="529"/>
      <c r="BB66" s="665"/>
    </row>
    <row r="67" spans="1:54" ht="5.0999999999999996" hidden="1" customHeight="1" x14ac:dyDescent="0.2">
      <c r="A67" s="1182"/>
      <c r="B67" s="1183"/>
      <c r="C67" s="1183"/>
      <c r="D67" s="1183"/>
      <c r="E67" s="1183"/>
      <c r="F67" s="1183"/>
      <c r="G67" s="1183"/>
      <c r="H67" s="34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27"/>
      <c r="AA67" s="27"/>
      <c r="AB67" s="33"/>
      <c r="AC67" s="992"/>
      <c r="AD67" s="992"/>
      <c r="AE67" s="992"/>
      <c r="AF67" s="992"/>
      <c r="AG67" s="992"/>
      <c r="AH67" s="992"/>
      <c r="AI67" s="992"/>
      <c r="AJ67" s="992"/>
      <c r="AK67" s="992"/>
      <c r="AL67" s="992"/>
      <c r="AM67" s="992"/>
      <c r="AN67" s="529"/>
      <c r="AO67" s="529"/>
      <c r="AP67" s="529"/>
      <c r="AQ67" s="529"/>
      <c r="AR67" s="529"/>
      <c r="AS67" s="1415"/>
      <c r="AT67" s="1415"/>
      <c r="AU67" s="1415"/>
      <c r="AV67" s="1415"/>
      <c r="AW67" s="1415"/>
      <c r="AX67" s="529"/>
      <c r="AY67" s="529"/>
      <c r="AZ67" s="529"/>
      <c r="BA67" s="529"/>
      <c r="BB67" s="665"/>
    </row>
    <row r="68" spans="1:54" s="11" customFormat="1" ht="11.25" hidden="1" customHeight="1" thickBot="1" x14ac:dyDescent="0.25">
      <c r="A68" s="1182"/>
      <c r="B68" s="1183"/>
      <c r="C68" s="1183"/>
      <c r="D68" s="1183"/>
      <c r="E68" s="1183"/>
      <c r="F68" s="1183"/>
      <c r="G68" s="1183"/>
      <c r="H68" s="35" t="s">
        <v>30</v>
      </c>
      <c r="I68" s="1177">
        <v>0</v>
      </c>
      <c r="J68" s="1177"/>
      <c r="K68" s="1177"/>
      <c r="L68" s="27" t="s">
        <v>28</v>
      </c>
      <c r="M68" s="1177">
        <v>0</v>
      </c>
      <c r="N68" s="1177"/>
      <c r="O68" s="1177"/>
      <c r="P68" s="27" t="s">
        <v>28</v>
      </c>
      <c r="Q68" s="1177"/>
      <c r="R68" s="1177"/>
      <c r="S68" s="1177"/>
      <c r="T68" s="27" t="s">
        <v>28</v>
      </c>
      <c r="U68" s="1177"/>
      <c r="V68" s="1177"/>
      <c r="W68" s="1177"/>
      <c r="X68" s="27" t="s">
        <v>31</v>
      </c>
      <c r="Y68" s="27" t="s">
        <v>28</v>
      </c>
      <c r="Z68" s="1176">
        <v>2.6</v>
      </c>
      <c r="AA68" s="1176"/>
      <c r="AB68" s="1186"/>
      <c r="AC68" s="992"/>
      <c r="AD68" s="992"/>
      <c r="AE68" s="992"/>
      <c r="AF68" s="992"/>
      <c r="AG68" s="992"/>
      <c r="AH68" s="992"/>
      <c r="AI68" s="992"/>
      <c r="AJ68" s="992"/>
      <c r="AK68" s="992"/>
      <c r="AL68" s="992"/>
      <c r="AM68" s="992"/>
      <c r="AN68" s="529"/>
      <c r="AO68" s="529"/>
      <c r="AP68" s="529"/>
      <c r="AQ68" s="529"/>
      <c r="AR68" s="529"/>
      <c r="AS68" s="1415"/>
      <c r="AT68" s="1415"/>
      <c r="AU68" s="1415"/>
      <c r="AV68" s="1415"/>
      <c r="AW68" s="1415"/>
      <c r="AX68" s="529"/>
      <c r="AY68" s="529"/>
      <c r="AZ68" s="529"/>
      <c r="BA68" s="529"/>
      <c r="BB68" s="665"/>
    </row>
    <row r="69" spans="1:54" s="11" customFormat="1" ht="11.25" hidden="1" customHeight="1" thickBot="1" x14ac:dyDescent="0.25">
      <c r="A69" s="1182"/>
      <c r="B69" s="1183"/>
      <c r="C69" s="1183"/>
      <c r="D69" s="1183"/>
      <c r="E69" s="1183"/>
      <c r="F69" s="1183"/>
      <c r="G69" s="1183"/>
      <c r="H69" s="36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419"/>
      <c r="AA69" s="419"/>
      <c r="AB69" s="38"/>
      <c r="AC69" s="992"/>
      <c r="AD69" s="992"/>
      <c r="AE69" s="992"/>
      <c r="AF69" s="992"/>
      <c r="AG69" s="992"/>
      <c r="AH69" s="992"/>
      <c r="AI69" s="992"/>
      <c r="AJ69" s="992"/>
      <c r="AK69" s="992"/>
      <c r="AL69" s="992"/>
      <c r="AM69" s="992"/>
      <c r="AN69" s="529"/>
      <c r="AO69" s="529"/>
      <c r="AP69" s="529"/>
      <c r="AQ69" s="529"/>
      <c r="AR69" s="529"/>
      <c r="AS69" s="1415"/>
      <c r="AT69" s="1415"/>
      <c r="AU69" s="1415"/>
      <c r="AV69" s="1415"/>
      <c r="AW69" s="1415"/>
      <c r="AX69" s="529"/>
      <c r="AY69" s="529"/>
      <c r="AZ69" s="529"/>
      <c r="BA69" s="529"/>
      <c r="BB69" s="665"/>
    </row>
    <row r="70" spans="1:54" s="11" customFormat="1" ht="15" hidden="1" customHeight="1" x14ac:dyDescent="0.2">
      <c r="A70" s="1180" t="s">
        <v>84</v>
      </c>
      <c r="B70" s="1181"/>
      <c r="C70" s="1181"/>
      <c r="D70" s="1181"/>
      <c r="E70" s="1181"/>
      <c r="F70" s="1181"/>
      <c r="G70" s="1181"/>
      <c r="H70" s="39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40" t="e">
        <f>#REF!</f>
        <v>#REF!</v>
      </c>
      <c r="AA70" s="27"/>
      <c r="AB70" s="33"/>
      <c r="AC70" s="970">
        <f>((R71+(R71*U73)+(R71*Q73)+(R71*M73)+(R71*I73))*Z73)</f>
        <v>0</v>
      </c>
      <c r="AD70" s="970"/>
      <c r="AE70" s="970"/>
      <c r="AF70" s="970"/>
      <c r="AG70" s="970"/>
      <c r="AH70" s="992">
        <v>75</v>
      </c>
      <c r="AI70" s="992"/>
      <c r="AJ70" s="992"/>
      <c r="AK70" s="992"/>
      <c r="AL70" s="992"/>
      <c r="AM70" s="992"/>
      <c r="AN70" s="529">
        <f>AC70/AH70</f>
        <v>0</v>
      </c>
      <c r="AO70" s="529"/>
      <c r="AP70" s="529"/>
      <c r="AQ70" s="529"/>
      <c r="AR70" s="529"/>
      <c r="AS70" s="1415">
        <v>36</v>
      </c>
      <c r="AT70" s="1415"/>
      <c r="AU70" s="1415"/>
      <c r="AV70" s="1415"/>
      <c r="AW70" s="1415"/>
      <c r="AX70" s="529">
        <f>AN70*AS70</f>
        <v>0</v>
      </c>
      <c r="AY70" s="529"/>
      <c r="AZ70" s="529"/>
      <c r="BA70" s="529"/>
      <c r="BB70" s="665"/>
    </row>
    <row r="71" spans="1:54" s="11" customFormat="1" ht="21" hidden="1" customHeight="1" thickBot="1" x14ac:dyDescent="0.25">
      <c r="A71" s="1182"/>
      <c r="B71" s="1183"/>
      <c r="C71" s="1183"/>
      <c r="D71" s="1183"/>
      <c r="E71" s="1183"/>
      <c r="F71" s="1183"/>
      <c r="G71" s="1183"/>
      <c r="H71" s="1174" t="s">
        <v>26</v>
      </c>
      <c r="I71" s="1175"/>
      <c r="J71" s="1175"/>
      <c r="K71" s="1175"/>
      <c r="L71" s="1175"/>
      <c r="M71" s="1175"/>
      <c r="N71" s="1176">
        <v>0</v>
      </c>
      <c r="O71" s="1176"/>
      <c r="P71" s="1176"/>
      <c r="Q71" s="27" t="s">
        <v>27</v>
      </c>
      <c r="R71" s="1176">
        <f>$AX$21*N71</f>
        <v>0</v>
      </c>
      <c r="S71" s="1176"/>
      <c r="T71" s="1176"/>
      <c r="U71" s="1176"/>
      <c r="V71" s="1176"/>
      <c r="W71" s="27" t="s">
        <v>28</v>
      </c>
      <c r="X71" s="27" t="s">
        <v>29</v>
      </c>
      <c r="Y71" s="27"/>
      <c r="Z71" s="27"/>
      <c r="AA71" s="27"/>
      <c r="AB71" s="33"/>
      <c r="AC71" s="992"/>
      <c r="AD71" s="992"/>
      <c r="AE71" s="992"/>
      <c r="AF71" s="992"/>
      <c r="AG71" s="992"/>
      <c r="AH71" s="992"/>
      <c r="AI71" s="992"/>
      <c r="AJ71" s="992"/>
      <c r="AK71" s="992"/>
      <c r="AL71" s="992"/>
      <c r="AM71" s="992"/>
      <c r="AN71" s="529"/>
      <c r="AO71" s="529"/>
      <c r="AP71" s="529"/>
      <c r="AQ71" s="529"/>
      <c r="AR71" s="529"/>
      <c r="AS71" s="1415"/>
      <c r="AT71" s="1415"/>
      <c r="AU71" s="1415"/>
      <c r="AV71" s="1415"/>
      <c r="AW71" s="1415"/>
      <c r="AX71" s="529"/>
      <c r="AY71" s="529"/>
      <c r="AZ71" s="529"/>
      <c r="BA71" s="529"/>
      <c r="BB71" s="665"/>
    </row>
    <row r="72" spans="1:54" s="11" customFormat="1" ht="12" hidden="1" customHeight="1" thickBot="1" x14ac:dyDescent="0.25">
      <c r="A72" s="1182"/>
      <c r="B72" s="1183"/>
      <c r="C72" s="1183"/>
      <c r="D72" s="1183"/>
      <c r="E72" s="1183"/>
      <c r="F72" s="1183"/>
      <c r="G72" s="1183"/>
      <c r="H72" s="34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27"/>
      <c r="AA72" s="27"/>
      <c r="AB72" s="33"/>
      <c r="AC72" s="992"/>
      <c r="AD72" s="992"/>
      <c r="AE72" s="992"/>
      <c r="AF72" s="992"/>
      <c r="AG72" s="992"/>
      <c r="AH72" s="992"/>
      <c r="AI72" s="992"/>
      <c r="AJ72" s="992"/>
      <c r="AK72" s="992"/>
      <c r="AL72" s="992"/>
      <c r="AM72" s="992"/>
      <c r="AN72" s="529"/>
      <c r="AO72" s="529"/>
      <c r="AP72" s="529"/>
      <c r="AQ72" s="529"/>
      <c r="AR72" s="529"/>
      <c r="AS72" s="1415"/>
      <c r="AT72" s="1415"/>
      <c r="AU72" s="1415"/>
      <c r="AV72" s="1415"/>
      <c r="AW72" s="1415"/>
      <c r="AX72" s="529"/>
      <c r="AY72" s="529"/>
      <c r="AZ72" s="529"/>
      <c r="BA72" s="529"/>
      <c r="BB72" s="665"/>
    </row>
    <row r="73" spans="1:54" s="11" customFormat="1" ht="15.75" hidden="1" customHeight="1" x14ac:dyDescent="0.2">
      <c r="A73" s="1182"/>
      <c r="B73" s="1183"/>
      <c r="C73" s="1183"/>
      <c r="D73" s="1183"/>
      <c r="E73" s="1183"/>
      <c r="F73" s="1183"/>
      <c r="G73" s="1183"/>
      <c r="H73" s="35" t="s">
        <v>30</v>
      </c>
      <c r="I73" s="1177">
        <v>0.2</v>
      </c>
      <c r="J73" s="1177"/>
      <c r="K73" s="1177"/>
      <c r="L73" s="27" t="s">
        <v>28</v>
      </c>
      <c r="M73" s="1177">
        <v>0.15</v>
      </c>
      <c r="N73" s="1177"/>
      <c r="O73" s="1177"/>
      <c r="P73" s="27" t="s">
        <v>28</v>
      </c>
      <c r="Q73" s="1177">
        <v>0.5</v>
      </c>
      <c r="R73" s="1177"/>
      <c r="S73" s="1177"/>
      <c r="T73" s="27" t="s">
        <v>28</v>
      </c>
      <c r="U73" s="1177">
        <v>0</v>
      </c>
      <c r="V73" s="1177"/>
      <c r="W73" s="1177"/>
      <c r="X73" s="27" t="s">
        <v>31</v>
      </c>
      <c r="Y73" s="27" t="s">
        <v>28</v>
      </c>
      <c r="Z73" s="1176">
        <v>2.6</v>
      </c>
      <c r="AA73" s="1176"/>
      <c r="AB73" s="1186"/>
      <c r="AC73" s="992"/>
      <c r="AD73" s="992"/>
      <c r="AE73" s="992"/>
      <c r="AF73" s="992"/>
      <c r="AG73" s="992"/>
      <c r="AH73" s="992"/>
      <c r="AI73" s="992"/>
      <c r="AJ73" s="992"/>
      <c r="AK73" s="992"/>
      <c r="AL73" s="992"/>
      <c r="AM73" s="992"/>
      <c r="AN73" s="529"/>
      <c r="AO73" s="529"/>
      <c r="AP73" s="529"/>
      <c r="AQ73" s="529"/>
      <c r="AR73" s="529"/>
      <c r="AS73" s="1415"/>
      <c r="AT73" s="1415"/>
      <c r="AU73" s="1415"/>
      <c r="AV73" s="1415"/>
      <c r="AW73" s="1415"/>
      <c r="AX73" s="529"/>
      <c r="AY73" s="529"/>
      <c r="AZ73" s="529"/>
      <c r="BA73" s="529"/>
      <c r="BB73" s="665"/>
    </row>
    <row r="74" spans="1:54" ht="13.5" hidden="1" customHeight="1" x14ac:dyDescent="0.2">
      <c r="A74" s="1182"/>
      <c r="B74" s="1183"/>
      <c r="C74" s="1183"/>
      <c r="D74" s="1183"/>
      <c r="E74" s="1183"/>
      <c r="F74" s="1183"/>
      <c r="G74" s="1183"/>
      <c r="H74" s="36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419"/>
      <c r="AA74" s="419"/>
      <c r="AB74" s="38"/>
      <c r="AC74" s="992"/>
      <c r="AD74" s="992"/>
      <c r="AE74" s="992"/>
      <c r="AF74" s="992"/>
      <c r="AG74" s="992"/>
      <c r="AH74" s="992"/>
      <c r="AI74" s="992"/>
      <c r="AJ74" s="992"/>
      <c r="AK74" s="992"/>
      <c r="AL74" s="992"/>
      <c r="AM74" s="992"/>
      <c r="AN74" s="529"/>
      <c r="AO74" s="529"/>
      <c r="AP74" s="529"/>
      <c r="AQ74" s="529"/>
      <c r="AR74" s="529"/>
      <c r="AS74" s="1415"/>
      <c r="AT74" s="1415"/>
      <c r="AU74" s="1415"/>
      <c r="AV74" s="1415"/>
      <c r="AW74" s="1415"/>
      <c r="AX74" s="529"/>
      <c r="AY74" s="529"/>
      <c r="AZ74" s="529"/>
      <c r="BA74" s="529"/>
      <c r="BB74" s="665"/>
    </row>
    <row r="75" spans="1:54" s="11" customFormat="1" ht="1.5" hidden="1" customHeight="1" thickBot="1" x14ac:dyDescent="0.25">
      <c r="A75" s="1180" t="s">
        <v>707</v>
      </c>
      <c r="B75" s="1181"/>
      <c r="C75" s="1181"/>
      <c r="D75" s="1181"/>
      <c r="E75" s="1181"/>
      <c r="F75" s="1181"/>
      <c r="G75" s="1181"/>
      <c r="H75" s="39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40" t="e">
        <f>#REF!</f>
        <v>#REF!</v>
      </c>
      <c r="AA75" s="27"/>
      <c r="AB75" s="33"/>
      <c r="AC75" s="970">
        <f>((R76+(R76*U78)+(R76*Q78)+(R76*M78)+(R76*I78))*Z78)*1.15</f>
        <v>0</v>
      </c>
      <c r="AD75" s="970"/>
      <c r="AE75" s="970"/>
      <c r="AF75" s="970"/>
      <c r="AG75" s="970"/>
      <c r="AH75" s="992">
        <v>75</v>
      </c>
      <c r="AI75" s="992"/>
      <c r="AJ75" s="992"/>
      <c r="AK75" s="992"/>
      <c r="AL75" s="992"/>
      <c r="AM75" s="992"/>
      <c r="AN75" s="529">
        <f>AC75/AH75</f>
        <v>0</v>
      </c>
      <c r="AO75" s="529"/>
      <c r="AP75" s="529"/>
      <c r="AQ75" s="529"/>
      <c r="AR75" s="529"/>
      <c r="AS75" s="1415">
        <v>58</v>
      </c>
      <c r="AT75" s="1415"/>
      <c r="AU75" s="1415"/>
      <c r="AV75" s="1415"/>
      <c r="AW75" s="1415"/>
      <c r="AX75" s="529">
        <f>AN75*AS75</f>
        <v>0</v>
      </c>
      <c r="AY75" s="529"/>
      <c r="AZ75" s="529"/>
      <c r="BA75" s="529"/>
      <c r="BB75" s="665"/>
    </row>
    <row r="76" spans="1:54" s="11" customFormat="1" ht="14.25" hidden="1" customHeight="1" x14ac:dyDescent="0.2">
      <c r="A76" s="1182"/>
      <c r="B76" s="1183"/>
      <c r="C76" s="1183"/>
      <c r="D76" s="1183"/>
      <c r="E76" s="1183"/>
      <c r="F76" s="1183"/>
      <c r="G76" s="1183"/>
      <c r="H76" s="1174" t="s">
        <v>26</v>
      </c>
      <c r="I76" s="1175"/>
      <c r="J76" s="1175"/>
      <c r="K76" s="1175"/>
      <c r="L76" s="1175"/>
      <c r="M76" s="1175"/>
      <c r="N76" s="1176">
        <v>0</v>
      </c>
      <c r="O76" s="1176"/>
      <c r="P76" s="1176"/>
      <c r="Q76" s="27" t="s">
        <v>27</v>
      </c>
      <c r="R76" s="1176">
        <f>$AX$21*N76</f>
        <v>0</v>
      </c>
      <c r="S76" s="1176"/>
      <c r="T76" s="1176"/>
      <c r="U76" s="1176"/>
      <c r="V76" s="1176"/>
      <c r="W76" s="27" t="s">
        <v>28</v>
      </c>
      <c r="X76" s="27" t="s">
        <v>29</v>
      </c>
      <c r="Y76" s="27"/>
      <c r="Z76" s="27"/>
      <c r="AA76" s="27"/>
      <c r="AB76" s="33"/>
      <c r="AC76" s="992"/>
      <c r="AD76" s="992"/>
      <c r="AE76" s="992"/>
      <c r="AF76" s="992"/>
      <c r="AG76" s="992"/>
      <c r="AH76" s="992"/>
      <c r="AI76" s="992"/>
      <c r="AJ76" s="992"/>
      <c r="AK76" s="992"/>
      <c r="AL76" s="992"/>
      <c r="AM76" s="992"/>
      <c r="AN76" s="529"/>
      <c r="AO76" s="529"/>
      <c r="AP76" s="529"/>
      <c r="AQ76" s="529"/>
      <c r="AR76" s="529"/>
      <c r="AS76" s="1415"/>
      <c r="AT76" s="1415"/>
      <c r="AU76" s="1415"/>
      <c r="AV76" s="1415"/>
      <c r="AW76" s="1415"/>
      <c r="AX76" s="529"/>
      <c r="AY76" s="529"/>
      <c r="AZ76" s="529"/>
      <c r="BA76" s="529"/>
      <c r="BB76" s="665"/>
    </row>
    <row r="77" spans="1:54" s="11" customFormat="1" ht="9.75" hidden="1" customHeight="1" thickBot="1" x14ac:dyDescent="0.25">
      <c r="A77" s="1182"/>
      <c r="B77" s="1183"/>
      <c r="C77" s="1183"/>
      <c r="D77" s="1183"/>
      <c r="E77" s="1183"/>
      <c r="F77" s="1183"/>
      <c r="G77" s="1183"/>
      <c r="H77" s="34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27"/>
      <c r="AA77" s="27"/>
      <c r="AB77" s="33"/>
      <c r="AC77" s="992"/>
      <c r="AD77" s="992"/>
      <c r="AE77" s="992"/>
      <c r="AF77" s="992"/>
      <c r="AG77" s="992"/>
      <c r="AH77" s="992"/>
      <c r="AI77" s="992"/>
      <c r="AJ77" s="992"/>
      <c r="AK77" s="992"/>
      <c r="AL77" s="992"/>
      <c r="AM77" s="992"/>
      <c r="AN77" s="529"/>
      <c r="AO77" s="529"/>
      <c r="AP77" s="529"/>
      <c r="AQ77" s="529"/>
      <c r="AR77" s="529"/>
      <c r="AS77" s="1415"/>
      <c r="AT77" s="1415"/>
      <c r="AU77" s="1415"/>
      <c r="AV77" s="1415"/>
      <c r="AW77" s="1415"/>
      <c r="AX77" s="529"/>
      <c r="AY77" s="529"/>
      <c r="AZ77" s="529"/>
      <c r="BA77" s="529"/>
      <c r="BB77" s="665"/>
    </row>
    <row r="78" spans="1:54" ht="23.25" hidden="1" customHeight="1" x14ac:dyDescent="0.2">
      <c r="A78" s="1182"/>
      <c r="B78" s="1183"/>
      <c r="C78" s="1183"/>
      <c r="D78" s="1183"/>
      <c r="E78" s="1183"/>
      <c r="F78" s="1183"/>
      <c r="G78" s="1183"/>
      <c r="H78" s="35" t="s">
        <v>30</v>
      </c>
      <c r="I78" s="1177">
        <v>0.2</v>
      </c>
      <c r="J78" s="1177"/>
      <c r="K78" s="1177"/>
      <c r="L78" s="27" t="s">
        <v>28</v>
      </c>
      <c r="M78" s="1177">
        <v>0.2</v>
      </c>
      <c r="N78" s="1177"/>
      <c r="O78" s="1177"/>
      <c r="P78" s="27" t="s">
        <v>28</v>
      </c>
      <c r="Q78" s="1177">
        <v>0</v>
      </c>
      <c r="R78" s="1177"/>
      <c r="S78" s="1177"/>
      <c r="T78" s="27" t="s">
        <v>28</v>
      </c>
      <c r="U78" s="1177">
        <v>0</v>
      </c>
      <c r="V78" s="1177"/>
      <c r="W78" s="1177"/>
      <c r="X78" s="27" t="s">
        <v>31</v>
      </c>
      <c r="Y78" s="27" t="s">
        <v>28</v>
      </c>
      <c r="Z78" s="1176">
        <v>2.6</v>
      </c>
      <c r="AA78" s="1176"/>
      <c r="AB78" s="1186"/>
      <c r="AC78" s="992"/>
      <c r="AD78" s="992"/>
      <c r="AE78" s="992"/>
      <c r="AF78" s="992"/>
      <c r="AG78" s="992"/>
      <c r="AH78" s="992"/>
      <c r="AI78" s="992"/>
      <c r="AJ78" s="992"/>
      <c r="AK78" s="992"/>
      <c r="AL78" s="992"/>
      <c r="AM78" s="992"/>
      <c r="AN78" s="529"/>
      <c r="AO78" s="529"/>
      <c r="AP78" s="529"/>
      <c r="AQ78" s="529"/>
      <c r="AR78" s="529"/>
      <c r="AS78" s="1415"/>
      <c r="AT78" s="1415"/>
      <c r="AU78" s="1415"/>
      <c r="AV78" s="1415"/>
      <c r="AW78" s="1415"/>
      <c r="AX78" s="529"/>
      <c r="AY78" s="529"/>
      <c r="AZ78" s="529"/>
      <c r="BA78" s="529"/>
      <c r="BB78" s="665"/>
    </row>
    <row r="79" spans="1:54" ht="3.75" hidden="1" customHeight="1" x14ac:dyDescent="0.2">
      <c r="A79" s="1182"/>
      <c r="B79" s="1183"/>
      <c r="C79" s="1183"/>
      <c r="D79" s="1183"/>
      <c r="E79" s="1183"/>
      <c r="F79" s="1183"/>
      <c r="G79" s="1183"/>
      <c r="H79" s="41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3"/>
      <c r="AA79" s="43"/>
      <c r="AB79" s="44"/>
      <c r="AC79" s="992"/>
      <c r="AD79" s="992"/>
      <c r="AE79" s="992"/>
      <c r="AF79" s="992"/>
      <c r="AG79" s="992"/>
      <c r="AH79" s="959"/>
      <c r="AI79" s="959"/>
      <c r="AJ79" s="959"/>
      <c r="AK79" s="959"/>
      <c r="AL79" s="959"/>
      <c r="AM79" s="959"/>
      <c r="AN79" s="483"/>
      <c r="AO79" s="483"/>
      <c r="AP79" s="483"/>
      <c r="AQ79" s="483"/>
      <c r="AR79" s="483"/>
      <c r="AS79" s="1517"/>
      <c r="AT79" s="1517"/>
      <c r="AU79" s="1517"/>
      <c r="AV79" s="1517"/>
      <c r="AW79" s="1517"/>
      <c r="AX79" s="483"/>
      <c r="AY79" s="483"/>
      <c r="AZ79" s="483"/>
      <c r="BA79" s="483"/>
      <c r="BB79" s="484"/>
    </row>
    <row r="80" spans="1:54" ht="11.25" customHeight="1" x14ac:dyDescent="0.2">
      <c r="R80" s="16" t="s">
        <v>18</v>
      </c>
      <c r="S80" s="17"/>
      <c r="T80" s="17"/>
      <c r="U80" s="18"/>
      <c r="V80" s="18"/>
      <c r="W80" s="18"/>
      <c r="X80" s="18"/>
      <c r="Y80" s="18"/>
      <c r="Z80" s="18"/>
      <c r="AA80" s="18"/>
      <c r="AB80" s="18"/>
      <c r="AC80" s="18"/>
      <c r="AD80" s="18" t="s">
        <v>19</v>
      </c>
      <c r="AE80" s="18" t="s">
        <v>20</v>
      </c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9"/>
      <c r="AS80" s="1178">
        <f>AX80/U13</f>
        <v>337.17666666666668</v>
      </c>
      <c r="AT80" s="1178"/>
      <c r="AU80" s="1178"/>
      <c r="AV80" s="1178"/>
      <c r="AW80" s="1178"/>
      <c r="AX80" s="1178">
        <f>AX60</f>
        <v>2360.2366666666667</v>
      </c>
      <c r="AY80" s="1178"/>
      <c r="AZ80" s="1178"/>
      <c r="BA80" s="1178"/>
      <c r="BB80" s="1179"/>
    </row>
    <row r="81" spans="1:54" ht="11.25" customHeight="1" thickBot="1" x14ac:dyDescent="0.25">
      <c r="R81" s="20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 t="s">
        <v>19</v>
      </c>
      <c r="AE81" s="21" t="s">
        <v>21</v>
      </c>
      <c r="AF81" s="21"/>
      <c r="AG81" s="21"/>
      <c r="AH81" s="21"/>
      <c r="AI81" s="21"/>
      <c r="AJ81" s="21"/>
      <c r="AK81" s="21"/>
      <c r="AL81" s="21"/>
      <c r="AM81" s="21"/>
      <c r="AN81" s="21"/>
      <c r="AO81" s="1153">
        <v>0.30199999999999999</v>
      </c>
      <c r="AP81" s="997"/>
      <c r="AQ81" s="997"/>
      <c r="AR81" s="998"/>
      <c r="AS81" s="1154">
        <f>AX81/U13</f>
        <v>101.82735333333333</v>
      </c>
      <c r="AT81" s="1154"/>
      <c r="AU81" s="1154"/>
      <c r="AV81" s="1154"/>
      <c r="AW81" s="1154"/>
      <c r="AX81" s="1154">
        <f>AX80*AO81</f>
        <v>712.79147333333333</v>
      </c>
      <c r="AY81" s="1154"/>
      <c r="AZ81" s="1154"/>
      <c r="BA81" s="1154"/>
      <c r="BB81" s="1155"/>
    </row>
    <row r="82" spans="1:54" ht="12.75" thickBot="1" x14ac:dyDescent="0.25">
      <c r="M82" s="10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45"/>
      <c r="AP82" s="425"/>
      <c r="AQ82" s="425"/>
      <c r="AR82" s="425"/>
      <c r="AS82" s="423"/>
      <c r="AT82" s="423"/>
      <c r="AU82" s="423"/>
      <c r="AV82" s="423"/>
      <c r="AW82" s="423"/>
      <c r="AX82" s="423"/>
      <c r="AY82" s="423"/>
      <c r="AZ82" s="423"/>
      <c r="BA82" s="423"/>
      <c r="BB82" s="423"/>
    </row>
    <row r="83" spans="1:54" ht="13.5" customHeight="1" x14ac:dyDescent="0.2">
      <c r="A83" s="1156" t="s">
        <v>32</v>
      </c>
      <c r="B83" s="1156"/>
      <c r="C83" s="1156"/>
      <c r="D83" s="1156"/>
      <c r="E83" s="1156"/>
      <c r="F83" s="1156"/>
      <c r="G83" s="1156"/>
      <c r="H83" s="1156"/>
      <c r="I83" s="1156"/>
      <c r="J83" s="1156"/>
      <c r="K83" s="1156"/>
      <c r="L83" s="1156"/>
      <c r="M83" s="1156"/>
      <c r="N83" s="1156"/>
      <c r="O83" s="1157" t="s">
        <v>33</v>
      </c>
      <c r="P83" s="1158"/>
      <c r="Q83" s="1158"/>
      <c r="R83" s="1158"/>
      <c r="S83" s="1158"/>
      <c r="T83" s="1158"/>
      <c r="U83" s="1158"/>
      <c r="V83" s="1158"/>
      <c r="W83" s="1158"/>
      <c r="X83" s="1158"/>
      <c r="Y83" s="1158"/>
      <c r="Z83" s="1158"/>
      <c r="AA83" s="1158"/>
      <c r="AB83" s="1158"/>
      <c r="AC83" s="1158"/>
      <c r="AD83" s="1158"/>
      <c r="AE83" s="1158"/>
      <c r="AF83" s="1158"/>
      <c r="AG83" s="1158"/>
      <c r="AH83" s="1158"/>
      <c r="AI83" s="1158"/>
      <c r="AJ83" s="1158"/>
      <c r="AK83" s="1158"/>
      <c r="AL83" s="1158"/>
      <c r="AM83" s="1158"/>
      <c r="AN83" s="1158"/>
      <c r="AO83" s="1159">
        <f>AS36+AS53+AS80</f>
        <v>438.3296666666667</v>
      </c>
      <c r="AP83" s="1159"/>
      <c r="AQ83" s="1159"/>
      <c r="AR83" s="1159"/>
      <c r="AS83" s="1159"/>
      <c r="AT83" s="1159"/>
      <c r="AU83" s="1159"/>
      <c r="AV83" s="1159">
        <f>AX36+AX53+AX80</f>
        <v>3068.3076666666666</v>
      </c>
      <c r="AW83" s="1159"/>
      <c r="AX83" s="1159"/>
      <c r="AY83" s="1159"/>
      <c r="AZ83" s="1159"/>
      <c r="BA83" s="1159"/>
      <c r="BB83" s="1160"/>
    </row>
    <row r="84" spans="1:54" ht="12.75" customHeight="1" thickBot="1" x14ac:dyDescent="0.25">
      <c r="M84" s="9"/>
      <c r="O84" s="1166" t="s">
        <v>34</v>
      </c>
      <c r="P84" s="1167"/>
      <c r="Q84" s="1167"/>
      <c r="R84" s="1167"/>
      <c r="S84" s="1167"/>
      <c r="T84" s="1167"/>
      <c r="U84" s="1167"/>
      <c r="V84" s="1167"/>
      <c r="W84" s="1167"/>
      <c r="X84" s="1167"/>
      <c r="Y84" s="1167"/>
      <c r="Z84" s="1167"/>
      <c r="AA84" s="1167"/>
      <c r="AB84" s="1167"/>
      <c r="AC84" s="1167"/>
      <c r="AD84" s="1167"/>
      <c r="AE84" s="1167"/>
      <c r="AF84" s="1167"/>
      <c r="AG84" s="1167"/>
      <c r="AH84" s="1167"/>
      <c r="AI84" s="1167"/>
      <c r="AJ84" s="1167"/>
      <c r="AK84" s="1167"/>
      <c r="AL84" s="1167"/>
      <c r="AM84" s="1167"/>
      <c r="AN84" s="1167"/>
      <c r="AO84" s="1168">
        <f>AS37+AS54+AS81</f>
        <v>132.37555933333334</v>
      </c>
      <c r="AP84" s="1168"/>
      <c r="AQ84" s="1168"/>
      <c r="AR84" s="1168"/>
      <c r="AS84" s="1168"/>
      <c r="AT84" s="1168"/>
      <c r="AU84" s="1168"/>
      <c r="AV84" s="1168">
        <f>AX37+AX54+AX81</f>
        <v>926.62891533333334</v>
      </c>
      <c r="AW84" s="1168"/>
      <c r="AX84" s="1168"/>
      <c r="AY84" s="1168"/>
      <c r="AZ84" s="1168"/>
      <c r="BA84" s="1168"/>
      <c r="BB84" s="1169"/>
    </row>
    <row r="85" spans="1:54" ht="15" customHeight="1" thickBot="1" x14ac:dyDescent="0.25">
      <c r="M85" s="46" t="s">
        <v>35</v>
      </c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8"/>
      <c r="AO85" s="1170">
        <f>AO84+AO83</f>
        <v>570.70522600000004</v>
      </c>
      <c r="AP85" s="1171"/>
      <c r="AQ85" s="1171"/>
      <c r="AR85" s="1171"/>
      <c r="AS85" s="1171"/>
      <c r="AT85" s="1171"/>
      <c r="AU85" s="1171"/>
      <c r="AV85" s="1171">
        <f>AV83+AV84</f>
        <v>3994.9365819999998</v>
      </c>
      <c r="AW85" s="1171"/>
      <c r="AX85" s="1171"/>
      <c r="AY85" s="1171"/>
      <c r="AZ85" s="1171"/>
      <c r="BA85" s="1171"/>
      <c r="BB85" s="1172"/>
    </row>
    <row r="86" spans="1:54" ht="6" customHeight="1" x14ac:dyDescent="0.2"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</row>
    <row r="87" spans="1:54" s="5" customFormat="1" ht="15" customHeight="1" x14ac:dyDescent="0.2">
      <c r="A87" s="55" t="s">
        <v>36</v>
      </c>
      <c r="B87" s="55"/>
      <c r="C87" s="55" t="s">
        <v>37</v>
      </c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  <c r="AF87" s="55"/>
      <c r="AG87" s="55"/>
      <c r="AH87" s="55"/>
      <c r="AI87" s="55"/>
      <c r="AJ87" s="55"/>
      <c r="AK87" s="55"/>
      <c r="AL87" s="55"/>
      <c r="AM87" s="55"/>
      <c r="AN87" s="55"/>
      <c r="AO87" s="55"/>
      <c r="AP87" s="55"/>
      <c r="AQ87" s="55"/>
      <c r="AR87" s="55"/>
      <c r="AS87" s="55"/>
      <c r="AT87" s="55"/>
      <c r="AU87" s="55"/>
      <c r="AV87" s="55"/>
      <c r="AW87" s="55"/>
      <c r="AX87" s="56"/>
      <c r="AY87" s="56"/>
      <c r="AZ87" s="56"/>
      <c r="BA87" s="56"/>
      <c r="BB87" s="56"/>
    </row>
    <row r="88" spans="1:54" ht="6.75" customHeight="1" thickBot="1" x14ac:dyDescent="0.25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  <c r="AC88" s="57"/>
      <c r="AD88" s="57"/>
      <c r="AE88" s="57"/>
      <c r="AF88" s="57"/>
      <c r="AG88" s="57"/>
      <c r="AH88" s="57"/>
      <c r="AI88" s="57"/>
      <c r="AJ88" s="57"/>
      <c r="AK88" s="57"/>
      <c r="AL88" s="57"/>
      <c r="AM88" s="57"/>
      <c r="AN88" s="57"/>
      <c r="AO88" s="57"/>
      <c r="AP88" s="57"/>
      <c r="AQ88" s="57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</row>
    <row r="89" spans="1:54" s="9" customFormat="1" ht="39" customHeight="1" thickBot="1" x14ac:dyDescent="0.25">
      <c r="A89" s="1513" t="s">
        <v>38</v>
      </c>
      <c r="B89" s="1514"/>
      <c r="C89" s="1514"/>
      <c r="D89" s="1514"/>
      <c r="E89" s="1514"/>
      <c r="F89" s="1514"/>
      <c r="G89" s="1514"/>
      <c r="H89" s="1514"/>
      <c r="I89" s="1514"/>
      <c r="J89" s="1514"/>
      <c r="K89" s="1514"/>
      <c r="L89" s="1514"/>
      <c r="M89" s="1514"/>
      <c r="N89" s="1514"/>
      <c r="O89" s="1514"/>
      <c r="P89" s="1514"/>
      <c r="Q89" s="1515" t="s">
        <v>39</v>
      </c>
      <c r="R89" s="1515"/>
      <c r="S89" s="1515"/>
      <c r="T89" s="1515"/>
      <c r="U89" s="1515"/>
      <c r="V89" s="1515"/>
      <c r="W89" s="1515"/>
      <c r="X89" s="1515" t="s">
        <v>40</v>
      </c>
      <c r="Y89" s="1515"/>
      <c r="Z89" s="1515"/>
      <c r="AA89" s="1515"/>
      <c r="AB89" s="1515"/>
      <c r="AC89" s="1515"/>
      <c r="AD89" s="1515"/>
      <c r="AE89" s="1515" t="s">
        <v>41</v>
      </c>
      <c r="AF89" s="1515"/>
      <c r="AG89" s="1515"/>
      <c r="AH89" s="1515"/>
      <c r="AI89" s="1515"/>
      <c r="AJ89" s="1515"/>
      <c r="AK89" s="1515"/>
      <c r="AL89" s="1515"/>
      <c r="AM89" s="1514" t="s">
        <v>42</v>
      </c>
      <c r="AN89" s="1514"/>
      <c r="AO89" s="1514"/>
      <c r="AP89" s="1514"/>
      <c r="AQ89" s="1514"/>
      <c r="AR89" s="1514"/>
      <c r="AS89" s="1514"/>
      <c r="AT89" s="1514"/>
      <c r="AU89" s="1514"/>
      <c r="AV89" s="1514" t="s">
        <v>43</v>
      </c>
      <c r="AW89" s="1514"/>
      <c r="AX89" s="1514"/>
      <c r="AY89" s="1514"/>
      <c r="AZ89" s="1514"/>
      <c r="BA89" s="1514"/>
      <c r="BB89" s="1516"/>
    </row>
    <row r="90" spans="1:54" s="9" customFormat="1" ht="12" customHeight="1" thickBot="1" x14ac:dyDescent="0.25">
      <c r="A90" s="1456">
        <v>1</v>
      </c>
      <c r="B90" s="965"/>
      <c r="C90" s="965"/>
      <c r="D90" s="965"/>
      <c r="E90" s="965"/>
      <c r="F90" s="965"/>
      <c r="G90" s="965"/>
      <c r="H90" s="965"/>
      <c r="I90" s="965"/>
      <c r="J90" s="965"/>
      <c r="K90" s="965"/>
      <c r="L90" s="965"/>
      <c r="M90" s="965"/>
      <c r="N90" s="965"/>
      <c r="O90" s="965"/>
      <c r="P90" s="965"/>
      <c r="Q90" s="965">
        <v>2</v>
      </c>
      <c r="R90" s="965"/>
      <c r="S90" s="965"/>
      <c r="T90" s="965"/>
      <c r="U90" s="965"/>
      <c r="V90" s="965"/>
      <c r="W90" s="965"/>
      <c r="X90" s="965">
        <v>3</v>
      </c>
      <c r="Y90" s="965"/>
      <c r="Z90" s="965"/>
      <c r="AA90" s="965"/>
      <c r="AB90" s="965"/>
      <c r="AC90" s="965"/>
      <c r="AD90" s="965"/>
      <c r="AE90" s="965">
        <v>4</v>
      </c>
      <c r="AF90" s="965"/>
      <c r="AG90" s="965"/>
      <c r="AH90" s="965"/>
      <c r="AI90" s="965"/>
      <c r="AJ90" s="965"/>
      <c r="AK90" s="965"/>
      <c r="AL90" s="965"/>
      <c r="AM90" s="965">
        <v>5</v>
      </c>
      <c r="AN90" s="965"/>
      <c r="AO90" s="965"/>
      <c r="AP90" s="965"/>
      <c r="AQ90" s="965"/>
      <c r="AR90" s="965"/>
      <c r="AS90" s="965"/>
      <c r="AT90" s="965"/>
      <c r="AU90" s="965"/>
      <c r="AV90" s="965">
        <v>6</v>
      </c>
      <c r="AW90" s="965"/>
      <c r="AX90" s="965"/>
      <c r="AY90" s="965"/>
      <c r="AZ90" s="965"/>
      <c r="BA90" s="965"/>
      <c r="BB90" s="966"/>
    </row>
    <row r="91" spans="1:54" ht="15" customHeight="1" x14ac:dyDescent="0.2">
      <c r="A91" s="1142" t="s">
        <v>44</v>
      </c>
      <c r="B91" s="1143"/>
      <c r="C91" s="1143"/>
      <c r="D91" s="1143"/>
      <c r="E91" s="1143"/>
      <c r="F91" s="1143"/>
      <c r="G91" s="1143"/>
      <c r="H91" s="1143"/>
      <c r="I91" s="1143"/>
      <c r="J91" s="1143"/>
      <c r="K91" s="1143"/>
      <c r="L91" s="1143"/>
      <c r="M91" s="1143"/>
      <c r="N91" s="1143"/>
      <c r="O91" s="1143"/>
      <c r="P91" s="1143"/>
      <c r="Q91" s="1114">
        <v>2988.6</v>
      </c>
      <c r="R91" s="1115"/>
      <c r="S91" s="1115"/>
      <c r="T91" s="1115"/>
      <c r="U91" s="1115"/>
      <c r="V91" s="1115"/>
      <c r="W91" s="1116"/>
      <c r="X91" s="1114">
        <v>101.9</v>
      </c>
      <c r="Y91" s="1115"/>
      <c r="Z91" s="1115"/>
      <c r="AA91" s="1115"/>
      <c r="AB91" s="1115"/>
      <c r="AC91" s="1115"/>
      <c r="AD91" s="1116"/>
      <c r="AE91" s="477">
        <v>588262.19999999995</v>
      </c>
      <c r="AF91" s="477"/>
      <c r="AG91" s="477"/>
      <c r="AH91" s="477"/>
      <c r="AI91" s="477"/>
      <c r="AJ91" s="477"/>
      <c r="AK91" s="477"/>
      <c r="AL91" s="477"/>
      <c r="AM91" s="1144" t="s">
        <v>45</v>
      </c>
      <c r="AN91" s="1145"/>
      <c r="AO91" s="1145"/>
      <c r="AP91" s="1145"/>
      <c r="AQ91" s="1145"/>
      <c r="AR91" s="1145"/>
      <c r="AS91" s="1145"/>
      <c r="AT91" s="1145"/>
      <c r="AU91" s="1146"/>
      <c r="AV91" s="1138">
        <f>AE91/$Q$91*$X$91/($AN$92*$AN$93)</f>
        <v>8.15346530637561</v>
      </c>
      <c r="AW91" s="1138"/>
      <c r="AX91" s="1138"/>
      <c r="AY91" s="1138"/>
      <c r="AZ91" s="1138"/>
      <c r="BA91" s="1138"/>
      <c r="BB91" s="1139"/>
    </row>
    <row r="92" spans="1:54" ht="15" customHeight="1" x14ac:dyDescent="0.2">
      <c r="A92" s="1142" t="s">
        <v>46</v>
      </c>
      <c r="B92" s="1143"/>
      <c r="C92" s="1143"/>
      <c r="D92" s="1143"/>
      <c r="E92" s="1143"/>
      <c r="F92" s="1143"/>
      <c r="G92" s="1143"/>
      <c r="H92" s="1143"/>
      <c r="I92" s="1143"/>
      <c r="J92" s="1143"/>
      <c r="K92" s="1143"/>
      <c r="L92" s="1143"/>
      <c r="M92" s="1143"/>
      <c r="N92" s="1143"/>
      <c r="O92" s="1143"/>
      <c r="P92" s="1143"/>
      <c r="Q92" s="1114"/>
      <c r="R92" s="1115"/>
      <c r="S92" s="1115"/>
      <c r="T92" s="1115"/>
      <c r="U92" s="1115"/>
      <c r="V92" s="1115"/>
      <c r="W92" s="1116"/>
      <c r="X92" s="1114"/>
      <c r="Y92" s="1115"/>
      <c r="Z92" s="1115"/>
      <c r="AA92" s="1115"/>
      <c r="AB92" s="1115"/>
      <c r="AC92" s="1115"/>
      <c r="AD92" s="1116"/>
      <c r="AE92" s="529">
        <v>1470936.54</v>
      </c>
      <c r="AF92" s="529"/>
      <c r="AG92" s="529"/>
      <c r="AH92" s="529"/>
      <c r="AI92" s="529"/>
      <c r="AJ92" s="529"/>
      <c r="AK92" s="529"/>
      <c r="AL92" s="529"/>
      <c r="AM92" s="420"/>
      <c r="AN92" s="1147">
        <v>205</v>
      </c>
      <c r="AO92" s="1147"/>
      <c r="AP92" s="1147"/>
      <c r="AQ92" s="1145" t="s">
        <v>47</v>
      </c>
      <c r="AR92" s="1145"/>
      <c r="AS92" s="1145"/>
      <c r="AT92" s="1145"/>
      <c r="AU92" s="422"/>
      <c r="AV92" s="1138">
        <f>AE92/$Q$91*$X$91/($AN$92*$AN$93)</f>
        <v>20.387558552581112</v>
      </c>
      <c r="AW92" s="1138"/>
      <c r="AX92" s="1138"/>
      <c r="AY92" s="1138"/>
      <c r="AZ92" s="1138"/>
      <c r="BA92" s="1138"/>
      <c r="BB92" s="1139"/>
    </row>
    <row r="93" spans="1:54" ht="15" customHeight="1" x14ac:dyDescent="0.2">
      <c r="A93" s="1120" t="s">
        <v>48</v>
      </c>
      <c r="B93" s="1121"/>
      <c r="C93" s="1121"/>
      <c r="D93" s="1121"/>
      <c r="E93" s="1121"/>
      <c r="F93" s="1121"/>
      <c r="G93" s="1121"/>
      <c r="H93" s="1121"/>
      <c r="I93" s="1121"/>
      <c r="J93" s="1121"/>
      <c r="K93" s="1121"/>
      <c r="L93" s="1121"/>
      <c r="M93" s="1121"/>
      <c r="N93" s="1121"/>
      <c r="O93" s="1121"/>
      <c r="P93" s="1122"/>
      <c r="Q93" s="1114"/>
      <c r="R93" s="1115"/>
      <c r="S93" s="1115"/>
      <c r="T93" s="1115"/>
      <c r="U93" s="1115"/>
      <c r="V93" s="1115"/>
      <c r="W93" s="1116"/>
      <c r="X93" s="1114"/>
      <c r="Y93" s="1115"/>
      <c r="Z93" s="1115"/>
      <c r="AA93" s="1115"/>
      <c r="AB93" s="1115"/>
      <c r="AC93" s="1115"/>
      <c r="AD93" s="1116"/>
      <c r="AE93" s="529">
        <v>1790981.73</v>
      </c>
      <c r="AF93" s="529"/>
      <c r="AG93" s="529"/>
      <c r="AH93" s="529"/>
      <c r="AI93" s="529"/>
      <c r="AJ93" s="529"/>
      <c r="AK93" s="529"/>
      <c r="AL93" s="529"/>
      <c r="AM93" s="420"/>
      <c r="AN93" s="1140">
        <v>12</v>
      </c>
      <c r="AO93" s="1140"/>
      <c r="AP93" s="1140"/>
      <c r="AQ93" s="1145" t="s">
        <v>49</v>
      </c>
      <c r="AR93" s="1145"/>
      <c r="AS93" s="1145"/>
      <c r="AT93" s="1145"/>
      <c r="AU93" s="422"/>
      <c r="AV93" s="1138">
        <f>AE93/$Q$91*$X$91/($AN$92*$AN$93)</f>
        <v>24.823467154455226</v>
      </c>
      <c r="AW93" s="1138"/>
      <c r="AX93" s="1138"/>
      <c r="AY93" s="1138"/>
      <c r="AZ93" s="1138"/>
      <c r="BA93" s="1138"/>
      <c r="BB93" s="1139"/>
    </row>
    <row r="94" spans="1:54" ht="15" customHeight="1" thickBot="1" x14ac:dyDescent="0.25">
      <c r="A94" s="1148" t="s">
        <v>50</v>
      </c>
      <c r="B94" s="1149"/>
      <c r="C94" s="1149"/>
      <c r="D94" s="1149"/>
      <c r="E94" s="1149"/>
      <c r="F94" s="1149"/>
      <c r="G94" s="1149"/>
      <c r="H94" s="1149"/>
      <c r="I94" s="1149"/>
      <c r="J94" s="1149"/>
      <c r="K94" s="1149"/>
      <c r="L94" s="1149"/>
      <c r="M94" s="1149"/>
      <c r="N94" s="1149"/>
      <c r="O94" s="1149"/>
      <c r="P94" s="1150"/>
      <c r="Q94" s="1114"/>
      <c r="R94" s="1115"/>
      <c r="S94" s="1115"/>
      <c r="T94" s="1115"/>
      <c r="U94" s="1115"/>
      <c r="V94" s="1115"/>
      <c r="W94" s="1116"/>
      <c r="X94" s="1114"/>
      <c r="Y94" s="1115"/>
      <c r="Z94" s="1115"/>
      <c r="AA94" s="1115"/>
      <c r="AB94" s="1115"/>
      <c r="AC94" s="1115"/>
      <c r="AD94" s="1116"/>
      <c r="AE94" s="627">
        <v>1175453.25</v>
      </c>
      <c r="AF94" s="627"/>
      <c r="AG94" s="627"/>
      <c r="AH94" s="627"/>
      <c r="AI94" s="627"/>
      <c r="AJ94" s="627"/>
      <c r="AK94" s="627"/>
      <c r="AL94" s="627"/>
      <c r="AM94" s="420"/>
      <c r="AN94" s="421"/>
      <c r="AO94" s="421"/>
      <c r="AP94" s="421"/>
      <c r="AQ94" s="421"/>
      <c r="AR94" s="421"/>
      <c r="AS94" s="421"/>
      <c r="AT94" s="421"/>
      <c r="AU94" s="422"/>
      <c r="AV94" s="1151">
        <f>AE94/$Q$91*$X$91/($AN$92*$AN$93)</f>
        <v>16.292084198409242</v>
      </c>
      <c r="AW94" s="1151"/>
      <c r="AX94" s="1151"/>
      <c r="AY94" s="1151"/>
      <c r="AZ94" s="1151"/>
      <c r="BA94" s="1151"/>
      <c r="BB94" s="1152"/>
    </row>
    <row r="95" spans="1:54" s="7" customFormat="1" ht="15" customHeight="1" thickBot="1" x14ac:dyDescent="0.25">
      <c r="A95" s="1128" t="s">
        <v>51</v>
      </c>
      <c r="B95" s="1129"/>
      <c r="C95" s="1129"/>
      <c r="D95" s="1129"/>
      <c r="E95" s="1129"/>
      <c r="F95" s="1129"/>
      <c r="G95" s="1129"/>
      <c r="H95" s="1129"/>
      <c r="I95" s="1129"/>
      <c r="J95" s="1129"/>
      <c r="K95" s="1129"/>
      <c r="L95" s="1129"/>
      <c r="M95" s="1129"/>
      <c r="N95" s="1129"/>
      <c r="O95" s="1129"/>
      <c r="P95" s="1129"/>
      <c r="Q95" s="1130">
        <f>Q91</f>
        <v>2988.6</v>
      </c>
      <c r="R95" s="1065"/>
      <c r="S95" s="1065"/>
      <c r="T95" s="1065"/>
      <c r="U95" s="1065"/>
      <c r="V95" s="1065"/>
      <c r="W95" s="1066"/>
      <c r="X95" s="1130">
        <f>X91</f>
        <v>101.9</v>
      </c>
      <c r="Y95" s="1065"/>
      <c r="Z95" s="1065"/>
      <c r="AA95" s="1065"/>
      <c r="AB95" s="1065"/>
      <c r="AC95" s="1065"/>
      <c r="AD95" s="1066"/>
      <c r="AE95" s="612">
        <f>SUM(AE91:AL94)</f>
        <v>5025633.72</v>
      </c>
      <c r="AF95" s="612"/>
      <c r="AG95" s="612"/>
      <c r="AH95" s="612"/>
      <c r="AI95" s="612"/>
      <c r="AJ95" s="612"/>
      <c r="AK95" s="612"/>
      <c r="AL95" s="612"/>
      <c r="AM95" s="1130" t="s">
        <v>17</v>
      </c>
      <c r="AN95" s="1065"/>
      <c r="AO95" s="1065"/>
      <c r="AP95" s="1065"/>
      <c r="AQ95" s="1065"/>
      <c r="AR95" s="1065"/>
      <c r="AS95" s="1065"/>
      <c r="AT95" s="1065"/>
      <c r="AU95" s="1066"/>
      <c r="AV95" s="1131">
        <f>SUM(AV91:BB94)</f>
        <v>69.656575211821192</v>
      </c>
      <c r="AW95" s="1131"/>
      <c r="AX95" s="1131"/>
      <c r="AY95" s="1131"/>
      <c r="AZ95" s="1131"/>
      <c r="BA95" s="1131"/>
      <c r="BB95" s="1132"/>
    </row>
    <row r="97" spans="1:54" s="5" customFormat="1" ht="15" customHeight="1" x14ac:dyDescent="0.2">
      <c r="A97" s="55" t="s">
        <v>52</v>
      </c>
      <c r="B97" s="55"/>
      <c r="C97" s="55" t="s">
        <v>53</v>
      </c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I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6"/>
      <c r="AY97" s="56"/>
      <c r="AZ97" s="56"/>
      <c r="BA97" s="56"/>
      <c r="BB97" s="56"/>
    </row>
    <row r="98" spans="1:54" ht="12" customHeight="1" thickBot="1" x14ac:dyDescent="0.25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  <c r="AC98" s="57"/>
      <c r="AD98" s="57"/>
      <c r="AE98" s="57"/>
      <c r="AF98" s="57"/>
      <c r="AG98" s="57"/>
      <c r="AH98" s="57"/>
      <c r="AI98" s="57"/>
      <c r="AJ98" s="57"/>
      <c r="AK98" s="57"/>
      <c r="AL98" s="57"/>
      <c r="AM98" s="57"/>
      <c r="AN98" s="57"/>
      <c r="AO98" s="57"/>
      <c r="AP98" s="57"/>
      <c r="AQ98" s="57"/>
      <c r="AR98" s="57"/>
      <c r="AS98" s="57"/>
      <c r="AT98" s="57"/>
      <c r="AU98" s="57"/>
      <c r="AV98" s="57"/>
      <c r="AW98" s="57"/>
      <c r="AX98" s="57"/>
      <c r="AY98" s="57"/>
      <c r="AZ98" s="57"/>
      <c r="BA98" s="57"/>
      <c r="BB98" s="57"/>
    </row>
    <row r="99" spans="1:54" ht="36" customHeight="1" thickBot="1" x14ac:dyDescent="0.25">
      <c r="A99" s="1412" t="s">
        <v>54</v>
      </c>
      <c r="B99" s="1410"/>
      <c r="C99" s="1410"/>
      <c r="D99" s="1410"/>
      <c r="E99" s="1410"/>
      <c r="F99" s="1410"/>
      <c r="G99" s="1410"/>
      <c r="H99" s="1410"/>
      <c r="I99" s="1410"/>
      <c r="J99" s="1410"/>
      <c r="K99" s="1410"/>
      <c r="L99" s="1410"/>
      <c r="M99" s="1410"/>
      <c r="N99" s="1410"/>
      <c r="O99" s="1410"/>
      <c r="P99" s="1410"/>
      <c r="Q99" s="1410"/>
      <c r="R99" s="1410"/>
      <c r="S99" s="1410"/>
      <c r="T99" s="1410"/>
      <c r="U99" s="1410"/>
      <c r="V99" s="1410"/>
      <c r="W99" s="1410"/>
      <c r="X99" s="1410"/>
      <c r="Y99" s="1410"/>
      <c r="Z99" s="1411"/>
      <c r="AA99" s="1406" t="s">
        <v>55</v>
      </c>
      <c r="AB99" s="1407"/>
      <c r="AC99" s="1407"/>
      <c r="AD99" s="1407"/>
      <c r="AE99" s="1407"/>
      <c r="AF99" s="1408"/>
      <c r="AG99" s="1406" t="s">
        <v>56</v>
      </c>
      <c r="AH99" s="1407"/>
      <c r="AI99" s="1407"/>
      <c r="AJ99" s="1407"/>
      <c r="AK99" s="1407"/>
      <c r="AL99" s="1408"/>
      <c r="AM99" s="1409" t="s">
        <v>57</v>
      </c>
      <c r="AN99" s="1410"/>
      <c r="AO99" s="1410"/>
      <c r="AP99" s="1410"/>
      <c r="AQ99" s="1410"/>
      <c r="AR99" s="1410"/>
      <c r="AS99" s="1410"/>
      <c r="AT99" s="1411"/>
      <c r="AU99" s="1409" t="s">
        <v>43</v>
      </c>
      <c r="AV99" s="1410"/>
      <c r="AW99" s="1410"/>
      <c r="AX99" s="1410"/>
      <c r="AY99" s="1410"/>
      <c r="AZ99" s="1410"/>
      <c r="BA99" s="1410"/>
      <c r="BB99" s="1413"/>
    </row>
    <row r="100" spans="1:54" ht="15.75" customHeight="1" thickBot="1" x14ac:dyDescent="0.25">
      <c r="A100" s="1064">
        <v>1</v>
      </c>
      <c r="B100" s="1065"/>
      <c r="C100" s="1065"/>
      <c r="D100" s="1065"/>
      <c r="E100" s="1065"/>
      <c r="F100" s="1065"/>
      <c r="G100" s="1065"/>
      <c r="H100" s="1065"/>
      <c r="I100" s="1065"/>
      <c r="J100" s="1065"/>
      <c r="K100" s="1065"/>
      <c r="L100" s="1065"/>
      <c r="M100" s="1065"/>
      <c r="N100" s="1065"/>
      <c r="O100" s="1065"/>
      <c r="P100" s="1065"/>
      <c r="Q100" s="1065"/>
      <c r="R100" s="1065"/>
      <c r="S100" s="1065"/>
      <c r="T100" s="1065"/>
      <c r="U100" s="1065"/>
      <c r="V100" s="1065"/>
      <c r="W100" s="1065"/>
      <c r="X100" s="1065"/>
      <c r="Y100" s="1065"/>
      <c r="Z100" s="1066"/>
      <c r="AA100" s="1130">
        <v>2</v>
      </c>
      <c r="AB100" s="1065"/>
      <c r="AC100" s="1065"/>
      <c r="AD100" s="1065"/>
      <c r="AE100" s="1065"/>
      <c r="AF100" s="1066"/>
      <c r="AG100" s="1130">
        <v>3</v>
      </c>
      <c r="AH100" s="1065"/>
      <c r="AI100" s="1065"/>
      <c r="AJ100" s="1065"/>
      <c r="AK100" s="1065"/>
      <c r="AL100" s="1066"/>
      <c r="AM100" s="1130">
        <v>4</v>
      </c>
      <c r="AN100" s="1065"/>
      <c r="AO100" s="1065"/>
      <c r="AP100" s="1065"/>
      <c r="AQ100" s="1065"/>
      <c r="AR100" s="1065"/>
      <c r="AS100" s="1065"/>
      <c r="AT100" s="1066"/>
      <c r="AU100" s="1130">
        <v>5</v>
      </c>
      <c r="AV100" s="1065"/>
      <c r="AW100" s="1065"/>
      <c r="AX100" s="1065"/>
      <c r="AY100" s="1065"/>
      <c r="AZ100" s="1065"/>
      <c r="BA100" s="1065"/>
      <c r="BB100" s="1414"/>
    </row>
    <row r="101" spans="1:54" ht="15" hidden="1" customHeight="1" x14ac:dyDescent="0.2">
      <c r="A101" s="1105" t="s">
        <v>708</v>
      </c>
      <c r="B101" s="1106"/>
      <c r="C101" s="1106"/>
      <c r="D101" s="1106"/>
      <c r="E101" s="1106"/>
      <c r="F101" s="1106"/>
      <c r="G101" s="1106"/>
      <c r="H101" s="1106"/>
      <c r="I101" s="1106"/>
      <c r="J101" s="1106"/>
      <c r="K101" s="1106"/>
      <c r="L101" s="1106"/>
      <c r="M101" s="1106"/>
      <c r="N101" s="1106"/>
      <c r="O101" s="1106"/>
      <c r="P101" s="1106"/>
      <c r="Q101" s="1106"/>
      <c r="R101" s="1106"/>
      <c r="S101" s="1106"/>
      <c r="T101" s="1106"/>
      <c r="U101" s="1106"/>
      <c r="V101" s="1106"/>
      <c r="W101" s="1106"/>
      <c r="X101" s="1106"/>
      <c r="Y101" s="1106"/>
      <c r="Z101" s="1107"/>
      <c r="AA101" s="1108">
        <v>0</v>
      </c>
      <c r="AB101" s="1109"/>
      <c r="AC101" s="1109"/>
      <c r="AD101" s="1109"/>
      <c r="AE101" s="1109"/>
      <c r="AF101" s="1110"/>
      <c r="AG101" s="1111">
        <f>U13</f>
        <v>7</v>
      </c>
      <c r="AH101" s="1112"/>
      <c r="AI101" s="1112"/>
      <c r="AJ101" s="1112"/>
      <c r="AK101" s="1112"/>
      <c r="AL101" s="1113"/>
      <c r="AM101" s="1111" t="s">
        <v>58</v>
      </c>
      <c r="AN101" s="1112"/>
      <c r="AO101" s="1112"/>
      <c r="AP101" s="1112"/>
      <c r="AQ101" s="1112"/>
      <c r="AR101" s="1112"/>
      <c r="AS101" s="1112"/>
      <c r="AT101" s="1112"/>
      <c r="AU101" s="1117">
        <f>AA101/AG101</f>
        <v>0</v>
      </c>
      <c r="AV101" s="1118"/>
      <c r="AW101" s="1118"/>
      <c r="AX101" s="1118"/>
      <c r="AY101" s="1118"/>
      <c r="AZ101" s="1118"/>
      <c r="BA101" s="1118"/>
      <c r="BB101" s="1119"/>
    </row>
    <row r="102" spans="1:54" ht="15" hidden="1" customHeight="1" x14ac:dyDescent="0.25">
      <c r="A102" s="429" t="s">
        <v>709</v>
      </c>
      <c r="B102" s="430"/>
      <c r="C102" s="430"/>
      <c r="D102" s="430"/>
      <c r="E102" s="430"/>
      <c r="F102" s="430"/>
      <c r="G102" s="430"/>
      <c r="H102" s="430"/>
      <c r="I102" s="430"/>
      <c r="J102" s="430"/>
      <c r="K102" s="430"/>
      <c r="L102" s="430"/>
      <c r="M102" s="430"/>
      <c r="N102" s="430"/>
      <c r="O102" s="430"/>
      <c r="P102" s="430"/>
      <c r="Q102" s="430"/>
      <c r="R102" s="430"/>
      <c r="S102" s="430"/>
      <c r="T102" s="430"/>
      <c r="U102" s="430"/>
      <c r="V102" s="430"/>
      <c r="W102" s="430"/>
      <c r="X102" s="430"/>
      <c r="Y102" s="430"/>
      <c r="Z102" s="431"/>
      <c r="AA102" s="1093">
        <v>0</v>
      </c>
      <c r="AB102" s="1511"/>
      <c r="AC102" s="1511"/>
      <c r="AD102" s="1511"/>
      <c r="AE102" s="1511"/>
      <c r="AF102" s="1512"/>
      <c r="AG102" s="1114"/>
      <c r="AH102" s="1115"/>
      <c r="AI102" s="1115"/>
      <c r="AJ102" s="1115"/>
      <c r="AK102" s="1115"/>
      <c r="AL102" s="1116"/>
      <c r="AM102" s="1114"/>
      <c r="AN102" s="1115"/>
      <c r="AO102" s="1115"/>
      <c r="AP102" s="1115"/>
      <c r="AQ102" s="1115"/>
      <c r="AR102" s="1115"/>
      <c r="AS102" s="1115"/>
      <c r="AT102" s="1115"/>
      <c r="AU102" s="1096">
        <f>AA102/AG101</f>
        <v>0</v>
      </c>
      <c r="AV102" s="836"/>
      <c r="AW102" s="836"/>
      <c r="AX102" s="836"/>
      <c r="AY102" s="836"/>
      <c r="AZ102" s="836"/>
      <c r="BA102" s="836"/>
      <c r="BB102" s="837"/>
    </row>
    <row r="103" spans="1:54" ht="15" customHeight="1" x14ac:dyDescent="0.2">
      <c r="A103" s="1120" t="s">
        <v>710</v>
      </c>
      <c r="B103" s="1121"/>
      <c r="C103" s="1121"/>
      <c r="D103" s="1121"/>
      <c r="E103" s="1121"/>
      <c r="F103" s="1121"/>
      <c r="G103" s="1121"/>
      <c r="H103" s="1121"/>
      <c r="I103" s="1121"/>
      <c r="J103" s="1121"/>
      <c r="K103" s="1121"/>
      <c r="L103" s="1121"/>
      <c r="M103" s="1121"/>
      <c r="N103" s="1121"/>
      <c r="O103" s="1121"/>
      <c r="P103" s="1121"/>
      <c r="Q103" s="1121"/>
      <c r="R103" s="1121"/>
      <c r="S103" s="1121"/>
      <c r="T103" s="1121"/>
      <c r="U103" s="1121"/>
      <c r="V103" s="1121"/>
      <c r="W103" s="1121"/>
      <c r="X103" s="1121"/>
      <c r="Y103" s="1121"/>
      <c r="Z103" s="1122"/>
      <c r="AA103" s="1093">
        <v>20</v>
      </c>
      <c r="AB103" s="1094"/>
      <c r="AC103" s="1094"/>
      <c r="AD103" s="1094"/>
      <c r="AE103" s="1094"/>
      <c r="AF103" s="1095"/>
      <c r="AG103" s="1114"/>
      <c r="AH103" s="1115"/>
      <c r="AI103" s="1115"/>
      <c r="AJ103" s="1115"/>
      <c r="AK103" s="1115"/>
      <c r="AL103" s="1116"/>
      <c r="AM103" s="1114"/>
      <c r="AN103" s="1115"/>
      <c r="AO103" s="1115"/>
      <c r="AP103" s="1115"/>
      <c r="AQ103" s="1115"/>
      <c r="AR103" s="1115"/>
      <c r="AS103" s="1115"/>
      <c r="AT103" s="1115"/>
      <c r="AU103" s="1096">
        <f>AA103/AG101</f>
        <v>2.8571428571428572</v>
      </c>
      <c r="AV103" s="1097"/>
      <c r="AW103" s="1097"/>
      <c r="AX103" s="1097"/>
      <c r="AY103" s="1097"/>
      <c r="AZ103" s="1097"/>
      <c r="BA103" s="1097"/>
      <c r="BB103" s="1098"/>
    </row>
    <row r="104" spans="1:54" ht="15" customHeight="1" x14ac:dyDescent="0.25">
      <c r="A104" s="1120" t="s">
        <v>711</v>
      </c>
      <c r="B104" s="1121"/>
      <c r="C104" s="1121"/>
      <c r="D104" s="1121"/>
      <c r="E104" s="1121"/>
      <c r="F104" s="1121"/>
      <c r="G104" s="1121"/>
      <c r="H104" s="1121"/>
      <c r="I104" s="1121"/>
      <c r="J104" s="1121"/>
      <c r="K104" s="1121"/>
      <c r="L104" s="1121"/>
      <c r="M104" s="1121"/>
      <c r="N104" s="1121"/>
      <c r="O104" s="1121"/>
      <c r="P104" s="1121"/>
      <c r="Q104" s="1121"/>
      <c r="R104" s="1121"/>
      <c r="S104" s="1121"/>
      <c r="T104" s="1121"/>
      <c r="U104" s="1121"/>
      <c r="V104" s="1121"/>
      <c r="W104" s="1121"/>
      <c r="X104" s="1121"/>
      <c r="Y104" s="1121"/>
      <c r="Z104" s="1122"/>
      <c r="AA104" s="1093">
        <v>17.149999999999999</v>
      </c>
      <c r="AB104" s="1511"/>
      <c r="AC104" s="1511"/>
      <c r="AD104" s="1511"/>
      <c r="AE104" s="1511"/>
      <c r="AF104" s="1512"/>
      <c r="AG104" s="1114"/>
      <c r="AH104" s="1115"/>
      <c r="AI104" s="1115"/>
      <c r="AJ104" s="1115"/>
      <c r="AK104" s="1115"/>
      <c r="AL104" s="1116"/>
      <c r="AM104" s="1114"/>
      <c r="AN104" s="1115"/>
      <c r="AO104" s="1115"/>
      <c r="AP104" s="1115"/>
      <c r="AQ104" s="1115"/>
      <c r="AR104" s="1115"/>
      <c r="AS104" s="1115"/>
      <c r="AT104" s="1115"/>
      <c r="AU104" s="1096">
        <f>AA104/AG101</f>
        <v>2.4499999999999997</v>
      </c>
      <c r="AV104" s="836"/>
      <c r="AW104" s="836"/>
      <c r="AX104" s="836"/>
      <c r="AY104" s="836"/>
      <c r="AZ104" s="836"/>
      <c r="BA104" s="836"/>
      <c r="BB104" s="837"/>
    </row>
    <row r="105" spans="1:54" ht="15" customHeight="1" thickBot="1" x14ac:dyDescent="0.25">
      <c r="A105" s="1120" t="s">
        <v>712</v>
      </c>
      <c r="B105" s="1121"/>
      <c r="C105" s="1121"/>
      <c r="D105" s="1121"/>
      <c r="E105" s="1121"/>
      <c r="F105" s="1121"/>
      <c r="G105" s="1121"/>
      <c r="H105" s="1121"/>
      <c r="I105" s="1121"/>
      <c r="J105" s="1121"/>
      <c r="K105" s="1121"/>
      <c r="L105" s="1121"/>
      <c r="M105" s="1121"/>
      <c r="N105" s="1121"/>
      <c r="O105" s="1121"/>
      <c r="P105" s="1121"/>
      <c r="Q105" s="1121"/>
      <c r="R105" s="1121"/>
      <c r="S105" s="1121"/>
      <c r="T105" s="1121"/>
      <c r="U105" s="1121"/>
      <c r="V105" s="1121"/>
      <c r="W105" s="1121"/>
      <c r="X105" s="1121"/>
      <c r="Y105" s="1121"/>
      <c r="Z105" s="1122"/>
      <c r="AA105" s="1093">
        <v>15</v>
      </c>
      <c r="AB105" s="1094"/>
      <c r="AC105" s="1094"/>
      <c r="AD105" s="1094"/>
      <c r="AE105" s="1094"/>
      <c r="AF105" s="1095"/>
      <c r="AG105" s="1114"/>
      <c r="AH105" s="1115"/>
      <c r="AI105" s="1115"/>
      <c r="AJ105" s="1115"/>
      <c r="AK105" s="1115"/>
      <c r="AL105" s="1116"/>
      <c r="AM105" s="1114"/>
      <c r="AN105" s="1115"/>
      <c r="AO105" s="1115"/>
      <c r="AP105" s="1115"/>
      <c r="AQ105" s="1115"/>
      <c r="AR105" s="1115"/>
      <c r="AS105" s="1115"/>
      <c r="AT105" s="1115"/>
      <c r="AU105" s="1096">
        <f>AA105/AG101</f>
        <v>2.1428571428571428</v>
      </c>
      <c r="AV105" s="1097"/>
      <c r="AW105" s="1097"/>
      <c r="AX105" s="1097"/>
      <c r="AY105" s="1097"/>
      <c r="AZ105" s="1097"/>
      <c r="BA105" s="1097"/>
      <c r="BB105" s="1098"/>
    </row>
    <row r="106" spans="1:54" ht="15" hidden="1" customHeight="1" x14ac:dyDescent="0.25">
      <c r="A106" s="1090" t="s">
        <v>713</v>
      </c>
      <c r="B106" s="1509"/>
      <c r="C106" s="1509"/>
      <c r="D106" s="1509"/>
      <c r="E106" s="1509"/>
      <c r="F106" s="1509"/>
      <c r="G106" s="1509"/>
      <c r="H106" s="1509"/>
      <c r="I106" s="1509"/>
      <c r="J106" s="1509"/>
      <c r="K106" s="1509"/>
      <c r="L106" s="1509"/>
      <c r="M106" s="1509"/>
      <c r="N106" s="1509"/>
      <c r="O106" s="1509"/>
      <c r="P106" s="1509"/>
      <c r="Q106" s="1509"/>
      <c r="R106" s="1509"/>
      <c r="S106" s="1509"/>
      <c r="T106" s="1509"/>
      <c r="U106" s="1509"/>
      <c r="V106" s="1509"/>
      <c r="W106" s="1509"/>
      <c r="X106" s="1509"/>
      <c r="Y106" s="1509"/>
      <c r="Z106" s="1510"/>
      <c r="AA106" s="1093"/>
      <c r="AB106" s="1511"/>
      <c r="AC106" s="1511"/>
      <c r="AD106" s="1511"/>
      <c r="AE106" s="1511"/>
      <c r="AF106" s="1512"/>
      <c r="AG106" s="1114"/>
      <c r="AH106" s="1115"/>
      <c r="AI106" s="1115"/>
      <c r="AJ106" s="1115"/>
      <c r="AK106" s="1115"/>
      <c r="AL106" s="1116"/>
      <c r="AM106" s="1114"/>
      <c r="AN106" s="1115"/>
      <c r="AO106" s="1115"/>
      <c r="AP106" s="1115"/>
      <c r="AQ106" s="1115"/>
      <c r="AR106" s="1115"/>
      <c r="AS106" s="1115"/>
      <c r="AT106" s="1115"/>
      <c r="AU106" s="1096">
        <f>AA106/AG101</f>
        <v>0</v>
      </c>
      <c r="AV106" s="1097"/>
      <c r="AW106" s="1097"/>
      <c r="AX106" s="1097"/>
      <c r="AY106" s="1097"/>
      <c r="AZ106" s="1097"/>
      <c r="BA106" s="1097"/>
      <c r="BB106" s="1098"/>
    </row>
    <row r="107" spans="1:54" ht="15" hidden="1" customHeight="1" thickBot="1" x14ac:dyDescent="0.25">
      <c r="A107" s="1090" t="s">
        <v>714</v>
      </c>
      <c r="B107" s="1091"/>
      <c r="C107" s="1091"/>
      <c r="D107" s="1091"/>
      <c r="E107" s="1091"/>
      <c r="F107" s="1091"/>
      <c r="G107" s="1091"/>
      <c r="H107" s="1091"/>
      <c r="I107" s="1091"/>
      <c r="J107" s="1091"/>
      <c r="K107" s="1091"/>
      <c r="L107" s="1091"/>
      <c r="M107" s="1091"/>
      <c r="N107" s="1091"/>
      <c r="O107" s="1091"/>
      <c r="P107" s="1091"/>
      <c r="Q107" s="1091"/>
      <c r="R107" s="1091"/>
      <c r="S107" s="1091"/>
      <c r="T107" s="1091"/>
      <c r="U107" s="1091"/>
      <c r="V107" s="1091"/>
      <c r="W107" s="1091"/>
      <c r="X107" s="1091"/>
      <c r="Y107" s="1091"/>
      <c r="Z107" s="1092"/>
      <c r="AA107" s="1093"/>
      <c r="AB107" s="1094"/>
      <c r="AC107" s="1094"/>
      <c r="AD107" s="1094"/>
      <c r="AE107" s="1094"/>
      <c r="AF107" s="1095"/>
      <c r="AG107" s="1114"/>
      <c r="AH107" s="1115"/>
      <c r="AI107" s="1115"/>
      <c r="AJ107" s="1115"/>
      <c r="AK107" s="1115"/>
      <c r="AL107" s="1116"/>
      <c r="AM107" s="1114"/>
      <c r="AN107" s="1115"/>
      <c r="AO107" s="1115"/>
      <c r="AP107" s="1115"/>
      <c r="AQ107" s="1115"/>
      <c r="AR107" s="1115"/>
      <c r="AS107" s="1115"/>
      <c r="AT107" s="1115"/>
      <c r="AU107" s="1096">
        <f>AA107/AG101</f>
        <v>0</v>
      </c>
      <c r="AV107" s="1097"/>
      <c r="AW107" s="1097"/>
      <c r="AX107" s="1097"/>
      <c r="AY107" s="1097"/>
      <c r="AZ107" s="1097"/>
      <c r="BA107" s="1097"/>
      <c r="BB107" s="1098"/>
    </row>
    <row r="108" spans="1:54" ht="15" hidden="1" customHeight="1" x14ac:dyDescent="0.2">
      <c r="A108" s="1090"/>
      <c r="B108" s="1091"/>
      <c r="C108" s="1091"/>
      <c r="D108" s="1091"/>
      <c r="E108" s="1091"/>
      <c r="F108" s="1091"/>
      <c r="G108" s="1091"/>
      <c r="H108" s="1091"/>
      <c r="I108" s="1091"/>
      <c r="J108" s="1091"/>
      <c r="K108" s="1091"/>
      <c r="L108" s="1091"/>
      <c r="M108" s="1091"/>
      <c r="N108" s="1091"/>
      <c r="O108" s="1091"/>
      <c r="P108" s="1091"/>
      <c r="Q108" s="1091"/>
      <c r="R108" s="1091"/>
      <c r="S108" s="1091"/>
      <c r="T108" s="1091"/>
      <c r="U108" s="1091"/>
      <c r="V108" s="1091"/>
      <c r="W108" s="1091"/>
      <c r="X108" s="1091"/>
      <c r="Y108" s="1091"/>
      <c r="Z108" s="1092"/>
      <c r="AA108" s="1093"/>
      <c r="AB108" s="1094"/>
      <c r="AC108" s="1094"/>
      <c r="AD108" s="1094"/>
      <c r="AE108" s="1094"/>
      <c r="AF108" s="1095"/>
      <c r="AG108" s="1114"/>
      <c r="AH108" s="1115"/>
      <c r="AI108" s="1115"/>
      <c r="AJ108" s="1115"/>
      <c r="AK108" s="1115"/>
      <c r="AL108" s="1116"/>
      <c r="AM108" s="1114"/>
      <c r="AN108" s="1115"/>
      <c r="AO108" s="1115"/>
      <c r="AP108" s="1115"/>
      <c r="AQ108" s="1115"/>
      <c r="AR108" s="1115"/>
      <c r="AS108" s="1115"/>
      <c r="AT108" s="1115"/>
      <c r="AU108" s="1096">
        <f>AA108/AG101</f>
        <v>0</v>
      </c>
      <c r="AV108" s="1097"/>
      <c r="AW108" s="1097"/>
      <c r="AX108" s="1097"/>
      <c r="AY108" s="1097"/>
      <c r="AZ108" s="1097"/>
      <c r="BA108" s="1097"/>
      <c r="BB108" s="1098"/>
    </row>
    <row r="109" spans="1:54" ht="26.25" hidden="1" customHeight="1" thickBot="1" x14ac:dyDescent="0.25">
      <c r="A109" s="1495"/>
      <c r="B109" s="1496"/>
      <c r="C109" s="1496"/>
      <c r="D109" s="1496"/>
      <c r="E109" s="1496"/>
      <c r="F109" s="1496"/>
      <c r="G109" s="1496"/>
      <c r="H109" s="1496"/>
      <c r="I109" s="1496"/>
      <c r="J109" s="1496"/>
      <c r="K109" s="1496"/>
      <c r="L109" s="1496"/>
      <c r="M109" s="1496"/>
      <c r="N109" s="1496"/>
      <c r="O109" s="1496"/>
      <c r="P109" s="1496"/>
      <c r="Q109" s="1496"/>
      <c r="R109" s="1496"/>
      <c r="S109" s="1496"/>
      <c r="T109" s="1496"/>
      <c r="U109" s="1496"/>
      <c r="V109" s="1496"/>
      <c r="W109" s="1496"/>
      <c r="X109" s="1496"/>
      <c r="Y109" s="1496"/>
      <c r="Z109" s="1497"/>
      <c r="AA109" s="1498"/>
      <c r="AB109" s="1499"/>
      <c r="AC109" s="1499"/>
      <c r="AD109" s="1499"/>
      <c r="AE109" s="1499"/>
      <c r="AF109" s="1500"/>
      <c r="AG109" s="1506"/>
      <c r="AH109" s="1507"/>
      <c r="AI109" s="1507"/>
      <c r="AJ109" s="1507"/>
      <c r="AK109" s="1507"/>
      <c r="AL109" s="1508"/>
      <c r="AM109" s="1506"/>
      <c r="AN109" s="1507"/>
      <c r="AO109" s="1507"/>
      <c r="AP109" s="1507"/>
      <c r="AQ109" s="1507"/>
      <c r="AR109" s="1507"/>
      <c r="AS109" s="1507"/>
      <c r="AT109" s="1507"/>
      <c r="AU109" s="1501">
        <f>AA109/AG101</f>
        <v>0</v>
      </c>
      <c r="AV109" s="1502"/>
      <c r="AW109" s="1502"/>
      <c r="AX109" s="1502"/>
      <c r="AY109" s="1502"/>
      <c r="AZ109" s="1502"/>
      <c r="BA109" s="1502"/>
      <c r="BB109" s="1503"/>
    </row>
    <row r="110" spans="1:54" ht="16.5" customHeight="1" thickBot="1" x14ac:dyDescent="0.25">
      <c r="A110" s="1059" t="s">
        <v>51</v>
      </c>
      <c r="B110" s="1060"/>
      <c r="C110" s="1060"/>
      <c r="D110" s="1060"/>
      <c r="E110" s="1060"/>
      <c r="F110" s="1060"/>
      <c r="G110" s="1060"/>
      <c r="H110" s="1060"/>
      <c r="I110" s="1060"/>
      <c r="J110" s="1060"/>
      <c r="K110" s="1060"/>
      <c r="L110" s="1060"/>
      <c r="M110" s="1060"/>
      <c r="N110" s="1060"/>
      <c r="O110" s="1060"/>
      <c r="P110" s="1060"/>
      <c r="Q110" s="1060"/>
      <c r="R110" s="1060"/>
      <c r="S110" s="1060"/>
      <c r="T110" s="1060"/>
      <c r="U110" s="1060"/>
      <c r="V110" s="1060"/>
      <c r="W110" s="1060"/>
      <c r="X110" s="1060"/>
      <c r="Y110" s="1060"/>
      <c r="Z110" s="1061"/>
      <c r="AA110" s="1062">
        <f>SUM(AA101:AF109)</f>
        <v>52.15</v>
      </c>
      <c r="AB110" s="1063"/>
      <c r="AC110" s="1063"/>
      <c r="AD110" s="1063"/>
      <c r="AE110" s="1063"/>
      <c r="AF110" s="1504"/>
      <c r="AG110" s="1065">
        <f>AG101</f>
        <v>7</v>
      </c>
      <c r="AH110" s="1065"/>
      <c r="AI110" s="1065"/>
      <c r="AJ110" s="1065"/>
      <c r="AK110" s="1065"/>
      <c r="AL110" s="1066"/>
      <c r="AM110" s="1067" t="s">
        <v>17</v>
      </c>
      <c r="AN110" s="1068"/>
      <c r="AO110" s="1068"/>
      <c r="AP110" s="1068"/>
      <c r="AQ110" s="1068"/>
      <c r="AR110" s="1068"/>
      <c r="AS110" s="1068"/>
      <c r="AT110" s="1068"/>
      <c r="AU110" s="1505">
        <f>SUM(AU101:BB109)</f>
        <v>7.4499999999999993</v>
      </c>
      <c r="AV110" s="1070"/>
      <c r="AW110" s="1070"/>
      <c r="AX110" s="1070"/>
      <c r="AY110" s="1070"/>
      <c r="AZ110" s="1070"/>
      <c r="BA110" s="1070"/>
      <c r="BB110" s="1071"/>
    </row>
    <row r="111" spans="1:54" ht="24" customHeight="1" x14ac:dyDescent="0.2"/>
    <row r="112" spans="1:54" s="7" customFormat="1" ht="15" customHeight="1" x14ac:dyDescent="0.2">
      <c r="A112" s="5" t="s">
        <v>59</v>
      </c>
      <c r="B112" s="5"/>
      <c r="C112" s="5" t="s">
        <v>60</v>
      </c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6"/>
      <c r="AY112" s="6"/>
      <c r="AZ112" s="6"/>
      <c r="BA112" s="6"/>
      <c r="BB112" s="6"/>
    </row>
    <row r="113" spans="1:54" ht="12" customHeight="1" thickBot="1" x14ac:dyDescent="0.25"/>
    <row r="114" spans="1:54" s="5" customFormat="1" ht="42" customHeight="1" thickBot="1" x14ac:dyDescent="0.25">
      <c r="A114" s="585" t="s">
        <v>54</v>
      </c>
      <c r="B114" s="586"/>
      <c r="C114" s="586"/>
      <c r="D114" s="586"/>
      <c r="E114" s="586"/>
      <c r="F114" s="586"/>
      <c r="G114" s="586"/>
      <c r="H114" s="586"/>
      <c r="I114" s="586"/>
      <c r="J114" s="586"/>
      <c r="K114" s="586"/>
      <c r="L114" s="586"/>
      <c r="M114" s="586"/>
      <c r="N114" s="586"/>
      <c r="O114" s="586"/>
      <c r="P114" s="586"/>
      <c r="Q114" s="586"/>
      <c r="R114" s="586"/>
      <c r="S114" s="586"/>
      <c r="T114" s="586"/>
      <c r="U114" s="586"/>
      <c r="V114" s="586"/>
      <c r="W114" s="586"/>
      <c r="X114" s="586"/>
      <c r="Y114" s="586"/>
      <c r="Z114" s="587"/>
      <c r="AA114" s="536" t="s">
        <v>699</v>
      </c>
      <c r="AB114" s="537"/>
      <c r="AC114" s="537"/>
      <c r="AD114" s="537"/>
      <c r="AE114" s="537"/>
      <c r="AF114" s="538"/>
      <c r="AG114" s="536" t="s">
        <v>700</v>
      </c>
      <c r="AH114" s="537"/>
      <c r="AI114" s="537"/>
      <c r="AJ114" s="537"/>
      <c r="AK114" s="537"/>
      <c r="AL114" s="538"/>
      <c r="AM114" s="588" t="s">
        <v>57</v>
      </c>
      <c r="AN114" s="586"/>
      <c r="AO114" s="586"/>
      <c r="AP114" s="586"/>
      <c r="AQ114" s="586"/>
      <c r="AR114" s="586"/>
      <c r="AS114" s="586"/>
      <c r="AT114" s="587"/>
      <c r="AU114" s="588" t="s">
        <v>43</v>
      </c>
      <c r="AV114" s="586"/>
      <c r="AW114" s="586"/>
      <c r="AX114" s="586"/>
      <c r="AY114" s="586"/>
      <c r="AZ114" s="586"/>
      <c r="BA114" s="586"/>
      <c r="BB114" s="589"/>
    </row>
    <row r="115" spans="1:54" ht="17.25" customHeight="1" thickBot="1" x14ac:dyDescent="0.25">
      <c r="A115" s="1274">
        <v>1</v>
      </c>
      <c r="B115" s="1018"/>
      <c r="C115" s="1018"/>
      <c r="D115" s="1018"/>
      <c r="E115" s="1018"/>
      <c r="F115" s="1018"/>
      <c r="G115" s="1018"/>
      <c r="H115" s="1018"/>
      <c r="I115" s="1018"/>
      <c r="J115" s="1018"/>
      <c r="K115" s="1018"/>
      <c r="L115" s="1018"/>
      <c r="M115" s="1018"/>
      <c r="N115" s="1018"/>
      <c r="O115" s="1018"/>
      <c r="P115" s="1018"/>
      <c r="Q115" s="1018"/>
      <c r="R115" s="1018"/>
      <c r="S115" s="1018"/>
      <c r="T115" s="1018"/>
      <c r="U115" s="1018"/>
      <c r="V115" s="1018"/>
      <c r="W115" s="1018"/>
      <c r="X115" s="1018"/>
      <c r="Y115" s="1018"/>
      <c r="Z115" s="1019"/>
      <c r="AA115" s="1017">
        <v>2</v>
      </c>
      <c r="AB115" s="1018"/>
      <c r="AC115" s="1018"/>
      <c r="AD115" s="1018"/>
      <c r="AE115" s="1018"/>
      <c r="AF115" s="1019"/>
      <c r="AG115" s="1017">
        <v>3</v>
      </c>
      <c r="AH115" s="1018"/>
      <c r="AI115" s="1018"/>
      <c r="AJ115" s="1018"/>
      <c r="AK115" s="1018"/>
      <c r="AL115" s="1019"/>
      <c r="AM115" s="1017">
        <v>4</v>
      </c>
      <c r="AN115" s="1018"/>
      <c r="AO115" s="1018"/>
      <c r="AP115" s="1018"/>
      <c r="AQ115" s="1018"/>
      <c r="AR115" s="1018"/>
      <c r="AS115" s="1018"/>
      <c r="AT115" s="1019"/>
      <c r="AU115" s="1017">
        <v>5</v>
      </c>
      <c r="AV115" s="1018"/>
      <c r="AW115" s="1018"/>
      <c r="AX115" s="1018"/>
      <c r="AY115" s="1018"/>
      <c r="AZ115" s="1018"/>
      <c r="BA115" s="1018"/>
      <c r="BB115" s="1275"/>
    </row>
    <row r="116" spans="1:54" s="414" customFormat="1" ht="31.5" customHeight="1" thickBot="1" x14ac:dyDescent="0.3">
      <c r="A116" s="856" t="s">
        <v>698</v>
      </c>
      <c r="B116" s="857"/>
      <c r="C116" s="857"/>
      <c r="D116" s="857"/>
      <c r="E116" s="857"/>
      <c r="F116" s="857"/>
      <c r="G116" s="857"/>
      <c r="H116" s="857"/>
      <c r="I116" s="857"/>
      <c r="J116" s="857"/>
      <c r="K116" s="857"/>
      <c r="L116" s="857"/>
      <c r="M116" s="857"/>
      <c r="N116" s="857"/>
      <c r="O116" s="857"/>
      <c r="P116" s="857"/>
      <c r="Q116" s="857"/>
      <c r="R116" s="857"/>
      <c r="S116" s="857"/>
      <c r="T116" s="857"/>
      <c r="U116" s="857"/>
      <c r="V116" s="857"/>
      <c r="W116" s="857"/>
      <c r="X116" s="857"/>
      <c r="Y116" s="857"/>
      <c r="Z116" s="858"/>
      <c r="AA116" s="1482">
        <f>17405*1.3*2.6*1.271/147</f>
        <v>508.6498768707483</v>
      </c>
      <c r="AB116" s="1483"/>
      <c r="AC116" s="1483"/>
      <c r="AD116" s="1483"/>
      <c r="AE116" s="1483"/>
      <c r="AF116" s="1484"/>
      <c r="AG116" s="1046">
        <f>Y17</f>
        <v>3</v>
      </c>
      <c r="AH116" s="1047"/>
      <c r="AI116" s="1047"/>
      <c r="AJ116" s="1047"/>
      <c r="AK116" s="1047"/>
      <c r="AL116" s="1048"/>
      <c r="AM116" s="1046" t="s">
        <v>61</v>
      </c>
      <c r="AN116" s="1047"/>
      <c r="AO116" s="1047"/>
      <c r="AP116" s="1047"/>
      <c r="AQ116" s="1047"/>
      <c r="AR116" s="1047"/>
      <c r="AS116" s="1047"/>
      <c r="AT116" s="1048"/>
      <c r="AU116" s="1485">
        <f>AA116/AG116</f>
        <v>169.5499589569161</v>
      </c>
      <c r="AV116" s="1486"/>
      <c r="AW116" s="1486"/>
      <c r="AX116" s="1486"/>
      <c r="AY116" s="1486"/>
      <c r="AZ116" s="1486"/>
      <c r="BA116" s="1486"/>
      <c r="BB116" s="1487"/>
    </row>
    <row r="117" spans="1:54" ht="12.75" hidden="1" customHeight="1" x14ac:dyDescent="0.2">
      <c r="A117" s="1478"/>
      <c r="B117" s="1479"/>
      <c r="C117" s="1479"/>
      <c r="D117" s="1479"/>
      <c r="E117" s="1479"/>
      <c r="F117" s="1479"/>
      <c r="G117" s="1479"/>
      <c r="H117" s="1479"/>
      <c r="I117" s="1479"/>
      <c r="J117" s="1479"/>
      <c r="K117" s="1479"/>
      <c r="L117" s="1479"/>
      <c r="M117" s="1479"/>
      <c r="N117" s="1479"/>
      <c r="O117" s="1479"/>
      <c r="P117" s="1479"/>
      <c r="Q117" s="1479"/>
      <c r="R117" s="1479"/>
      <c r="S117" s="1479"/>
      <c r="T117" s="1479"/>
      <c r="U117" s="1479"/>
      <c r="V117" s="1479"/>
      <c r="W117" s="1479"/>
      <c r="X117" s="1479"/>
      <c r="Y117" s="1479"/>
      <c r="Z117" s="1480"/>
      <c r="AA117" s="981"/>
      <c r="AB117" s="981"/>
      <c r="AC117" s="981"/>
      <c r="AD117" s="981"/>
      <c r="AE117" s="981"/>
      <c r="AF117" s="981"/>
      <c r="AG117" s="1049"/>
      <c r="AH117" s="1050"/>
      <c r="AI117" s="1050"/>
      <c r="AJ117" s="1050"/>
      <c r="AK117" s="1050"/>
      <c r="AL117" s="1051"/>
      <c r="AM117" s="1049"/>
      <c r="AN117" s="1050"/>
      <c r="AO117" s="1050"/>
      <c r="AP117" s="1050"/>
      <c r="AQ117" s="1050"/>
      <c r="AR117" s="1050"/>
      <c r="AS117" s="1050"/>
      <c r="AT117" s="1051"/>
      <c r="AU117" s="1475">
        <f>AA117/AG116</f>
        <v>0</v>
      </c>
      <c r="AV117" s="1476"/>
      <c r="AW117" s="1476"/>
      <c r="AX117" s="1476"/>
      <c r="AY117" s="1476"/>
      <c r="AZ117" s="1476"/>
      <c r="BA117" s="1476"/>
      <c r="BB117" s="1477"/>
    </row>
    <row r="118" spans="1:54" ht="21" hidden="1" customHeight="1" x14ac:dyDescent="0.2">
      <c r="A118" s="1478"/>
      <c r="B118" s="1479"/>
      <c r="C118" s="1479"/>
      <c r="D118" s="1479"/>
      <c r="E118" s="1479"/>
      <c r="F118" s="1479"/>
      <c r="G118" s="1479"/>
      <c r="H118" s="1479"/>
      <c r="I118" s="1479"/>
      <c r="J118" s="1479"/>
      <c r="K118" s="1479"/>
      <c r="L118" s="1479"/>
      <c r="M118" s="1479"/>
      <c r="N118" s="1479"/>
      <c r="O118" s="1479"/>
      <c r="P118" s="1479"/>
      <c r="Q118" s="1479"/>
      <c r="R118" s="1479"/>
      <c r="S118" s="1479"/>
      <c r="T118" s="1479"/>
      <c r="U118" s="1479"/>
      <c r="V118" s="1479"/>
      <c r="W118" s="1479"/>
      <c r="X118" s="1479"/>
      <c r="Y118" s="1479"/>
      <c r="Z118" s="1480"/>
      <c r="AA118" s="1037"/>
      <c r="AB118" s="1037"/>
      <c r="AC118" s="1037"/>
      <c r="AD118" s="1037"/>
      <c r="AE118" s="1037"/>
      <c r="AF118" s="1037"/>
      <c r="AG118" s="1049"/>
      <c r="AH118" s="1050"/>
      <c r="AI118" s="1050"/>
      <c r="AJ118" s="1050"/>
      <c r="AK118" s="1050"/>
      <c r="AL118" s="1051"/>
      <c r="AM118" s="1049"/>
      <c r="AN118" s="1050"/>
      <c r="AO118" s="1050"/>
      <c r="AP118" s="1050"/>
      <c r="AQ118" s="1050"/>
      <c r="AR118" s="1050"/>
      <c r="AS118" s="1050"/>
      <c r="AT118" s="1051"/>
      <c r="AU118" s="1475">
        <f>AA118/AG116</f>
        <v>0</v>
      </c>
      <c r="AV118" s="1476"/>
      <c r="AW118" s="1476"/>
      <c r="AX118" s="1476"/>
      <c r="AY118" s="1476"/>
      <c r="AZ118" s="1476"/>
      <c r="BA118" s="1476"/>
      <c r="BB118" s="1477"/>
    </row>
    <row r="119" spans="1:54" ht="20.25" hidden="1" customHeight="1" x14ac:dyDescent="0.2">
      <c r="A119" s="1478"/>
      <c r="B119" s="1479"/>
      <c r="C119" s="1479"/>
      <c r="D119" s="1479"/>
      <c r="E119" s="1479"/>
      <c r="F119" s="1479"/>
      <c r="G119" s="1479"/>
      <c r="H119" s="1479"/>
      <c r="I119" s="1479"/>
      <c r="J119" s="1479"/>
      <c r="K119" s="1479"/>
      <c r="L119" s="1479"/>
      <c r="M119" s="1479"/>
      <c r="N119" s="1479"/>
      <c r="O119" s="1479"/>
      <c r="P119" s="1479"/>
      <c r="Q119" s="1479"/>
      <c r="R119" s="1479"/>
      <c r="S119" s="1479"/>
      <c r="T119" s="1479"/>
      <c r="U119" s="1479"/>
      <c r="V119" s="1479"/>
      <c r="W119" s="1479"/>
      <c r="X119" s="1479"/>
      <c r="Y119" s="1479"/>
      <c r="Z119" s="1480"/>
      <c r="AA119" s="1029"/>
      <c r="AB119" s="1029"/>
      <c r="AC119" s="1029"/>
      <c r="AD119" s="1029"/>
      <c r="AE119" s="1029"/>
      <c r="AF119" s="1029"/>
      <c r="AG119" s="1049"/>
      <c r="AH119" s="1050"/>
      <c r="AI119" s="1050"/>
      <c r="AJ119" s="1050"/>
      <c r="AK119" s="1050"/>
      <c r="AL119" s="1051"/>
      <c r="AM119" s="1049"/>
      <c r="AN119" s="1050"/>
      <c r="AO119" s="1050"/>
      <c r="AP119" s="1050"/>
      <c r="AQ119" s="1050"/>
      <c r="AR119" s="1050"/>
      <c r="AS119" s="1050"/>
      <c r="AT119" s="1051"/>
      <c r="AU119" s="1475">
        <f>AA119/AG116</f>
        <v>0</v>
      </c>
      <c r="AV119" s="1476"/>
      <c r="AW119" s="1476"/>
      <c r="AX119" s="1476"/>
      <c r="AY119" s="1476"/>
      <c r="AZ119" s="1476"/>
      <c r="BA119" s="1476"/>
      <c r="BB119" s="1477"/>
    </row>
    <row r="120" spans="1:54" ht="28.5" hidden="1" customHeight="1" x14ac:dyDescent="0.2">
      <c r="A120" s="1478"/>
      <c r="B120" s="1479"/>
      <c r="C120" s="1479"/>
      <c r="D120" s="1479"/>
      <c r="E120" s="1479"/>
      <c r="F120" s="1479"/>
      <c r="G120" s="1479"/>
      <c r="H120" s="1479"/>
      <c r="I120" s="1479"/>
      <c r="J120" s="1479"/>
      <c r="K120" s="1479"/>
      <c r="L120" s="1479"/>
      <c r="M120" s="1479"/>
      <c r="N120" s="1479"/>
      <c r="O120" s="1479"/>
      <c r="P120" s="1479"/>
      <c r="Q120" s="1479"/>
      <c r="R120" s="1479"/>
      <c r="S120" s="1479"/>
      <c r="T120" s="1479"/>
      <c r="U120" s="1479"/>
      <c r="V120" s="1479"/>
      <c r="W120" s="1479"/>
      <c r="X120" s="1479"/>
      <c r="Y120" s="1479"/>
      <c r="Z120" s="1480"/>
      <c r="AA120" s="1029"/>
      <c r="AB120" s="1029"/>
      <c r="AC120" s="1029"/>
      <c r="AD120" s="1029"/>
      <c r="AE120" s="1029"/>
      <c r="AF120" s="1029"/>
      <c r="AG120" s="1049"/>
      <c r="AH120" s="1050"/>
      <c r="AI120" s="1050"/>
      <c r="AJ120" s="1050"/>
      <c r="AK120" s="1050"/>
      <c r="AL120" s="1051"/>
      <c r="AM120" s="1049"/>
      <c r="AN120" s="1050"/>
      <c r="AO120" s="1050"/>
      <c r="AP120" s="1050"/>
      <c r="AQ120" s="1050"/>
      <c r="AR120" s="1050"/>
      <c r="AS120" s="1050"/>
      <c r="AT120" s="1051"/>
      <c r="AU120" s="1475">
        <f>AA120/AG116</f>
        <v>0</v>
      </c>
      <c r="AV120" s="1476"/>
      <c r="AW120" s="1476"/>
      <c r="AX120" s="1476"/>
      <c r="AY120" s="1476"/>
      <c r="AZ120" s="1476"/>
      <c r="BA120" s="1476"/>
      <c r="BB120" s="1477"/>
    </row>
    <row r="121" spans="1:54" ht="19.5" hidden="1" customHeight="1" thickBot="1" x14ac:dyDescent="0.25">
      <c r="A121" s="1488"/>
      <c r="B121" s="1489"/>
      <c r="C121" s="1489"/>
      <c r="D121" s="1489"/>
      <c r="E121" s="1489"/>
      <c r="F121" s="1489"/>
      <c r="G121" s="1489"/>
      <c r="H121" s="1489"/>
      <c r="I121" s="1489"/>
      <c r="J121" s="1489"/>
      <c r="K121" s="1489"/>
      <c r="L121" s="1489"/>
      <c r="M121" s="1489"/>
      <c r="N121" s="1489"/>
      <c r="O121" s="1489"/>
      <c r="P121" s="1489"/>
      <c r="Q121" s="1489"/>
      <c r="R121" s="1489"/>
      <c r="S121" s="1489"/>
      <c r="T121" s="1489"/>
      <c r="U121" s="1489"/>
      <c r="V121" s="1489"/>
      <c r="W121" s="1489"/>
      <c r="X121" s="1489"/>
      <c r="Y121" s="1489"/>
      <c r="Z121" s="1490"/>
      <c r="AA121" s="1491"/>
      <c r="AB121" s="1491"/>
      <c r="AC121" s="1491"/>
      <c r="AD121" s="1491"/>
      <c r="AE121" s="1491"/>
      <c r="AF121" s="1491"/>
      <c r="AG121" s="1049"/>
      <c r="AH121" s="1050"/>
      <c r="AI121" s="1050"/>
      <c r="AJ121" s="1050"/>
      <c r="AK121" s="1050"/>
      <c r="AL121" s="1051"/>
      <c r="AM121" s="1049"/>
      <c r="AN121" s="1050"/>
      <c r="AO121" s="1050"/>
      <c r="AP121" s="1050"/>
      <c r="AQ121" s="1050"/>
      <c r="AR121" s="1050"/>
      <c r="AS121" s="1050"/>
      <c r="AT121" s="1051"/>
      <c r="AU121" s="1492">
        <f>AA121/AG116</f>
        <v>0</v>
      </c>
      <c r="AV121" s="1493"/>
      <c r="AW121" s="1493"/>
      <c r="AX121" s="1493"/>
      <c r="AY121" s="1493"/>
      <c r="AZ121" s="1493"/>
      <c r="BA121" s="1493"/>
      <c r="BB121" s="1494"/>
    </row>
    <row r="122" spans="1:54" ht="15" customHeight="1" thickBot="1" x14ac:dyDescent="0.25">
      <c r="A122" s="1011" t="s">
        <v>51</v>
      </c>
      <c r="B122" s="1012"/>
      <c r="C122" s="1012"/>
      <c r="D122" s="1012"/>
      <c r="E122" s="1012"/>
      <c r="F122" s="1012"/>
      <c r="G122" s="1012"/>
      <c r="H122" s="1012"/>
      <c r="I122" s="1012"/>
      <c r="J122" s="1012"/>
      <c r="K122" s="1012"/>
      <c r="L122" s="1012"/>
      <c r="M122" s="1012"/>
      <c r="N122" s="1012"/>
      <c r="O122" s="1012"/>
      <c r="P122" s="1012"/>
      <c r="Q122" s="1012"/>
      <c r="R122" s="1012"/>
      <c r="S122" s="1012"/>
      <c r="T122" s="1012"/>
      <c r="U122" s="1012"/>
      <c r="V122" s="1012"/>
      <c r="W122" s="1012"/>
      <c r="X122" s="1012"/>
      <c r="Y122" s="1012"/>
      <c r="Z122" s="1013"/>
      <c r="AA122" s="1014">
        <f>SUM(AA116:AF121)</f>
        <v>508.6498768707483</v>
      </c>
      <c r="AB122" s="1015"/>
      <c r="AC122" s="1015"/>
      <c r="AD122" s="1015"/>
      <c r="AE122" s="1015"/>
      <c r="AF122" s="1016"/>
      <c r="AG122" s="1017">
        <f>AG116</f>
        <v>3</v>
      </c>
      <c r="AH122" s="1018"/>
      <c r="AI122" s="1018"/>
      <c r="AJ122" s="1018"/>
      <c r="AK122" s="1018"/>
      <c r="AL122" s="1019"/>
      <c r="AM122" s="1020" t="s">
        <v>17</v>
      </c>
      <c r="AN122" s="1021"/>
      <c r="AO122" s="1021"/>
      <c r="AP122" s="1021"/>
      <c r="AQ122" s="1021"/>
      <c r="AR122" s="1021"/>
      <c r="AS122" s="1021"/>
      <c r="AT122" s="1022"/>
      <c r="AU122" s="1023">
        <f>SUM(AU116:BB121)</f>
        <v>169.5499589569161</v>
      </c>
      <c r="AV122" s="1024"/>
      <c r="AW122" s="1024"/>
      <c r="AX122" s="1024"/>
      <c r="AY122" s="1024"/>
      <c r="AZ122" s="1024"/>
      <c r="BA122" s="1024"/>
      <c r="BB122" s="1025"/>
    </row>
    <row r="123" spans="1:54" s="7" customFormat="1" ht="15" customHeight="1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</row>
    <row r="124" spans="1:54" ht="27" customHeight="1" x14ac:dyDescent="0.2">
      <c r="A124" s="5" t="s">
        <v>62</v>
      </c>
      <c r="B124" s="5"/>
      <c r="C124" s="5" t="s">
        <v>63</v>
      </c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6"/>
      <c r="AY124" s="6"/>
      <c r="AZ124" s="6"/>
      <c r="BA124" s="6"/>
      <c r="BB124" s="6"/>
    </row>
    <row r="125" spans="1:54" ht="14.25" customHeight="1" thickBot="1" x14ac:dyDescent="0.25">
      <c r="I125" s="10"/>
      <c r="J125" s="10"/>
      <c r="K125" s="10"/>
      <c r="L125" s="10"/>
      <c r="M125" s="10"/>
      <c r="N125" s="10"/>
      <c r="O125" s="10"/>
      <c r="P125" s="10"/>
      <c r="Q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</row>
    <row r="126" spans="1:54" ht="63" customHeight="1" x14ac:dyDescent="0.2">
      <c r="A126" s="1173" t="s">
        <v>54</v>
      </c>
      <c r="B126" s="1161"/>
      <c r="C126" s="1161"/>
      <c r="D126" s="1161"/>
      <c r="E126" s="1161"/>
      <c r="F126" s="1161"/>
      <c r="G126" s="1161"/>
      <c r="H126" s="1000" t="s">
        <v>64</v>
      </c>
      <c r="I126" s="1000"/>
      <c r="J126" s="1000"/>
      <c r="K126" s="1000"/>
      <c r="L126" s="1000"/>
      <c r="M126" s="1000" t="s">
        <v>715</v>
      </c>
      <c r="N126" s="1000"/>
      <c r="O126" s="1000"/>
      <c r="P126" s="1000"/>
      <c r="Q126" s="1000"/>
      <c r="R126" s="1000" t="s">
        <v>82</v>
      </c>
      <c r="S126" s="1000"/>
      <c r="T126" s="1000"/>
      <c r="U126" s="1000"/>
      <c r="V126" s="1000" t="s">
        <v>65</v>
      </c>
      <c r="W126" s="1000"/>
      <c r="X126" s="1000"/>
      <c r="Y126" s="1000"/>
      <c r="Z126" s="1000" t="s">
        <v>66</v>
      </c>
      <c r="AA126" s="1000"/>
      <c r="AB126" s="1000"/>
      <c r="AC126" s="1000"/>
      <c r="AD126" s="1000" t="s">
        <v>67</v>
      </c>
      <c r="AE126" s="1000"/>
      <c r="AF126" s="1000"/>
      <c r="AG126" s="1000"/>
      <c r="AH126" s="1000"/>
      <c r="AI126" s="1000"/>
      <c r="AJ126" s="1000"/>
      <c r="AK126" s="1000"/>
      <c r="AL126" s="1000"/>
      <c r="AM126" s="1000"/>
      <c r="AN126" s="1000"/>
      <c r="AO126" s="1000"/>
      <c r="AP126" s="1000"/>
      <c r="AQ126" s="1000" t="s">
        <v>87</v>
      </c>
      <c r="AR126" s="1000"/>
      <c r="AS126" s="1000"/>
      <c r="AT126" s="1001" t="s">
        <v>716</v>
      </c>
      <c r="AU126" s="1002"/>
      <c r="AV126" s="1003"/>
      <c r="AW126" s="1000" t="s">
        <v>717</v>
      </c>
      <c r="AX126" s="1000"/>
      <c r="AY126" s="1000"/>
      <c r="AZ126" s="1000"/>
      <c r="BA126" s="1000"/>
      <c r="BB126" s="1481"/>
    </row>
    <row r="127" spans="1:54" ht="71.25" customHeight="1" thickBot="1" x14ac:dyDescent="0.25">
      <c r="A127" s="1457"/>
      <c r="B127" s="1458"/>
      <c r="C127" s="1458"/>
      <c r="D127" s="1458"/>
      <c r="E127" s="1458"/>
      <c r="F127" s="1458"/>
      <c r="G127" s="1458"/>
      <c r="H127" s="1009" t="s">
        <v>68</v>
      </c>
      <c r="I127" s="1009"/>
      <c r="J127" s="1009"/>
      <c r="K127" s="1009"/>
      <c r="L127" s="1009"/>
      <c r="M127" s="1009" t="s">
        <v>68</v>
      </c>
      <c r="N127" s="1009"/>
      <c r="O127" s="1009"/>
      <c r="P127" s="1009"/>
      <c r="Q127" s="1009"/>
      <c r="R127" s="1009"/>
      <c r="S127" s="1009"/>
      <c r="T127" s="1009"/>
      <c r="U127" s="1009"/>
      <c r="V127" s="1009"/>
      <c r="W127" s="1009"/>
      <c r="X127" s="1009"/>
      <c r="Y127" s="1009"/>
      <c r="Z127" s="1009"/>
      <c r="AA127" s="1009"/>
      <c r="AB127" s="1009"/>
      <c r="AC127" s="1009"/>
      <c r="AD127" s="1009" t="s">
        <v>68</v>
      </c>
      <c r="AE127" s="1009"/>
      <c r="AF127" s="1009"/>
      <c r="AG127" s="1009"/>
      <c r="AH127" s="1009"/>
      <c r="AI127" s="1009"/>
      <c r="AJ127" s="1453" t="s">
        <v>69</v>
      </c>
      <c r="AK127" s="1454"/>
      <c r="AL127" s="1454"/>
      <c r="AM127" s="1454"/>
      <c r="AN127" s="1454"/>
      <c r="AO127" s="1454"/>
      <c r="AP127" s="1455"/>
      <c r="AQ127" s="1009" t="s">
        <v>68</v>
      </c>
      <c r="AR127" s="1009"/>
      <c r="AS127" s="1009"/>
      <c r="AT127" s="1009" t="s">
        <v>68</v>
      </c>
      <c r="AU127" s="1009"/>
      <c r="AV127" s="1009"/>
      <c r="AW127" s="1009" t="s">
        <v>68</v>
      </c>
      <c r="AX127" s="1009"/>
      <c r="AY127" s="1009"/>
      <c r="AZ127" s="1009"/>
      <c r="BA127" s="1009"/>
      <c r="BB127" s="1010"/>
    </row>
    <row r="128" spans="1:54" ht="22.5" customHeight="1" thickBot="1" x14ac:dyDescent="0.25">
      <c r="A128" s="1456">
        <v>1</v>
      </c>
      <c r="B128" s="965"/>
      <c r="C128" s="965"/>
      <c r="D128" s="965"/>
      <c r="E128" s="965"/>
      <c r="F128" s="965"/>
      <c r="G128" s="965"/>
      <c r="H128" s="965">
        <v>2</v>
      </c>
      <c r="I128" s="965"/>
      <c r="J128" s="965"/>
      <c r="K128" s="965"/>
      <c r="L128" s="965"/>
      <c r="M128" s="965">
        <v>3</v>
      </c>
      <c r="N128" s="965"/>
      <c r="O128" s="965"/>
      <c r="P128" s="965"/>
      <c r="Q128" s="965"/>
      <c r="R128" s="965">
        <v>4</v>
      </c>
      <c r="S128" s="965"/>
      <c r="T128" s="965"/>
      <c r="U128" s="965"/>
      <c r="V128" s="965">
        <v>5</v>
      </c>
      <c r="W128" s="965"/>
      <c r="X128" s="965"/>
      <c r="Y128" s="965"/>
      <c r="Z128" s="965">
        <v>6</v>
      </c>
      <c r="AA128" s="965"/>
      <c r="AB128" s="965"/>
      <c r="AC128" s="965"/>
      <c r="AD128" s="965">
        <v>7</v>
      </c>
      <c r="AE128" s="965"/>
      <c r="AF128" s="965"/>
      <c r="AG128" s="965"/>
      <c r="AH128" s="965"/>
      <c r="AI128" s="965"/>
      <c r="AJ128" s="1398">
        <v>8</v>
      </c>
      <c r="AK128" s="1399"/>
      <c r="AL128" s="1399"/>
      <c r="AM128" s="1399"/>
      <c r="AN128" s="1399"/>
      <c r="AO128" s="1399"/>
      <c r="AP128" s="1400"/>
      <c r="AQ128" s="965">
        <v>9</v>
      </c>
      <c r="AR128" s="965"/>
      <c r="AS128" s="965"/>
      <c r="AT128" s="1398">
        <v>10</v>
      </c>
      <c r="AU128" s="1399"/>
      <c r="AV128" s="1400"/>
      <c r="AW128" s="965">
        <v>11</v>
      </c>
      <c r="AX128" s="965"/>
      <c r="AY128" s="965"/>
      <c r="AZ128" s="965"/>
      <c r="BA128" s="965"/>
      <c r="BB128" s="966"/>
    </row>
    <row r="129" spans="1:59" ht="24.75" customHeight="1" x14ac:dyDescent="0.2">
      <c r="A129" s="1459" t="s">
        <v>70</v>
      </c>
      <c r="B129" s="1460"/>
      <c r="C129" s="1460"/>
      <c r="D129" s="1460"/>
      <c r="E129" s="1460"/>
      <c r="F129" s="1460"/>
      <c r="G129" s="1460"/>
      <c r="H129" s="969">
        <f>AO85/V129</f>
        <v>190.23507533333336</v>
      </c>
      <c r="I129" s="969"/>
      <c r="J129" s="969"/>
      <c r="K129" s="969"/>
      <c r="L129" s="969"/>
      <c r="M129" s="969">
        <f>H129</f>
        <v>190.23507533333336</v>
      </c>
      <c r="N129" s="969"/>
      <c r="O129" s="969"/>
      <c r="P129" s="969"/>
      <c r="Q129" s="969"/>
      <c r="R129" s="1250">
        <f>U13</f>
        <v>7</v>
      </c>
      <c r="S129" s="1251"/>
      <c r="T129" s="1251"/>
      <c r="U129" s="1252"/>
      <c r="V129" s="1464">
        <f>Y17</f>
        <v>3</v>
      </c>
      <c r="W129" s="1464"/>
      <c r="X129" s="1464"/>
      <c r="Y129" s="1464"/>
      <c r="Z129" s="1464">
        <f>U17</f>
        <v>1</v>
      </c>
      <c r="AA129" s="1464"/>
      <c r="AB129" s="1464"/>
      <c r="AC129" s="1464"/>
      <c r="AD129" s="1467" t="s">
        <v>71</v>
      </c>
      <c r="AE129" s="1468"/>
      <c r="AF129" s="1468"/>
      <c r="AG129" s="1468"/>
      <c r="AH129" s="1468"/>
      <c r="AI129" s="1469"/>
      <c r="AJ129" s="1470"/>
      <c r="AK129" s="1471"/>
      <c r="AL129" s="1471"/>
      <c r="AM129" s="1471"/>
      <c r="AN129" s="1471"/>
      <c r="AO129" s="1471"/>
      <c r="AP129" s="1472"/>
      <c r="AQ129" s="969">
        <f>H129*R129+0.05</f>
        <v>1331.6955273333335</v>
      </c>
      <c r="AR129" s="969"/>
      <c r="AS129" s="969"/>
      <c r="AT129" s="969">
        <f>M129*1</f>
        <v>190.23507533333336</v>
      </c>
      <c r="AU129" s="969"/>
      <c r="AV129" s="969"/>
      <c r="AW129" s="969">
        <f>M129*4+0.01</f>
        <v>760.95030133333341</v>
      </c>
      <c r="AX129" s="969"/>
      <c r="AY129" s="969"/>
      <c r="AZ129" s="969"/>
      <c r="BA129" s="969"/>
      <c r="BB129" s="989"/>
    </row>
    <row r="130" spans="1:59" ht="19.5" customHeight="1" x14ac:dyDescent="0.2">
      <c r="A130" s="1473" t="s">
        <v>72</v>
      </c>
      <c r="B130" s="1474"/>
      <c r="C130" s="1474"/>
      <c r="D130" s="1474"/>
      <c r="E130" s="1474"/>
      <c r="F130" s="1474"/>
      <c r="G130" s="1474"/>
      <c r="H130" s="1401">
        <f>AV95</f>
        <v>69.656575211821192</v>
      </c>
      <c r="I130" s="1401"/>
      <c r="J130" s="1401"/>
      <c r="K130" s="1401"/>
      <c r="L130" s="1401"/>
      <c r="M130" s="946">
        <f t="shared" ref="M130:M132" si="0">H130</f>
        <v>69.656575211821192</v>
      </c>
      <c r="N130" s="946"/>
      <c r="O130" s="946"/>
      <c r="P130" s="946"/>
      <c r="Q130" s="946"/>
      <c r="R130" s="1253"/>
      <c r="S130" s="1254"/>
      <c r="T130" s="1254"/>
      <c r="U130" s="1255"/>
      <c r="V130" s="1465"/>
      <c r="W130" s="1465"/>
      <c r="X130" s="1465"/>
      <c r="Y130" s="1465"/>
      <c r="Z130" s="1465"/>
      <c r="AA130" s="1465"/>
      <c r="AB130" s="1465"/>
      <c r="AC130" s="1465"/>
      <c r="AD130" s="946" t="s">
        <v>71</v>
      </c>
      <c r="AE130" s="946"/>
      <c r="AF130" s="946"/>
      <c r="AG130" s="946"/>
      <c r="AH130" s="946"/>
      <c r="AI130" s="946"/>
      <c r="AJ130" s="1440"/>
      <c r="AK130" s="1441"/>
      <c r="AL130" s="1441"/>
      <c r="AM130" s="1441"/>
      <c r="AN130" s="1441"/>
      <c r="AO130" s="1441"/>
      <c r="AP130" s="1442"/>
      <c r="AQ130" s="1401">
        <f>H130*R129</f>
        <v>487.59602648274836</v>
      </c>
      <c r="AR130" s="1401"/>
      <c r="AS130" s="1401"/>
      <c r="AT130" s="1401">
        <f>M130*1</f>
        <v>69.656575211821192</v>
      </c>
      <c r="AU130" s="1401"/>
      <c r="AV130" s="1401"/>
      <c r="AW130" s="946">
        <f>M130*4</f>
        <v>278.62630084728477</v>
      </c>
      <c r="AX130" s="946"/>
      <c r="AY130" s="946"/>
      <c r="AZ130" s="946"/>
      <c r="BA130" s="946"/>
      <c r="BB130" s="947"/>
    </row>
    <row r="131" spans="1:59" ht="15" customHeight="1" x14ac:dyDescent="0.2">
      <c r="A131" s="1473" t="s">
        <v>73</v>
      </c>
      <c r="B131" s="1474"/>
      <c r="C131" s="1474"/>
      <c r="D131" s="1474"/>
      <c r="E131" s="1474"/>
      <c r="F131" s="1474"/>
      <c r="G131" s="1474"/>
      <c r="H131" s="1401">
        <f>AU110</f>
        <v>7.4499999999999993</v>
      </c>
      <c r="I131" s="1401"/>
      <c r="J131" s="1401"/>
      <c r="K131" s="1401"/>
      <c r="L131" s="1401"/>
      <c r="M131" s="946">
        <f t="shared" si="0"/>
        <v>7.4499999999999993</v>
      </c>
      <c r="N131" s="946"/>
      <c r="O131" s="946"/>
      <c r="P131" s="946"/>
      <c r="Q131" s="946"/>
      <c r="R131" s="1253"/>
      <c r="S131" s="1254"/>
      <c r="T131" s="1254"/>
      <c r="U131" s="1255"/>
      <c r="V131" s="1465"/>
      <c r="W131" s="1465"/>
      <c r="X131" s="1465"/>
      <c r="Y131" s="1465"/>
      <c r="Z131" s="1465"/>
      <c r="AA131" s="1465"/>
      <c r="AB131" s="1465"/>
      <c r="AC131" s="1465"/>
      <c r="AD131" s="946" t="s">
        <v>71</v>
      </c>
      <c r="AE131" s="946"/>
      <c r="AF131" s="946"/>
      <c r="AG131" s="946"/>
      <c r="AH131" s="946"/>
      <c r="AI131" s="946"/>
      <c r="AJ131" s="1440"/>
      <c r="AK131" s="1441"/>
      <c r="AL131" s="1441"/>
      <c r="AM131" s="1441"/>
      <c r="AN131" s="1441"/>
      <c r="AO131" s="1441"/>
      <c r="AP131" s="1442"/>
      <c r="AQ131" s="1402">
        <f>H131*R129</f>
        <v>52.149999999999991</v>
      </c>
      <c r="AR131" s="1402"/>
      <c r="AS131" s="1402"/>
      <c r="AT131" s="1403">
        <f>M131*1</f>
        <v>7.4499999999999993</v>
      </c>
      <c r="AU131" s="1404"/>
      <c r="AV131" s="1405"/>
      <c r="AW131" s="946">
        <f>M131*4</f>
        <v>29.799999999999997</v>
      </c>
      <c r="AX131" s="946"/>
      <c r="AY131" s="946"/>
      <c r="AZ131" s="946"/>
      <c r="BA131" s="946"/>
      <c r="BB131" s="947"/>
    </row>
    <row r="132" spans="1:59" ht="17.25" customHeight="1" thickBot="1" x14ac:dyDescent="0.25">
      <c r="A132" s="1451" t="s">
        <v>74</v>
      </c>
      <c r="B132" s="1452"/>
      <c r="C132" s="1452"/>
      <c r="D132" s="1452"/>
      <c r="E132" s="1452"/>
      <c r="F132" s="1452"/>
      <c r="G132" s="1452"/>
      <c r="H132" s="949">
        <f>AU122</f>
        <v>169.5499589569161</v>
      </c>
      <c r="I132" s="949"/>
      <c r="J132" s="949"/>
      <c r="K132" s="949"/>
      <c r="L132" s="949"/>
      <c r="M132" s="948">
        <f t="shared" si="0"/>
        <v>169.5499589569161</v>
      </c>
      <c r="N132" s="948"/>
      <c r="O132" s="948"/>
      <c r="P132" s="948"/>
      <c r="Q132" s="948"/>
      <c r="R132" s="1461"/>
      <c r="S132" s="1462"/>
      <c r="T132" s="1462"/>
      <c r="U132" s="1463"/>
      <c r="V132" s="1466"/>
      <c r="W132" s="1466"/>
      <c r="X132" s="1466"/>
      <c r="Y132" s="1466"/>
      <c r="Z132" s="1466"/>
      <c r="AA132" s="1466"/>
      <c r="AB132" s="1466"/>
      <c r="AC132" s="1466"/>
      <c r="AD132" s="948" t="s">
        <v>71</v>
      </c>
      <c r="AE132" s="948"/>
      <c r="AF132" s="948"/>
      <c r="AG132" s="948"/>
      <c r="AH132" s="948"/>
      <c r="AI132" s="948"/>
      <c r="AJ132" s="1389" t="s">
        <v>17</v>
      </c>
      <c r="AK132" s="1390"/>
      <c r="AL132" s="1390"/>
      <c r="AM132" s="1390"/>
      <c r="AN132" s="1390"/>
      <c r="AO132" s="1390"/>
      <c r="AP132" s="1391"/>
      <c r="AQ132" s="949">
        <f>H132*R129</f>
        <v>1186.8497126984128</v>
      </c>
      <c r="AR132" s="949"/>
      <c r="AS132" s="949"/>
      <c r="AT132" s="1389">
        <f>M132*1</f>
        <v>169.5499589569161</v>
      </c>
      <c r="AU132" s="1390"/>
      <c r="AV132" s="1391"/>
      <c r="AW132" s="948">
        <f>M132*4</f>
        <v>678.1998358276644</v>
      </c>
      <c r="AX132" s="948"/>
      <c r="AY132" s="948"/>
      <c r="AZ132" s="948"/>
      <c r="BA132" s="948"/>
      <c r="BB132" s="1392"/>
    </row>
    <row r="133" spans="1:59" ht="25.5" customHeight="1" x14ac:dyDescent="0.2">
      <c r="A133" s="1443" t="s">
        <v>80</v>
      </c>
      <c r="B133" s="1444"/>
      <c r="C133" s="1444"/>
      <c r="D133" s="1444"/>
      <c r="E133" s="1444"/>
      <c r="F133" s="1444"/>
      <c r="G133" s="1445"/>
      <c r="H133" s="1393">
        <f>SUM(H129:L132)</f>
        <v>436.89160950207065</v>
      </c>
      <c r="I133" s="1393"/>
      <c r="J133" s="1393"/>
      <c r="K133" s="1393"/>
      <c r="L133" s="1393"/>
      <c r="M133" s="1393">
        <f>SUM(M129:Q132)</f>
        <v>436.89160950207065</v>
      </c>
      <c r="N133" s="1393"/>
      <c r="O133" s="1393"/>
      <c r="P133" s="1393"/>
      <c r="Q133" s="1393"/>
      <c r="R133" s="1446">
        <f>R129</f>
        <v>7</v>
      </c>
      <c r="S133" s="1446"/>
      <c r="T133" s="1446"/>
      <c r="U133" s="1446"/>
      <c r="V133" s="1447">
        <f>V129</f>
        <v>3</v>
      </c>
      <c r="W133" s="1447"/>
      <c r="X133" s="1447"/>
      <c r="Y133" s="1447"/>
      <c r="Z133" s="1447">
        <f>Z129</f>
        <v>1</v>
      </c>
      <c r="AA133" s="1447"/>
      <c r="AB133" s="1447"/>
      <c r="AC133" s="1447"/>
      <c r="AD133" s="1393" t="s">
        <v>17</v>
      </c>
      <c r="AE133" s="1393"/>
      <c r="AF133" s="1393"/>
      <c r="AG133" s="1393"/>
      <c r="AH133" s="1393"/>
      <c r="AI133" s="1393"/>
      <c r="AJ133" s="1448" t="s">
        <v>17</v>
      </c>
      <c r="AK133" s="1449"/>
      <c r="AL133" s="1449"/>
      <c r="AM133" s="1449"/>
      <c r="AN133" s="1449"/>
      <c r="AO133" s="1449"/>
      <c r="AP133" s="1450"/>
      <c r="AQ133" s="1393">
        <f>SUM(AQ129:AS132)</f>
        <v>3058.291266514495</v>
      </c>
      <c r="AR133" s="1393"/>
      <c r="AS133" s="1393"/>
      <c r="AT133" s="1393">
        <f>SUM(AT129:AV132)</f>
        <v>436.89160950207065</v>
      </c>
      <c r="AU133" s="1393"/>
      <c r="AV133" s="1393"/>
      <c r="AW133" s="1393">
        <f>SUM(AW129:BB132)</f>
        <v>1747.5764380082826</v>
      </c>
      <c r="AX133" s="1393"/>
      <c r="AY133" s="1393"/>
      <c r="AZ133" s="1393"/>
      <c r="BA133" s="1393"/>
      <c r="BB133" s="1394"/>
    </row>
    <row r="134" spans="1:59" ht="30.75" customHeight="1" x14ac:dyDescent="0.2">
      <c r="A134" s="926" t="s">
        <v>75</v>
      </c>
      <c r="B134" s="927"/>
      <c r="C134" s="927"/>
      <c r="D134" s="927"/>
      <c r="E134" s="927"/>
      <c r="F134" s="927"/>
      <c r="G134" s="80">
        <v>0.03</v>
      </c>
      <c r="H134" s="1435">
        <f>H133*G134</f>
        <v>13.106748285062119</v>
      </c>
      <c r="I134" s="1435"/>
      <c r="J134" s="1435"/>
      <c r="K134" s="1435"/>
      <c r="L134" s="1435"/>
      <c r="M134" s="1435">
        <f>M133*G134</f>
        <v>13.106748285062119</v>
      </c>
      <c r="N134" s="1435"/>
      <c r="O134" s="1435"/>
      <c r="P134" s="1435"/>
      <c r="Q134" s="1435"/>
      <c r="R134" s="1430">
        <f>R129</f>
        <v>7</v>
      </c>
      <c r="S134" s="1431"/>
      <c r="T134" s="1431"/>
      <c r="U134" s="1432"/>
      <c r="V134" s="1433">
        <f>V129</f>
        <v>3</v>
      </c>
      <c r="W134" s="1431"/>
      <c r="X134" s="1431"/>
      <c r="Y134" s="1432"/>
      <c r="Z134" s="1433">
        <f>Z129</f>
        <v>1</v>
      </c>
      <c r="AA134" s="1431"/>
      <c r="AB134" s="1431"/>
      <c r="AC134" s="1432"/>
      <c r="AD134" s="1434" t="s">
        <v>17</v>
      </c>
      <c r="AE134" s="1434"/>
      <c r="AF134" s="1434"/>
      <c r="AG134" s="1434"/>
      <c r="AH134" s="1434"/>
      <c r="AI134" s="1434"/>
      <c r="AJ134" s="1434" t="s">
        <v>17</v>
      </c>
      <c r="AK134" s="1434"/>
      <c r="AL134" s="1434"/>
      <c r="AM134" s="1434"/>
      <c r="AN134" s="1434"/>
      <c r="AO134" s="1434"/>
      <c r="AP134" s="1434"/>
      <c r="AQ134" s="1435">
        <f>AQ133*G134-0.04</f>
        <v>91.708737995434845</v>
      </c>
      <c r="AR134" s="1435"/>
      <c r="AS134" s="1435"/>
      <c r="AT134" s="1436">
        <f>AT133*G134</f>
        <v>13.106748285062119</v>
      </c>
      <c r="AU134" s="1437"/>
      <c r="AV134" s="1438"/>
      <c r="AW134" s="1436">
        <f>AW133*G134</f>
        <v>52.427293140248473</v>
      </c>
      <c r="AX134" s="1437"/>
      <c r="AY134" s="1437"/>
      <c r="AZ134" s="1437"/>
      <c r="BA134" s="1437"/>
      <c r="BB134" s="1439"/>
    </row>
    <row r="135" spans="1:59" ht="30.75" customHeight="1" thickBot="1" x14ac:dyDescent="0.25">
      <c r="A135" s="933" t="s">
        <v>81</v>
      </c>
      <c r="B135" s="934"/>
      <c r="C135" s="934"/>
      <c r="D135" s="934"/>
      <c r="E135" s="934"/>
      <c r="F135" s="934"/>
      <c r="G135" s="935"/>
      <c r="H135" s="918">
        <f>H133+H134</f>
        <v>449.99835778713276</v>
      </c>
      <c r="I135" s="918"/>
      <c r="J135" s="918"/>
      <c r="K135" s="918"/>
      <c r="L135" s="918"/>
      <c r="M135" s="1395">
        <f>M133+M134</f>
        <v>449.99835778713276</v>
      </c>
      <c r="N135" s="1396"/>
      <c r="O135" s="1396"/>
      <c r="P135" s="1396"/>
      <c r="Q135" s="1397"/>
      <c r="R135" s="1382">
        <f>R129</f>
        <v>7</v>
      </c>
      <c r="S135" s="1383"/>
      <c r="T135" s="1383"/>
      <c r="U135" s="1384"/>
      <c r="V135" s="1385">
        <f>V129</f>
        <v>3</v>
      </c>
      <c r="W135" s="1386"/>
      <c r="X135" s="1386"/>
      <c r="Y135" s="1387"/>
      <c r="Z135" s="1385">
        <f>Z129</f>
        <v>1</v>
      </c>
      <c r="AA135" s="1386"/>
      <c r="AB135" s="1386"/>
      <c r="AC135" s="1387"/>
      <c r="AD135" s="1388" t="s">
        <v>17</v>
      </c>
      <c r="AE135" s="1388"/>
      <c r="AF135" s="1388"/>
      <c r="AG135" s="1388"/>
      <c r="AH135" s="1388"/>
      <c r="AI135" s="1388"/>
      <c r="AJ135" s="1388" t="s">
        <v>17</v>
      </c>
      <c r="AK135" s="1388"/>
      <c r="AL135" s="1388"/>
      <c r="AM135" s="1388"/>
      <c r="AN135" s="1388"/>
      <c r="AO135" s="1388"/>
      <c r="AP135" s="1388"/>
      <c r="AQ135" s="918">
        <f>AQ133+AQ134</f>
        <v>3150.00000450993</v>
      </c>
      <c r="AR135" s="918"/>
      <c r="AS135" s="918"/>
      <c r="AT135" s="1395">
        <f>AT134+AT133</f>
        <v>449.99835778713276</v>
      </c>
      <c r="AU135" s="1396"/>
      <c r="AV135" s="1397"/>
      <c r="AW135" s="918">
        <f>AW133+AW134</f>
        <v>1800.003731148531</v>
      </c>
      <c r="AX135" s="918"/>
      <c r="AY135" s="918"/>
      <c r="AZ135" s="918"/>
      <c r="BA135" s="918"/>
      <c r="BB135" s="925"/>
    </row>
    <row r="136" spans="1:59" ht="22.5" customHeight="1" x14ac:dyDescent="0.2">
      <c r="A136" s="1380"/>
      <c r="B136" s="1380"/>
      <c r="C136" s="1380"/>
      <c r="D136" s="1380"/>
      <c r="E136" s="1380"/>
      <c r="F136" s="1380"/>
      <c r="G136" s="1380"/>
      <c r="H136" s="1380"/>
      <c r="I136" s="1380"/>
      <c r="J136" s="1380"/>
      <c r="K136" s="1380"/>
      <c r="L136" s="1380"/>
      <c r="M136" s="1380"/>
      <c r="N136" s="1380"/>
      <c r="O136" s="1380"/>
      <c r="P136" s="1380"/>
      <c r="Q136" s="1380"/>
      <c r="R136" s="10"/>
      <c r="S136" s="10"/>
      <c r="T136" s="10"/>
      <c r="U136" s="10"/>
      <c r="BF136" s="87"/>
    </row>
    <row r="137" spans="1:59" ht="6.75" customHeight="1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</row>
    <row r="138" spans="1:59" ht="8.25" customHeight="1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</row>
    <row r="139" spans="1:59" ht="22.5" customHeight="1" x14ac:dyDescent="0.25">
      <c r="B139" s="920" t="s">
        <v>718</v>
      </c>
      <c r="C139" s="920"/>
      <c r="D139" s="920"/>
      <c r="E139" s="920"/>
      <c r="F139" s="920"/>
      <c r="G139" s="920"/>
      <c r="H139" s="920"/>
      <c r="I139" s="920"/>
      <c r="J139" s="920"/>
      <c r="K139" s="920"/>
      <c r="L139" s="920"/>
      <c r="M139" s="920"/>
      <c r="N139" s="920"/>
      <c r="O139" s="920"/>
      <c r="P139" s="920"/>
      <c r="Q139" s="920"/>
      <c r="R139" s="920"/>
      <c r="S139" s="920"/>
      <c r="U139" s="10"/>
      <c r="V139" s="10"/>
      <c r="W139" s="10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M139" s="911" t="s">
        <v>719</v>
      </c>
      <c r="AN139" s="443"/>
      <c r="AO139" s="443"/>
      <c r="AP139" s="443"/>
      <c r="AQ139" s="443"/>
      <c r="AR139" s="443"/>
      <c r="AS139" s="443"/>
      <c r="AT139" s="443"/>
      <c r="AU139" s="443"/>
      <c r="AV139" s="443"/>
      <c r="AW139" s="443"/>
      <c r="AX139" s="443"/>
      <c r="AY139" s="443"/>
      <c r="AZ139" s="443"/>
      <c r="BA139" s="443"/>
      <c r="BB139" s="443"/>
      <c r="BC139" s="443"/>
      <c r="BG139" s="4">
        <f>200*9*20</f>
        <v>36000</v>
      </c>
    </row>
    <row r="140" spans="1:59" ht="14.25" customHeight="1" x14ac:dyDescent="0.2">
      <c r="B140" s="920" t="s">
        <v>720</v>
      </c>
      <c r="C140" s="920"/>
      <c r="D140" s="920"/>
      <c r="E140" s="920"/>
      <c r="F140" s="920"/>
      <c r="G140" s="920"/>
      <c r="H140" s="920"/>
      <c r="I140" s="920"/>
      <c r="J140" s="920"/>
      <c r="K140" s="920"/>
      <c r="L140" s="920"/>
      <c r="M140" s="920"/>
      <c r="N140" s="920"/>
      <c r="O140" s="920"/>
      <c r="P140" s="920"/>
      <c r="Q140" s="920"/>
      <c r="R140" s="920"/>
      <c r="S140" s="920"/>
      <c r="AM140" s="909" t="s">
        <v>721</v>
      </c>
      <c r="AN140" s="909"/>
      <c r="AO140" s="909"/>
      <c r="AP140" s="909"/>
      <c r="AQ140" s="909"/>
      <c r="AR140" s="909"/>
      <c r="AS140" s="909"/>
      <c r="AT140" s="909"/>
      <c r="AU140" s="909"/>
      <c r="AV140" s="909"/>
      <c r="AW140" s="909"/>
      <c r="AX140" s="909"/>
      <c r="AY140" s="909"/>
      <c r="AZ140" s="909"/>
      <c r="BA140" s="909"/>
      <c r="BB140" s="909"/>
      <c r="BC140" s="909"/>
    </row>
    <row r="141" spans="1:59" ht="10.5" customHeight="1" x14ac:dyDescent="0.2">
      <c r="B141" s="920"/>
      <c r="C141" s="920"/>
      <c r="D141" s="920"/>
      <c r="E141" s="920"/>
      <c r="F141" s="920"/>
      <c r="G141" s="920"/>
      <c r="H141" s="920"/>
      <c r="I141" s="920"/>
      <c r="J141" s="920"/>
      <c r="K141" s="920"/>
      <c r="L141" s="920"/>
      <c r="M141" s="920"/>
      <c r="N141" s="920"/>
      <c r="O141" s="920"/>
      <c r="P141" s="920"/>
      <c r="Q141" s="920"/>
      <c r="R141" s="920"/>
      <c r="S141" s="920"/>
      <c r="U141" s="10"/>
      <c r="V141" s="10"/>
      <c r="W141" s="10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M141" s="909"/>
      <c r="AN141" s="909"/>
      <c r="AO141" s="909"/>
      <c r="AP141" s="909"/>
      <c r="AQ141" s="909"/>
      <c r="AR141" s="909"/>
      <c r="AS141" s="909"/>
      <c r="AT141" s="909"/>
      <c r="AU141" s="909"/>
      <c r="AV141" s="909"/>
      <c r="AW141" s="909"/>
      <c r="AX141" s="909"/>
      <c r="AY141" s="909"/>
      <c r="AZ141" s="909"/>
      <c r="BA141" s="909"/>
      <c r="BB141" s="909"/>
      <c r="BC141" s="909"/>
    </row>
    <row r="143" spans="1:59" ht="15.75" customHeight="1" x14ac:dyDescent="0.2">
      <c r="A143" s="54" t="s">
        <v>125</v>
      </c>
      <c r="B143" s="54"/>
      <c r="C143" s="54"/>
      <c r="D143" s="54"/>
    </row>
    <row r="144" spans="1:59" ht="8.25" hidden="1" customHeight="1" x14ac:dyDescent="0.2"/>
    <row r="145" spans="1:80" ht="16.5" hidden="1" customHeight="1" x14ac:dyDescent="0.2">
      <c r="A145" s="53"/>
      <c r="B145" s="53"/>
      <c r="C145" s="53"/>
      <c r="D145" s="53"/>
      <c r="E145" s="53"/>
      <c r="F145" s="53"/>
      <c r="G145" s="53"/>
      <c r="H145" s="53"/>
      <c r="I145" s="53"/>
      <c r="J145" s="53"/>
      <c r="K145" s="53"/>
      <c r="L145" s="53"/>
      <c r="M145" s="53"/>
      <c r="N145" s="53"/>
      <c r="BF145" s="1381" t="s">
        <v>722</v>
      </c>
      <c r="BG145" s="1381"/>
      <c r="BH145" s="1381"/>
      <c r="BI145" s="1381"/>
      <c r="BJ145" s="1381"/>
      <c r="BK145" s="1381"/>
      <c r="BL145" s="1381"/>
      <c r="BM145" s="1381"/>
      <c r="BN145" s="1381"/>
      <c r="BO145" s="1381"/>
      <c r="BP145" s="1381"/>
      <c r="BQ145" s="1381"/>
      <c r="BR145" s="1381"/>
      <c r="BS145" s="1381"/>
      <c r="BT145" s="1381"/>
      <c r="BU145" s="1381"/>
      <c r="BV145" s="1381"/>
      <c r="BW145" s="1381"/>
      <c r="BX145" s="1381"/>
      <c r="BY145" s="1381"/>
      <c r="BZ145" s="1381"/>
      <c r="CA145" s="1381"/>
      <c r="CB145" s="1381"/>
    </row>
    <row r="146" spans="1:80" ht="26.25" hidden="1" customHeight="1" x14ac:dyDescent="0.2">
      <c r="BF146" s="909" t="s">
        <v>126</v>
      </c>
      <c r="BG146" s="909"/>
      <c r="BH146" s="909"/>
      <c r="BI146" s="912">
        <f>H135*102</f>
        <v>45899.832494287541</v>
      </c>
      <c r="BJ146" s="912"/>
      <c r="BK146" s="912"/>
      <c r="BL146" s="912"/>
      <c r="BM146" s="912"/>
      <c r="BN146" s="106"/>
      <c r="BO146" s="106"/>
      <c r="BP146" s="106"/>
      <c r="BQ146" s="106"/>
      <c r="BR146" s="106"/>
      <c r="BS146" s="106"/>
      <c r="BT146" s="106"/>
      <c r="BU146" s="106"/>
    </row>
    <row r="147" spans="1:80" ht="24" hidden="1" customHeight="1" x14ac:dyDescent="0.2">
      <c r="BF147" s="913">
        <v>0.6</v>
      </c>
      <c r="BG147" s="909"/>
      <c r="BH147" s="909"/>
      <c r="BI147" s="87">
        <f>BI146*BF147</f>
        <v>27539.899496572525</v>
      </c>
      <c r="BJ147" s="914" t="s">
        <v>128</v>
      </c>
      <c r="BK147" s="914"/>
      <c r="BL147" s="914"/>
      <c r="BM147" s="914"/>
      <c r="BN147" s="914"/>
      <c r="BO147" s="909" t="s">
        <v>129</v>
      </c>
      <c r="BP147" s="909"/>
      <c r="BQ147" s="909"/>
      <c r="BR147" s="909"/>
      <c r="BS147" s="909"/>
      <c r="BT147" s="909"/>
      <c r="BU147" s="909"/>
    </row>
    <row r="148" spans="1:80" ht="21" hidden="1" customHeight="1" x14ac:dyDescent="0.2">
      <c r="BF148" s="909">
        <v>211</v>
      </c>
      <c r="BG148" s="909"/>
      <c r="BH148" s="909"/>
      <c r="BI148" s="87">
        <f>BI147-BI149</f>
        <v>21151.996541146331</v>
      </c>
      <c r="BJ148" s="910">
        <f>BI148*0.15</f>
        <v>3172.7994811719495</v>
      </c>
      <c r="BK148" s="910"/>
      <c r="BL148" s="910"/>
      <c r="BM148" s="910"/>
      <c r="BN148" s="910"/>
      <c r="BO148" s="436">
        <f>BI148-BJ148</f>
        <v>17979.19705997438</v>
      </c>
      <c r="BP148" s="445"/>
      <c r="BQ148" s="445"/>
      <c r="BR148" s="445"/>
      <c r="BS148" s="445"/>
      <c r="BT148" s="445"/>
      <c r="BU148" s="445"/>
    </row>
    <row r="149" spans="1:80" ht="20.25" hidden="1" customHeight="1" x14ac:dyDescent="0.2">
      <c r="BF149" s="909">
        <v>213</v>
      </c>
      <c r="BG149" s="909"/>
      <c r="BH149" s="909"/>
      <c r="BI149" s="87">
        <f>BI147*30.2/130.2</f>
        <v>6387.9029554261933</v>
      </c>
      <c r="BJ149" s="910">
        <f>BJ148*30.2%</f>
        <v>958.18544331392877</v>
      </c>
      <c r="BK149" s="910"/>
      <c r="BL149" s="910"/>
      <c r="BM149" s="910"/>
      <c r="BN149" s="910"/>
      <c r="BO149" s="436">
        <f>BO148*30.2%</f>
        <v>5429.7175121122627</v>
      </c>
      <c r="BP149" s="436"/>
      <c r="BQ149" s="436"/>
      <c r="BR149" s="436"/>
      <c r="BS149" s="436"/>
      <c r="BT149" s="436"/>
      <c r="BU149" s="436"/>
    </row>
    <row r="150" spans="1:80" ht="8.25" hidden="1" customHeight="1" x14ac:dyDescent="0.2">
      <c r="Z150" s="52"/>
      <c r="AA150" s="52"/>
      <c r="AB150" s="52"/>
      <c r="AC150" s="52"/>
      <c r="AD150" s="52"/>
      <c r="AE150" s="52"/>
      <c r="AF150" s="52"/>
      <c r="AG150" s="52"/>
    </row>
    <row r="151" spans="1:80" ht="8.25" hidden="1" customHeight="1" x14ac:dyDescent="0.2"/>
    <row r="152" spans="1:80" ht="16.5" hidden="1" customHeight="1" x14ac:dyDescent="0.2">
      <c r="A152" s="53"/>
      <c r="B152" s="53"/>
      <c r="C152" s="53"/>
      <c r="D152" s="53"/>
      <c r="E152" s="53"/>
      <c r="F152" s="53"/>
      <c r="G152" s="53"/>
      <c r="H152" s="53"/>
      <c r="I152" s="53"/>
      <c r="J152" s="53"/>
      <c r="K152" s="53"/>
      <c r="L152" s="53"/>
      <c r="M152" s="53"/>
      <c r="N152" s="53"/>
      <c r="BF152" s="1381" t="s">
        <v>723</v>
      </c>
      <c r="BG152" s="1381"/>
      <c r="BH152" s="1381"/>
      <c r="BI152" s="1381"/>
      <c r="BJ152" s="1381"/>
      <c r="BK152" s="1381"/>
      <c r="BL152" s="1381"/>
      <c r="BM152" s="1381"/>
      <c r="BN152" s="1381"/>
      <c r="BO152" s="1381"/>
      <c r="BP152" s="1381"/>
      <c r="BQ152" s="1381"/>
      <c r="BR152" s="1381"/>
      <c r="BS152" s="1381"/>
      <c r="BT152" s="1381"/>
      <c r="BU152" s="1381"/>
      <c r="BV152" s="1381"/>
      <c r="BW152" s="1381"/>
      <c r="BX152" s="1381"/>
      <c r="BY152" s="1381"/>
      <c r="BZ152" s="1381"/>
      <c r="CA152" s="1381"/>
      <c r="CB152" s="1381"/>
    </row>
    <row r="153" spans="1:80" ht="26.25" hidden="1" customHeight="1" x14ac:dyDescent="0.2">
      <c r="BF153" s="909" t="s">
        <v>126</v>
      </c>
      <c r="BG153" s="909"/>
      <c r="BH153" s="909"/>
      <c r="BI153" s="912">
        <f>H135*122</f>
        <v>54899.799650030196</v>
      </c>
      <c r="BJ153" s="912"/>
      <c r="BK153" s="912"/>
      <c r="BL153" s="912"/>
      <c r="BM153" s="912"/>
      <c r="BN153" s="106"/>
      <c r="BO153" s="106"/>
      <c r="BP153" s="106"/>
      <c r="BQ153" s="106"/>
      <c r="BR153" s="106"/>
      <c r="BS153" s="106"/>
      <c r="BT153" s="106"/>
      <c r="BU153" s="106"/>
    </row>
    <row r="154" spans="1:80" ht="24" hidden="1" customHeight="1" x14ac:dyDescent="0.2">
      <c r="BF154" s="913">
        <v>0.6</v>
      </c>
      <c r="BG154" s="909"/>
      <c r="BH154" s="909"/>
      <c r="BI154" s="87">
        <f>BI153*BF154</f>
        <v>32939.879790018116</v>
      </c>
      <c r="BJ154" s="914" t="s">
        <v>128</v>
      </c>
      <c r="BK154" s="914"/>
      <c r="BL154" s="914"/>
      <c r="BM154" s="914"/>
      <c r="BN154" s="914"/>
      <c r="BO154" s="909" t="s">
        <v>129</v>
      </c>
      <c r="BP154" s="909"/>
      <c r="BQ154" s="909"/>
      <c r="BR154" s="909"/>
      <c r="BS154" s="909"/>
      <c r="BT154" s="909"/>
      <c r="BU154" s="909"/>
    </row>
    <row r="155" spans="1:80" ht="21" hidden="1" customHeight="1" x14ac:dyDescent="0.2">
      <c r="BF155" s="909">
        <v>211</v>
      </c>
      <c r="BG155" s="909"/>
      <c r="BH155" s="909"/>
      <c r="BI155" s="87">
        <f>BI154-BI156</f>
        <v>25299.446843331887</v>
      </c>
      <c r="BJ155" s="910">
        <f>BI155*0.15</f>
        <v>3794.9170264997829</v>
      </c>
      <c r="BK155" s="910"/>
      <c r="BL155" s="910"/>
      <c r="BM155" s="910"/>
      <c r="BN155" s="910"/>
      <c r="BO155" s="436">
        <f>BI155-BJ155</f>
        <v>21504.529816832102</v>
      </c>
      <c r="BP155" s="445"/>
      <c r="BQ155" s="445"/>
      <c r="BR155" s="445"/>
      <c r="BS155" s="445"/>
      <c r="BT155" s="445"/>
      <c r="BU155" s="445"/>
    </row>
    <row r="156" spans="1:80" ht="20.25" hidden="1" customHeight="1" x14ac:dyDescent="0.2">
      <c r="BF156" s="909">
        <v>213</v>
      </c>
      <c r="BG156" s="909"/>
      <c r="BH156" s="909"/>
      <c r="BI156" s="87">
        <f>BI154*30.2/130.2</f>
        <v>7640.43294668623</v>
      </c>
      <c r="BJ156" s="910">
        <f>BJ155*30.2%</f>
        <v>1146.0649420029345</v>
      </c>
      <c r="BK156" s="910"/>
      <c r="BL156" s="910"/>
      <c r="BM156" s="910"/>
      <c r="BN156" s="910"/>
      <c r="BO156" s="436">
        <f>BO155*30.2%</f>
        <v>6494.3680046832951</v>
      </c>
      <c r="BP156" s="436"/>
      <c r="BQ156" s="436"/>
      <c r="BR156" s="436"/>
      <c r="BS156" s="436"/>
      <c r="BT156" s="436"/>
      <c r="BU156" s="436"/>
    </row>
    <row r="157" spans="1:80" ht="8.25" hidden="1" customHeight="1" x14ac:dyDescent="0.2"/>
    <row r="158" spans="1:80" ht="8.25" hidden="1" customHeight="1" x14ac:dyDescent="0.2"/>
    <row r="159" spans="1:80" ht="16.5" hidden="1" customHeight="1" x14ac:dyDescent="0.2">
      <c r="A159" s="53"/>
      <c r="B159" s="53"/>
      <c r="C159" s="53"/>
      <c r="D159" s="53"/>
      <c r="E159" s="53"/>
      <c r="F159" s="53"/>
      <c r="G159" s="53"/>
      <c r="H159" s="53"/>
      <c r="I159" s="53"/>
      <c r="J159" s="53"/>
      <c r="K159" s="53"/>
      <c r="L159" s="53"/>
      <c r="M159" s="53"/>
      <c r="N159" s="53"/>
      <c r="BF159" s="1381" t="s">
        <v>724</v>
      </c>
      <c r="BG159" s="1381"/>
      <c r="BH159" s="1381"/>
      <c r="BI159" s="1381"/>
      <c r="BJ159" s="1381"/>
      <c r="BK159" s="1381"/>
      <c r="BL159" s="1381"/>
      <c r="BM159" s="1381"/>
      <c r="BN159" s="1381"/>
      <c r="BO159" s="1381"/>
      <c r="BP159" s="1381"/>
      <c r="BQ159" s="1381"/>
      <c r="BR159" s="1381"/>
      <c r="BS159" s="1381"/>
      <c r="BT159" s="1381"/>
      <c r="BU159" s="1381"/>
      <c r="BV159" s="1381"/>
      <c r="BW159" s="1381"/>
      <c r="BX159" s="1381"/>
      <c r="BY159" s="1381"/>
      <c r="BZ159" s="1381"/>
      <c r="CA159" s="1381"/>
      <c r="CB159" s="1381"/>
    </row>
    <row r="160" spans="1:80" ht="26.25" hidden="1" customHeight="1" x14ac:dyDescent="0.2">
      <c r="BF160" s="909" t="s">
        <v>126</v>
      </c>
      <c r="BG160" s="909"/>
      <c r="BH160" s="909"/>
      <c r="BI160" s="912">
        <f>H135*82</f>
        <v>36899.865338544885</v>
      </c>
      <c r="BJ160" s="912"/>
      <c r="BK160" s="912"/>
      <c r="BL160" s="912"/>
      <c r="BM160" s="912"/>
      <c r="BN160" s="106"/>
      <c r="BO160" s="106"/>
      <c r="BP160" s="106"/>
      <c r="BQ160" s="106"/>
      <c r="BR160" s="106"/>
      <c r="BS160" s="106"/>
      <c r="BT160" s="106"/>
      <c r="BU160" s="106"/>
    </row>
    <row r="161" spans="1:80" ht="24" hidden="1" customHeight="1" x14ac:dyDescent="0.2">
      <c r="BF161" s="913">
        <v>0.6</v>
      </c>
      <c r="BG161" s="909"/>
      <c r="BH161" s="909"/>
      <c r="BI161" s="87">
        <f>BI160*BF161</f>
        <v>22139.91920312693</v>
      </c>
      <c r="BJ161" s="914" t="s">
        <v>128</v>
      </c>
      <c r="BK161" s="914"/>
      <c r="BL161" s="914"/>
      <c r="BM161" s="914"/>
      <c r="BN161" s="914"/>
      <c r="BO161" s="909" t="s">
        <v>129</v>
      </c>
      <c r="BP161" s="909"/>
      <c r="BQ161" s="909"/>
      <c r="BR161" s="909"/>
      <c r="BS161" s="909"/>
      <c r="BT161" s="909"/>
      <c r="BU161" s="909"/>
    </row>
    <row r="162" spans="1:80" ht="21" hidden="1" customHeight="1" x14ac:dyDescent="0.2">
      <c r="BF162" s="909">
        <v>211</v>
      </c>
      <c r="BG162" s="909"/>
      <c r="BH162" s="909"/>
      <c r="BI162" s="87">
        <f>BI161-BI163</f>
        <v>17004.546238960775</v>
      </c>
      <c r="BJ162" s="910">
        <f>BI162*0.15</f>
        <v>2550.6819358441162</v>
      </c>
      <c r="BK162" s="910"/>
      <c r="BL162" s="910"/>
      <c r="BM162" s="910"/>
      <c r="BN162" s="910"/>
      <c r="BO162" s="436">
        <f>BI162-BJ162</f>
        <v>14453.864303116658</v>
      </c>
      <c r="BP162" s="445"/>
      <c r="BQ162" s="445"/>
      <c r="BR162" s="445"/>
      <c r="BS162" s="445"/>
      <c r="BT162" s="445"/>
      <c r="BU162" s="445"/>
    </row>
    <row r="163" spans="1:80" ht="20.25" hidden="1" customHeight="1" x14ac:dyDescent="0.2">
      <c r="BF163" s="909">
        <v>213</v>
      </c>
      <c r="BG163" s="909"/>
      <c r="BH163" s="909"/>
      <c r="BI163" s="87">
        <f>BI161*30.2/130.2</f>
        <v>5135.3729641661548</v>
      </c>
      <c r="BJ163" s="910">
        <f>BJ162*30.2%</f>
        <v>770.30594462492309</v>
      </c>
      <c r="BK163" s="910"/>
      <c r="BL163" s="910"/>
      <c r="BM163" s="910"/>
      <c r="BN163" s="910"/>
      <c r="BO163" s="436">
        <f>BO162*30.2%</f>
        <v>4365.0670195412304</v>
      </c>
      <c r="BP163" s="436"/>
      <c r="BQ163" s="436"/>
      <c r="BR163" s="436"/>
      <c r="BS163" s="436"/>
      <c r="BT163" s="436"/>
      <c r="BU163" s="436"/>
      <c r="BX163" s="87">
        <f>BJ148+BJ155+BJ162</f>
        <v>9518.3984435158491</v>
      </c>
    </row>
    <row r="164" spans="1:80" ht="8.25" hidden="1" customHeight="1" x14ac:dyDescent="0.2"/>
    <row r="165" spans="1:80" ht="8.25" hidden="1" customHeight="1" x14ac:dyDescent="0.2"/>
    <row r="166" spans="1:80" ht="16.5" hidden="1" customHeight="1" x14ac:dyDescent="0.2">
      <c r="A166" s="53"/>
      <c r="B166" s="53"/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BF166" s="1381" t="s">
        <v>725</v>
      </c>
      <c r="BG166" s="1381"/>
      <c r="BH166" s="1381"/>
      <c r="BI166" s="1381"/>
      <c r="BJ166" s="1381"/>
      <c r="BK166" s="1381"/>
      <c r="BL166" s="1381"/>
      <c r="BM166" s="1381"/>
      <c r="BN166" s="1381"/>
      <c r="BO166" s="1381"/>
      <c r="BP166" s="1381"/>
      <c r="BQ166" s="1381"/>
      <c r="BR166" s="1381"/>
      <c r="BS166" s="1381"/>
      <c r="BT166" s="1381"/>
      <c r="BU166" s="1381"/>
      <c r="BV166" s="1381"/>
      <c r="BW166" s="1381"/>
      <c r="BX166" s="1381"/>
      <c r="BY166" s="1381"/>
      <c r="BZ166" s="1381"/>
      <c r="CA166" s="1381"/>
      <c r="CB166" s="1381"/>
    </row>
    <row r="167" spans="1:80" ht="26.25" hidden="1" customHeight="1" x14ac:dyDescent="0.2">
      <c r="BF167" s="909" t="s">
        <v>126</v>
      </c>
      <c r="BG167" s="909"/>
      <c r="BH167" s="909"/>
      <c r="BI167" s="912">
        <f>H135*117</f>
        <v>52649.80786109453</v>
      </c>
      <c r="BJ167" s="912"/>
      <c r="BK167" s="912"/>
      <c r="BL167" s="912"/>
      <c r="BM167" s="912"/>
      <c r="BN167" s="106"/>
      <c r="BO167" s="106"/>
      <c r="BP167" s="106"/>
      <c r="BQ167" s="106"/>
      <c r="BR167" s="106"/>
      <c r="BS167" s="106"/>
      <c r="BT167" s="106"/>
      <c r="BU167" s="106"/>
    </row>
    <row r="168" spans="1:80" ht="24" hidden="1" customHeight="1" x14ac:dyDescent="0.2">
      <c r="BF168" s="913">
        <v>0.6</v>
      </c>
      <c r="BG168" s="909"/>
      <c r="BH168" s="909"/>
      <c r="BI168" s="87">
        <f>BI167*BF168</f>
        <v>31589.884716656718</v>
      </c>
      <c r="BJ168" s="914" t="s">
        <v>128</v>
      </c>
      <c r="BK168" s="914"/>
      <c r="BL168" s="914"/>
      <c r="BM168" s="914"/>
      <c r="BN168" s="914"/>
      <c r="BO168" s="909" t="s">
        <v>129</v>
      </c>
      <c r="BP168" s="909"/>
      <c r="BQ168" s="909"/>
      <c r="BR168" s="909"/>
      <c r="BS168" s="909"/>
      <c r="BT168" s="909"/>
      <c r="BU168" s="909"/>
    </row>
    <row r="169" spans="1:80" ht="21" hidden="1" customHeight="1" x14ac:dyDescent="0.2">
      <c r="BF169" s="909">
        <v>211</v>
      </c>
      <c r="BG169" s="909"/>
      <c r="BH169" s="909"/>
      <c r="BI169" s="87">
        <f>BI168-BI170</f>
        <v>24262.584267785496</v>
      </c>
      <c r="BJ169" s="910">
        <f>BI169*0.15</f>
        <v>3639.3876401678244</v>
      </c>
      <c r="BK169" s="910"/>
      <c r="BL169" s="910"/>
      <c r="BM169" s="910"/>
      <c r="BN169" s="910"/>
      <c r="BO169" s="436">
        <f>BI169-BJ169</f>
        <v>20623.196627617672</v>
      </c>
      <c r="BP169" s="445"/>
      <c r="BQ169" s="445"/>
      <c r="BR169" s="445"/>
      <c r="BS169" s="445"/>
      <c r="BT169" s="445"/>
      <c r="BU169" s="445"/>
    </row>
    <row r="170" spans="1:80" ht="20.25" hidden="1" customHeight="1" x14ac:dyDescent="0.2">
      <c r="BF170" s="909">
        <v>213</v>
      </c>
      <c r="BG170" s="909"/>
      <c r="BH170" s="909"/>
      <c r="BI170" s="87">
        <f>BI168*30.2/130.2</f>
        <v>7327.3004488712204</v>
      </c>
      <c r="BJ170" s="910">
        <f>BJ169*30.2%</f>
        <v>1099.0950673306829</v>
      </c>
      <c r="BK170" s="910"/>
      <c r="BL170" s="910"/>
      <c r="BM170" s="910"/>
      <c r="BN170" s="910"/>
      <c r="BO170" s="436">
        <f>BO169*30.2%</f>
        <v>6228.205381540537</v>
      </c>
      <c r="BP170" s="436"/>
      <c r="BQ170" s="436"/>
      <c r="BR170" s="436"/>
      <c r="BS170" s="436"/>
      <c r="BT170" s="436"/>
      <c r="BU170" s="436"/>
      <c r="BX170" s="87">
        <f>BJ155+BJ162+BJ169</f>
        <v>9984.9866025117226</v>
      </c>
    </row>
    <row r="171" spans="1:80" ht="8.25" hidden="1" customHeight="1" x14ac:dyDescent="0.2"/>
    <row r="172" spans="1:80" ht="8.25" hidden="1" customHeight="1" x14ac:dyDescent="0.2"/>
    <row r="173" spans="1:80" hidden="1" x14ac:dyDescent="0.2">
      <c r="BF173" s="1381" t="s">
        <v>726</v>
      </c>
      <c r="BG173" s="1381"/>
      <c r="BH173" s="1381"/>
      <c r="BI173" s="1381"/>
      <c r="BJ173" s="1381"/>
      <c r="BK173" s="1381"/>
      <c r="BL173" s="1381"/>
      <c r="BM173" s="1381"/>
      <c r="BN173" s="1381"/>
      <c r="BO173" s="1381"/>
      <c r="BP173" s="1381"/>
      <c r="BQ173" s="1381"/>
      <c r="BR173" s="1381"/>
      <c r="BS173" s="1381"/>
      <c r="BT173" s="1381"/>
      <c r="BU173" s="1381"/>
      <c r="BV173" s="1381"/>
      <c r="BW173" s="1381"/>
      <c r="BX173" s="1381"/>
      <c r="BY173" s="1381"/>
      <c r="BZ173" s="1381"/>
      <c r="CA173" s="1381"/>
      <c r="CB173" s="1381"/>
    </row>
    <row r="174" spans="1:80" hidden="1" x14ac:dyDescent="0.2">
      <c r="BF174" s="909" t="s">
        <v>126</v>
      </c>
      <c r="BG174" s="909"/>
      <c r="BH174" s="909"/>
      <c r="BI174" s="912">
        <f>300*69</f>
        <v>20700</v>
      </c>
      <c r="BJ174" s="912"/>
      <c r="BK174" s="912"/>
      <c r="BL174" s="912"/>
      <c r="BM174" s="912"/>
      <c r="BN174" s="106"/>
      <c r="BO174" s="106"/>
      <c r="BP174" s="106"/>
      <c r="BQ174" s="106"/>
      <c r="BR174" s="106"/>
      <c r="BS174" s="106"/>
      <c r="BT174" s="106"/>
      <c r="BU174" s="106"/>
    </row>
    <row r="175" spans="1:80" hidden="1" x14ac:dyDescent="0.2">
      <c r="BF175" s="913">
        <v>0.6</v>
      </c>
      <c r="BG175" s="909"/>
      <c r="BH175" s="909"/>
      <c r="BI175" s="87">
        <f>BI174*BF175</f>
        <v>12420</v>
      </c>
      <c r="BJ175" s="914" t="s">
        <v>128</v>
      </c>
      <c r="BK175" s="914"/>
      <c r="BL175" s="914"/>
      <c r="BM175" s="914"/>
      <c r="BN175" s="914"/>
      <c r="BO175" s="909" t="s">
        <v>129</v>
      </c>
      <c r="BP175" s="909"/>
      <c r="BQ175" s="909"/>
      <c r="BR175" s="909"/>
      <c r="BS175" s="909"/>
      <c r="BT175" s="909"/>
      <c r="BU175" s="909"/>
    </row>
    <row r="176" spans="1:80" hidden="1" x14ac:dyDescent="0.2">
      <c r="BF176" s="909">
        <v>211</v>
      </c>
      <c r="BG176" s="909"/>
      <c r="BH176" s="909"/>
      <c r="BI176" s="87">
        <f>BI175-BI177</f>
        <v>9539.1705069124419</v>
      </c>
      <c r="BJ176" s="910">
        <f>BI176*0.15</f>
        <v>1430.8755760368663</v>
      </c>
      <c r="BK176" s="910"/>
      <c r="BL176" s="910"/>
      <c r="BM176" s="910"/>
      <c r="BN176" s="910"/>
      <c r="BO176" s="436">
        <f>BI176-BJ176</f>
        <v>8108.294930875576</v>
      </c>
      <c r="BP176" s="445"/>
      <c r="BQ176" s="445"/>
      <c r="BR176" s="445"/>
      <c r="BS176" s="445"/>
      <c r="BT176" s="445"/>
      <c r="BU176" s="445"/>
    </row>
    <row r="177" spans="58:80" hidden="1" x14ac:dyDescent="0.2">
      <c r="BF177" s="909">
        <v>213</v>
      </c>
      <c r="BG177" s="909"/>
      <c r="BH177" s="909"/>
      <c r="BI177" s="87">
        <f>BI175*30.2/130.2</f>
        <v>2880.8294930875577</v>
      </c>
      <c r="BJ177" s="910">
        <f>BJ176*30.2%</f>
        <v>432.12442396313361</v>
      </c>
      <c r="BK177" s="910"/>
      <c r="BL177" s="910"/>
      <c r="BM177" s="910"/>
      <c r="BN177" s="910"/>
      <c r="BO177" s="436">
        <f>BO176*30.2%</f>
        <v>2448.705069124424</v>
      </c>
      <c r="BP177" s="436"/>
      <c r="BQ177" s="436"/>
      <c r="BR177" s="436"/>
      <c r="BS177" s="436"/>
      <c r="BT177" s="436"/>
      <c r="BU177" s="436"/>
      <c r="BX177" s="87">
        <f>BJ162+BJ169+BJ176</f>
        <v>7620.9451520488074</v>
      </c>
    </row>
    <row r="178" spans="58:80" ht="8.25" hidden="1" customHeight="1" x14ac:dyDescent="0.2"/>
    <row r="179" spans="58:80" ht="8.25" hidden="1" customHeight="1" x14ac:dyDescent="0.2"/>
    <row r="180" spans="58:80" ht="8.25" hidden="1" customHeight="1" x14ac:dyDescent="0.2"/>
    <row r="181" spans="58:80" hidden="1" x14ac:dyDescent="0.2">
      <c r="BF181" s="1381" t="s">
        <v>727</v>
      </c>
      <c r="BG181" s="1381"/>
      <c r="BH181" s="1381"/>
      <c r="BI181" s="1381"/>
      <c r="BJ181" s="1381"/>
      <c r="BK181" s="1381"/>
      <c r="BL181" s="1381"/>
      <c r="BM181" s="1381"/>
      <c r="BN181" s="1381"/>
      <c r="BO181" s="1381"/>
      <c r="BP181" s="1381"/>
      <c r="BQ181" s="1381"/>
      <c r="BR181" s="1381"/>
      <c r="BS181" s="1381"/>
      <c r="BT181" s="1381"/>
      <c r="BU181" s="1381"/>
      <c r="BV181" s="1381"/>
      <c r="BW181" s="1381"/>
      <c r="BX181" s="1381"/>
      <c r="BY181" s="1381"/>
      <c r="BZ181" s="1381"/>
      <c r="CA181" s="1381"/>
      <c r="CB181" s="1381"/>
    </row>
    <row r="182" spans="58:80" hidden="1" x14ac:dyDescent="0.2">
      <c r="BF182" s="909" t="s">
        <v>126</v>
      </c>
      <c r="BG182" s="909"/>
      <c r="BH182" s="909"/>
      <c r="BI182" s="912">
        <f>300*10</f>
        <v>3000</v>
      </c>
      <c r="BJ182" s="912"/>
      <c r="BK182" s="912"/>
      <c r="BL182" s="912"/>
      <c r="BM182" s="912"/>
      <c r="BN182" s="106"/>
      <c r="BO182" s="106"/>
      <c r="BP182" s="106"/>
      <c r="BQ182" s="106"/>
      <c r="BR182" s="106"/>
      <c r="BS182" s="106"/>
      <c r="BT182" s="106"/>
      <c r="BU182" s="106"/>
    </row>
    <row r="183" spans="58:80" hidden="1" x14ac:dyDescent="0.2">
      <c r="BF183" s="913">
        <v>0.6</v>
      </c>
      <c r="BG183" s="909"/>
      <c r="BH183" s="909"/>
      <c r="BI183" s="87">
        <f>BI182*BF183</f>
        <v>1800</v>
      </c>
      <c r="BJ183" s="914" t="s">
        <v>128</v>
      </c>
      <c r="BK183" s="914"/>
      <c r="BL183" s="914"/>
      <c r="BM183" s="914"/>
      <c r="BN183" s="914"/>
      <c r="BO183" s="909" t="s">
        <v>129</v>
      </c>
      <c r="BP183" s="909"/>
      <c r="BQ183" s="909"/>
      <c r="BR183" s="909"/>
      <c r="BS183" s="909"/>
      <c r="BT183" s="909"/>
      <c r="BU183" s="909"/>
    </row>
    <row r="184" spans="58:80" hidden="1" x14ac:dyDescent="0.2">
      <c r="BF184" s="909">
        <v>211</v>
      </c>
      <c r="BG184" s="909"/>
      <c r="BH184" s="909"/>
      <c r="BI184" s="87">
        <f>BI183-BI185</f>
        <v>1382.4884792626729</v>
      </c>
      <c r="BJ184" s="910">
        <f>BI184*0.15</f>
        <v>207.37327188940091</v>
      </c>
      <c r="BK184" s="910"/>
      <c r="BL184" s="910"/>
      <c r="BM184" s="910"/>
      <c r="BN184" s="910"/>
      <c r="BO184" s="436">
        <f>BI184-BJ184</f>
        <v>1175.1152073732719</v>
      </c>
      <c r="BP184" s="445"/>
      <c r="BQ184" s="445"/>
      <c r="BR184" s="445"/>
      <c r="BS184" s="445"/>
      <c r="BT184" s="445"/>
      <c r="BU184" s="445"/>
    </row>
    <row r="185" spans="58:80" hidden="1" x14ac:dyDescent="0.2">
      <c r="BF185" s="909">
        <v>213</v>
      </c>
      <c r="BG185" s="909"/>
      <c r="BH185" s="909"/>
      <c r="BI185" s="87">
        <f>BI183*30.2/130.2</f>
        <v>417.5115207373272</v>
      </c>
      <c r="BJ185" s="910">
        <f>BJ184*30.2%</f>
        <v>62.626728110599075</v>
      </c>
      <c r="BK185" s="910"/>
      <c r="BL185" s="910"/>
      <c r="BM185" s="910"/>
      <c r="BN185" s="910"/>
      <c r="BO185" s="436">
        <f>BO184*30.2%</f>
        <v>354.88479262672809</v>
      </c>
      <c r="BP185" s="436"/>
      <c r="BQ185" s="436"/>
      <c r="BR185" s="436"/>
      <c r="BS185" s="436"/>
      <c r="BT185" s="436"/>
      <c r="BU185" s="436"/>
      <c r="BX185" s="87"/>
    </row>
    <row r="186" spans="58:80" ht="8.25" hidden="1" customHeight="1" x14ac:dyDescent="0.2"/>
    <row r="187" spans="58:80" ht="8.25" hidden="1" customHeight="1" x14ac:dyDescent="0.2"/>
    <row r="188" spans="58:80" hidden="1" x14ac:dyDescent="0.2">
      <c r="BF188" s="1381" t="s">
        <v>728</v>
      </c>
      <c r="BG188" s="1381"/>
      <c r="BH188" s="1381"/>
      <c r="BI188" s="1381"/>
      <c r="BJ188" s="1381"/>
      <c r="BK188" s="1381"/>
      <c r="BL188" s="1381"/>
      <c r="BM188" s="1381"/>
      <c r="BN188" s="1381"/>
      <c r="BO188" s="1381"/>
      <c r="BP188" s="1381"/>
      <c r="BQ188" s="1381"/>
      <c r="BR188" s="1381"/>
      <c r="BS188" s="1381"/>
      <c r="BT188" s="1381"/>
      <c r="BU188" s="1381"/>
      <c r="BV188" s="1381"/>
      <c r="BW188" s="1381"/>
      <c r="BX188" s="1381"/>
      <c r="BY188" s="1381"/>
      <c r="BZ188" s="1381"/>
      <c r="CA188" s="1381"/>
      <c r="CB188" s="1381"/>
    </row>
    <row r="189" spans="58:80" hidden="1" x14ac:dyDescent="0.2">
      <c r="BF189" s="909" t="s">
        <v>126</v>
      </c>
      <c r="BG189" s="909"/>
      <c r="BH189" s="909"/>
      <c r="BI189" s="912">
        <f>300*46</f>
        <v>13800</v>
      </c>
      <c r="BJ189" s="912"/>
      <c r="BK189" s="912"/>
      <c r="BL189" s="912"/>
      <c r="BM189" s="912"/>
      <c r="BN189" s="106"/>
      <c r="BO189" s="106"/>
      <c r="BP189" s="106"/>
      <c r="BQ189" s="106"/>
      <c r="BR189" s="106"/>
      <c r="BS189" s="106"/>
      <c r="BT189" s="106"/>
      <c r="BU189" s="106"/>
    </row>
    <row r="190" spans="58:80" hidden="1" x14ac:dyDescent="0.2">
      <c r="BF190" s="913">
        <v>0.6</v>
      </c>
      <c r="BG190" s="909"/>
      <c r="BH190" s="909"/>
      <c r="BI190" s="87">
        <f>BI189*BF190</f>
        <v>8280</v>
      </c>
      <c r="BJ190" s="914" t="s">
        <v>128</v>
      </c>
      <c r="BK190" s="914"/>
      <c r="BL190" s="914"/>
      <c r="BM190" s="914"/>
      <c r="BN190" s="914"/>
      <c r="BO190" s="909" t="s">
        <v>129</v>
      </c>
      <c r="BP190" s="909"/>
      <c r="BQ190" s="909"/>
      <c r="BR190" s="909"/>
      <c r="BS190" s="909"/>
      <c r="BT190" s="909"/>
      <c r="BU190" s="909"/>
    </row>
    <row r="191" spans="58:80" hidden="1" x14ac:dyDescent="0.2">
      <c r="BF191" s="909">
        <v>211</v>
      </c>
      <c r="BG191" s="909"/>
      <c r="BH191" s="909"/>
      <c r="BI191" s="87">
        <f>BI190-BI192</f>
        <v>6359.4470046082952</v>
      </c>
      <c r="BJ191" s="910">
        <f>BI191*0.15</f>
        <v>953.91705069124419</v>
      </c>
      <c r="BK191" s="910"/>
      <c r="BL191" s="910"/>
      <c r="BM191" s="910"/>
      <c r="BN191" s="910"/>
      <c r="BO191" s="436">
        <f>BI191-BJ191</f>
        <v>5405.529953917051</v>
      </c>
      <c r="BP191" s="445"/>
      <c r="BQ191" s="445"/>
      <c r="BR191" s="445"/>
      <c r="BS191" s="445"/>
      <c r="BT191" s="445"/>
      <c r="BU191" s="445"/>
    </row>
    <row r="192" spans="58:80" hidden="1" x14ac:dyDescent="0.2">
      <c r="BF192" s="909">
        <v>213</v>
      </c>
      <c r="BG192" s="909"/>
      <c r="BH192" s="909"/>
      <c r="BI192" s="87">
        <f>BI190*30.2/130.2</f>
        <v>1920.5529953917053</v>
      </c>
      <c r="BJ192" s="910">
        <f>BJ191*30.2%</f>
        <v>288.08294930875576</v>
      </c>
      <c r="BK192" s="910"/>
      <c r="BL192" s="910"/>
      <c r="BM192" s="910"/>
      <c r="BN192" s="910"/>
      <c r="BO192" s="436">
        <f>BO191*30.2%</f>
        <v>1632.4700460829492</v>
      </c>
      <c r="BP192" s="436"/>
      <c r="BQ192" s="436"/>
      <c r="BR192" s="436"/>
      <c r="BS192" s="436"/>
      <c r="BT192" s="436"/>
      <c r="BU192" s="436"/>
      <c r="BX192" s="87"/>
    </row>
    <row r="193" spans="58:80" ht="8.25" hidden="1" customHeight="1" x14ac:dyDescent="0.2"/>
    <row r="194" spans="58:80" ht="8.25" hidden="1" customHeight="1" x14ac:dyDescent="0.2"/>
    <row r="195" spans="58:80" ht="8.25" hidden="1" customHeight="1" x14ac:dyDescent="0.2"/>
    <row r="196" spans="58:80" hidden="1" x14ac:dyDescent="0.2">
      <c r="BF196" s="1381" t="s">
        <v>729</v>
      </c>
      <c r="BG196" s="1381"/>
      <c r="BH196" s="1381"/>
      <c r="BI196" s="1381"/>
      <c r="BJ196" s="1381"/>
      <c r="BK196" s="1381"/>
      <c r="BL196" s="1381"/>
      <c r="BM196" s="1381"/>
      <c r="BN196" s="1381"/>
      <c r="BO196" s="1381"/>
      <c r="BP196" s="1381"/>
      <c r="BQ196" s="1381"/>
      <c r="BR196" s="1381"/>
      <c r="BS196" s="1381"/>
      <c r="BT196" s="1381"/>
      <c r="BU196" s="1381"/>
      <c r="BV196" s="1381"/>
      <c r="BW196" s="1381"/>
      <c r="BX196" s="1381"/>
      <c r="BY196" s="1381"/>
      <c r="BZ196" s="1381"/>
      <c r="CA196" s="1381"/>
      <c r="CB196" s="1381"/>
    </row>
    <row r="197" spans="58:80" hidden="1" x14ac:dyDescent="0.2">
      <c r="BF197" s="909" t="s">
        <v>126</v>
      </c>
      <c r="BG197" s="909"/>
      <c r="BH197" s="909"/>
      <c r="BI197" s="912">
        <f>300*117</f>
        <v>35100</v>
      </c>
      <c r="BJ197" s="912"/>
      <c r="BK197" s="912"/>
      <c r="BL197" s="912"/>
      <c r="BM197" s="912"/>
      <c r="BN197" s="106"/>
      <c r="BO197" s="106"/>
      <c r="BP197" s="106"/>
      <c r="BQ197" s="106"/>
      <c r="BR197" s="106"/>
      <c r="BS197" s="106"/>
      <c r="BT197" s="106"/>
      <c r="BU197" s="106"/>
    </row>
    <row r="198" spans="58:80" hidden="1" x14ac:dyDescent="0.2">
      <c r="BF198" s="913">
        <v>0.6</v>
      </c>
      <c r="BG198" s="909"/>
      <c r="BH198" s="909"/>
      <c r="BI198" s="87">
        <f>BI197*BF198</f>
        <v>21060</v>
      </c>
      <c r="BJ198" s="914" t="s">
        <v>128</v>
      </c>
      <c r="BK198" s="914"/>
      <c r="BL198" s="914"/>
      <c r="BM198" s="914"/>
      <c r="BN198" s="914"/>
      <c r="BO198" s="909" t="s">
        <v>129</v>
      </c>
      <c r="BP198" s="909"/>
      <c r="BQ198" s="909"/>
      <c r="BR198" s="909"/>
      <c r="BS198" s="909"/>
      <c r="BT198" s="909"/>
      <c r="BU198" s="909"/>
    </row>
    <row r="199" spans="58:80" hidden="1" x14ac:dyDescent="0.2">
      <c r="BF199" s="909">
        <v>211</v>
      </c>
      <c r="BG199" s="909"/>
      <c r="BH199" s="909"/>
      <c r="BI199" s="87">
        <f>BI198-BI200</f>
        <v>16175.115207373272</v>
      </c>
      <c r="BJ199" s="910">
        <f>BI199*0.15</f>
        <v>2426.2672811059906</v>
      </c>
      <c r="BK199" s="910"/>
      <c r="BL199" s="910"/>
      <c r="BM199" s="910"/>
      <c r="BN199" s="910"/>
      <c r="BO199" s="436">
        <f>BI199-BJ199</f>
        <v>13748.847926267281</v>
      </c>
      <c r="BP199" s="445"/>
      <c r="BQ199" s="445"/>
      <c r="BR199" s="445"/>
      <c r="BS199" s="445"/>
      <c r="BT199" s="445"/>
      <c r="BU199" s="445"/>
    </row>
    <row r="200" spans="58:80" hidden="1" x14ac:dyDescent="0.2">
      <c r="BF200" s="909">
        <v>213</v>
      </c>
      <c r="BG200" s="909"/>
      <c r="BH200" s="909"/>
      <c r="BI200" s="87">
        <f>BI198*30.2/130.2</f>
        <v>4884.8847926267281</v>
      </c>
      <c r="BJ200" s="910">
        <f>BJ199*30.2%</f>
        <v>732.73271889400917</v>
      </c>
      <c r="BK200" s="910"/>
      <c r="BL200" s="910"/>
      <c r="BM200" s="910"/>
      <c r="BN200" s="910"/>
      <c r="BO200" s="436">
        <f>BO199*30.2%</f>
        <v>4152.1520737327182</v>
      </c>
      <c r="BP200" s="436"/>
      <c r="BQ200" s="436"/>
      <c r="BR200" s="436"/>
      <c r="BS200" s="436"/>
      <c r="BT200" s="436"/>
      <c r="BU200" s="436"/>
      <c r="BX200" s="87"/>
    </row>
    <row r="201" spans="58:80" ht="8.25" hidden="1" customHeight="1" x14ac:dyDescent="0.2"/>
    <row r="202" spans="58:80" ht="8.25" hidden="1" customHeight="1" x14ac:dyDescent="0.2"/>
    <row r="203" spans="58:80" ht="8.25" hidden="1" customHeight="1" x14ac:dyDescent="0.2"/>
    <row r="204" spans="58:80" ht="8.25" hidden="1" customHeight="1" x14ac:dyDescent="0.2"/>
    <row r="205" spans="58:80" hidden="1" x14ac:dyDescent="0.2">
      <c r="BX205" s="87">
        <f>BJ184+BJ191+BJ199</f>
        <v>3587.557603686636</v>
      </c>
    </row>
    <row r="206" spans="58:80" ht="8.25" hidden="1" customHeight="1" x14ac:dyDescent="0.2"/>
    <row r="207" spans="58:80" hidden="1" x14ac:dyDescent="0.2"/>
    <row r="208" spans="58:80" hidden="1" x14ac:dyDescent="0.2">
      <c r="BF208" s="1381" t="s">
        <v>730</v>
      </c>
      <c r="BG208" s="1381"/>
      <c r="BH208" s="1381"/>
      <c r="BI208" s="1381"/>
      <c r="BJ208" s="1381"/>
      <c r="BK208" s="1381"/>
      <c r="BL208" s="1381"/>
      <c r="BM208" s="1381"/>
      <c r="BN208" s="1381"/>
      <c r="BO208" s="1381"/>
      <c r="BP208" s="1381"/>
      <c r="BQ208" s="1381"/>
      <c r="BR208" s="1381"/>
      <c r="BS208" s="1381"/>
      <c r="BT208" s="1381"/>
      <c r="BU208" s="1381"/>
      <c r="BV208" s="1381"/>
      <c r="BW208" s="1381"/>
      <c r="BX208" s="1381"/>
      <c r="BY208" s="1381"/>
      <c r="BZ208" s="1381"/>
      <c r="CA208" s="1381"/>
      <c r="CB208" s="1381"/>
    </row>
    <row r="209" spans="58:80" hidden="1" x14ac:dyDescent="0.2">
      <c r="BF209" s="909" t="s">
        <v>126</v>
      </c>
      <c r="BG209" s="909"/>
      <c r="BH209" s="909"/>
      <c r="BI209" s="912">
        <f>300*80</f>
        <v>24000</v>
      </c>
      <c r="BJ209" s="912"/>
      <c r="BK209" s="912"/>
      <c r="BL209" s="912"/>
      <c r="BM209" s="912"/>
      <c r="BN209" s="106"/>
      <c r="BO209" s="106"/>
      <c r="BP209" s="106"/>
      <c r="BQ209" s="106"/>
      <c r="BR209" s="106"/>
      <c r="BS209" s="106"/>
      <c r="BT209" s="106"/>
      <c r="BU209" s="106"/>
    </row>
    <row r="210" spans="58:80" hidden="1" x14ac:dyDescent="0.2">
      <c r="BF210" s="913">
        <v>0.6</v>
      </c>
      <c r="BG210" s="909"/>
      <c r="BH210" s="909"/>
      <c r="BI210" s="87">
        <f>BI209*BF210</f>
        <v>14400</v>
      </c>
      <c r="BJ210" s="914" t="s">
        <v>128</v>
      </c>
      <c r="BK210" s="914"/>
      <c r="BL210" s="914"/>
      <c r="BM210" s="914"/>
      <c r="BN210" s="914"/>
      <c r="BO210" s="909" t="s">
        <v>129</v>
      </c>
      <c r="BP210" s="909"/>
      <c r="BQ210" s="909"/>
      <c r="BR210" s="909"/>
      <c r="BS210" s="909"/>
      <c r="BT210" s="909"/>
      <c r="BU210" s="909"/>
    </row>
    <row r="211" spans="58:80" hidden="1" x14ac:dyDescent="0.2">
      <c r="BF211" s="909">
        <v>211</v>
      </c>
      <c r="BG211" s="909"/>
      <c r="BH211" s="909"/>
      <c r="BI211" s="87">
        <f>BI210-BI212</f>
        <v>11059.907834101383</v>
      </c>
      <c r="BJ211" s="910">
        <f>BI211*0.15</f>
        <v>1658.9861751152073</v>
      </c>
      <c r="BK211" s="910"/>
      <c r="BL211" s="910"/>
      <c r="BM211" s="910"/>
      <c r="BN211" s="910"/>
      <c r="BO211" s="436">
        <f>BI211-BJ211</f>
        <v>9400.9216589861753</v>
      </c>
      <c r="BP211" s="445"/>
      <c r="BQ211" s="445"/>
      <c r="BR211" s="445"/>
      <c r="BS211" s="445"/>
      <c r="BT211" s="445"/>
      <c r="BU211" s="445"/>
    </row>
    <row r="212" spans="58:80" hidden="1" x14ac:dyDescent="0.2">
      <c r="BF212" s="909">
        <v>213</v>
      </c>
      <c r="BG212" s="909"/>
      <c r="BH212" s="909"/>
      <c r="BI212" s="87">
        <f>BI210*30.2/130.2</f>
        <v>3340.0921658986176</v>
      </c>
      <c r="BJ212" s="910">
        <f>BJ211*30.2%</f>
        <v>501.0138248847926</v>
      </c>
      <c r="BK212" s="910"/>
      <c r="BL212" s="910"/>
      <c r="BM212" s="910"/>
      <c r="BN212" s="910"/>
      <c r="BO212" s="436">
        <f>BO211*30.2%</f>
        <v>2839.0783410138247</v>
      </c>
      <c r="BP212" s="436"/>
      <c r="BQ212" s="436"/>
      <c r="BR212" s="436"/>
      <c r="BS212" s="436"/>
      <c r="BT212" s="436"/>
      <c r="BU212" s="436"/>
      <c r="BX212" s="87"/>
    </row>
    <row r="213" spans="58:80" hidden="1" x14ac:dyDescent="0.2"/>
    <row r="214" spans="58:80" hidden="1" x14ac:dyDescent="0.2"/>
    <row r="215" spans="58:80" hidden="1" x14ac:dyDescent="0.2">
      <c r="BF215" s="1381" t="s">
        <v>731</v>
      </c>
      <c r="BG215" s="1381"/>
      <c r="BH215" s="1381"/>
      <c r="BI215" s="1381"/>
      <c r="BJ215" s="1381"/>
      <c r="BK215" s="1381"/>
      <c r="BL215" s="1381"/>
      <c r="BM215" s="1381"/>
      <c r="BN215" s="1381"/>
      <c r="BO215" s="1381"/>
      <c r="BP215" s="1381"/>
      <c r="BQ215" s="1381"/>
      <c r="BR215" s="1381"/>
      <c r="BS215" s="1381"/>
      <c r="BT215" s="1381"/>
      <c r="BU215" s="1381"/>
      <c r="BV215" s="1381"/>
      <c r="BW215" s="1381"/>
      <c r="BX215" s="1381"/>
      <c r="BY215" s="1381"/>
      <c r="BZ215" s="1381"/>
      <c r="CA215" s="1381"/>
      <c r="CB215" s="1381"/>
    </row>
    <row r="216" spans="58:80" hidden="1" x14ac:dyDescent="0.2">
      <c r="BF216" s="909" t="s">
        <v>126</v>
      </c>
      <c r="BG216" s="909"/>
      <c r="BH216" s="909"/>
      <c r="BI216" s="912">
        <f>300*82</f>
        <v>24600</v>
      </c>
      <c r="BJ216" s="912"/>
      <c r="BK216" s="912"/>
      <c r="BL216" s="912"/>
      <c r="BM216" s="912"/>
      <c r="BN216" s="106"/>
      <c r="BO216" s="106"/>
      <c r="BP216" s="106"/>
      <c r="BQ216" s="106"/>
      <c r="BR216" s="106"/>
      <c r="BS216" s="106"/>
      <c r="BT216" s="106"/>
      <c r="BU216" s="106"/>
    </row>
    <row r="217" spans="58:80" hidden="1" x14ac:dyDescent="0.2">
      <c r="BF217" s="913">
        <v>0.6</v>
      </c>
      <c r="BG217" s="909"/>
      <c r="BH217" s="909"/>
      <c r="BI217" s="87">
        <f>BI216*BF217</f>
        <v>14760</v>
      </c>
      <c r="BJ217" s="914" t="s">
        <v>128</v>
      </c>
      <c r="BK217" s="914"/>
      <c r="BL217" s="914"/>
      <c r="BM217" s="914"/>
      <c r="BN217" s="914"/>
      <c r="BO217" s="909" t="s">
        <v>129</v>
      </c>
      <c r="BP217" s="909"/>
      <c r="BQ217" s="909"/>
      <c r="BR217" s="909"/>
      <c r="BS217" s="909"/>
      <c r="BT217" s="909"/>
      <c r="BU217" s="909"/>
    </row>
    <row r="218" spans="58:80" hidden="1" x14ac:dyDescent="0.2">
      <c r="BF218" s="909">
        <v>211</v>
      </c>
      <c r="BG218" s="909"/>
      <c r="BH218" s="909"/>
      <c r="BI218" s="87">
        <f>BI217-BI219</f>
        <v>11336.405529953918</v>
      </c>
      <c r="BJ218" s="910">
        <f>BI218*0.15</f>
        <v>1700.4608294930877</v>
      </c>
      <c r="BK218" s="910"/>
      <c r="BL218" s="910"/>
      <c r="BM218" s="910"/>
      <c r="BN218" s="910"/>
      <c r="BO218" s="436">
        <f>BI218-BJ218</f>
        <v>9635.9447004608301</v>
      </c>
      <c r="BP218" s="445"/>
      <c r="BQ218" s="445"/>
      <c r="BR218" s="445"/>
      <c r="BS218" s="445"/>
      <c r="BT218" s="445"/>
      <c r="BU218" s="445"/>
    </row>
    <row r="219" spans="58:80" hidden="1" x14ac:dyDescent="0.2">
      <c r="BF219" s="909">
        <v>213</v>
      </c>
      <c r="BG219" s="909"/>
      <c r="BH219" s="909"/>
      <c r="BI219" s="87">
        <f>BI217*30.2/130.2</f>
        <v>3423.5944700460832</v>
      </c>
      <c r="BJ219" s="910">
        <f>BJ218*30.2%</f>
        <v>513.53917050691246</v>
      </c>
      <c r="BK219" s="910"/>
      <c r="BL219" s="910"/>
      <c r="BM219" s="910"/>
      <c r="BN219" s="910"/>
      <c r="BO219" s="436">
        <f>BO218*30.2%</f>
        <v>2910.0552995391704</v>
      </c>
      <c r="BP219" s="436"/>
      <c r="BQ219" s="436"/>
      <c r="BR219" s="436"/>
      <c r="BS219" s="436"/>
      <c r="BT219" s="436"/>
      <c r="BU219" s="436"/>
      <c r="BX219" s="87"/>
    </row>
    <row r="220" spans="58:80" ht="8.25" hidden="1" customHeight="1" x14ac:dyDescent="0.2"/>
    <row r="221" spans="58:80" ht="8.25" hidden="1" customHeight="1" x14ac:dyDescent="0.2"/>
  </sheetData>
  <mergeCells count="476">
    <mergeCell ref="A13:S13"/>
    <mergeCell ref="U13:W13"/>
    <mergeCell ref="A15:S15"/>
    <mergeCell ref="U15:W15"/>
    <mergeCell ref="A7:BA7"/>
    <mergeCell ref="A8:BA8"/>
    <mergeCell ref="A42:BB42"/>
    <mergeCell ref="A43:G52"/>
    <mergeCell ref="A25:BB25"/>
    <mergeCell ref="A26:G27"/>
    <mergeCell ref="H26:Y35"/>
    <mergeCell ref="Z26:AB35"/>
    <mergeCell ref="AC26:AG35"/>
    <mergeCell ref="AH26:AM35"/>
    <mergeCell ref="AN26:AR35"/>
    <mergeCell ref="AS26:AW35"/>
    <mergeCell ref="AX26:BB35"/>
    <mergeCell ref="A28:G35"/>
    <mergeCell ref="A17:S17"/>
    <mergeCell ref="U17:W17"/>
    <mergeCell ref="Y17:AA17"/>
    <mergeCell ref="AX21:BB21"/>
    <mergeCell ref="A22:G24"/>
    <mergeCell ref="H22:AB24"/>
    <mergeCell ref="A75:G79"/>
    <mergeCell ref="AC75:AG79"/>
    <mergeCell ref="AH75:AM79"/>
    <mergeCell ref="AN75:AR79"/>
    <mergeCell ref="AS75:AW79"/>
    <mergeCell ref="A70:G74"/>
    <mergeCell ref="AC70:AG74"/>
    <mergeCell ref="AH70:AM74"/>
    <mergeCell ref="A59:BB59"/>
    <mergeCell ref="A60:G64"/>
    <mergeCell ref="AC60:AG64"/>
    <mergeCell ref="AH60:AM64"/>
    <mergeCell ref="AN60:AR64"/>
    <mergeCell ref="AS60:AW64"/>
    <mergeCell ref="AX60:BB64"/>
    <mergeCell ref="H61:P61"/>
    <mergeCell ref="R61:V61"/>
    <mergeCell ref="H63:X63"/>
    <mergeCell ref="Z63:AB63"/>
    <mergeCell ref="A65:G69"/>
    <mergeCell ref="AC65:AG69"/>
    <mergeCell ref="AH65:AM69"/>
    <mergeCell ref="AN65:AR69"/>
    <mergeCell ref="AS65:AW69"/>
    <mergeCell ref="O84:AN84"/>
    <mergeCell ref="AO84:AU84"/>
    <mergeCell ref="AV84:BB84"/>
    <mergeCell ref="AO85:AU85"/>
    <mergeCell ref="AV85:BB85"/>
    <mergeCell ref="A89:P89"/>
    <mergeCell ref="Q89:W89"/>
    <mergeCell ref="X89:AD89"/>
    <mergeCell ref="AE89:AL89"/>
    <mergeCell ref="AM89:AU89"/>
    <mergeCell ref="AV89:BB89"/>
    <mergeCell ref="AU103:BB103"/>
    <mergeCell ref="A104:Z104"/>
    <mergeCell ref="AA104:AF104"/>
    <mergeCell ref="AU104:BB104"/>
    <mergeCell ref="A101:Z101"/>
    <mergeCell ref="AA101:AF101"/>
    <mergeCell ref="AU101:BB101"/>
    <mergeCell ref="AA102:AF102"/>
    <mergeCell ref="AU102:BB102"/>
    <mergeCell ref="A109:Z109"/>
    <mergeCell ref="AA109:AF109"/>
    <mergeCell ref="AU109:BB109"/>
    <mergeCell ref="A110:Z110"/>
    <mergeCell ref="AA110:AF110"/>
    <mergeCell ref="AG110:AL110"/>
    <mergeCell ref="AM110:AT110"/>
    <mergeCell ref="AU110:BB110"/>
    <mergeCell ref="A107:Z107"/>
    <mergeCell ref="AA107:AF107"/>
    <mergeCell ref="AU107:BB107"/>
    <mergeCell ref="A108:Z108"/>
    <mergeCell ref="AA108:AF108"/>
    <mergeCell ref="AU108:BB108"/>
    <mergeCell ref="AG101:AL109"/>
    <mergeCell ref="AM101:AT109"/>
    <mergeCell ref="A105:Z105"/>
    <mergeCell ref="AA105:AF105"/>
    <mergeCell ref="AU105:BB105"/>
    <mergeCell ref="A106:Z106"/>
    <mergeCell ref="AA106:AF106"/>
    <mergeCell ref="AU106:BB106"/>
    <mergeCell ref="A103:Z103"/>
    <mergeCell ref="AA103:AF103"/>
    <mergeCell ref="A114:Z114"/>
    <mergeCell ref="AA114:AF114"/>
    <mergeCell ref="AG114:AL114"/>
    <mergeCell ref="AM114:AT114"/>
    <mergeCell ref="AU114:BB114"/>
    <mergeCell ref="A115:Z115"/>
    <mergeCell ref="AA115:AF115"/>
    <mergeCell ref="AG115:AL115"/>
    <mergeCell ref="AM115:AT115"/>
    <mergeCell ref="AU115:BB115"/>
    <mergeCell ref="A116:Z116"/>
    <mergeCell ref="AA116:AF116"/>
    <mergeCell ref="AG116:AL121"/>
    <mergeCell ref="AM116:AT121"/>
    <mergeCell ref="AU116:BB116"/>
    <mergeCell ref="A117:Z117"/>
    <mergeCell ref="AA117:AF117"/>
    <mergeCell ref="AU117:BB117"/>
    <mergeCell ref="A118:Z118"/>
    <mergeCell ref="AA118:AF118"/>
    <mergeCell ref="A121:Z121"/>
    <mergeCell ref="AA121:AF121"/>
    <mergeCell ref="AU121:BB121"/>
    <mergeCell ref="AW127:BB127"/>
    <mergeCell ref="A122:Z122"/>
    <mergeCell ref="AA122:AF122"/>
    <mergeCell ref="AG122:AL122"/>
    <mergeCell ref="AM122:AT122"/>
    <mergeCell ref="AU122:BB122"/>
    <mergeCell ref="AU118:BB118"/>
    <mergeCell ref="A119:Z119"/>
    <mergeCell ref="AA119:AF119"/>
    <mergeCell ref="AU119:BB119"/>
    <mergeCell ref="A120:Z120"/>
    <mergeCell ref="AA120:AF120"/>
    <mergeCell ref="AU120:BB120"/>
    <mergeCell ref="AT126:AV126"/>
    <mergeCell ref="AW126:BB126"/>
    <mergeCell ref="AQ127:AS127"/>
    <mergeCell ref="AT127:AV127"/>
    <mergeCell ref="A129:G129"/>
    <mergeCell ref="H129:L129"/>
    <mergeCell ref="M129:Q129"/>
    <mergeCell ref="R129:U132"/>
    <mergeCell ref="V129:Y132"/>
    <mergeCell ref="Z129:AC132"/>
    <mergeCell ref="AD129:AI129"/>
    <mergeCell ref="AJ129:AP129"/>
    <mergeCell ref="A130:G130"/>
    <mergeCell ref="H130:L130"/>
    <mergeCell ref="M130:Q130"/>
    <mergeCell ref="AD130:AI130"/>
    <mergeCell ref="AJ130:AP130"/>
    <mergeCell ref="A131:G131"/>
    <mergeCell ref="H131:L131"/>
    <mergeCell ref="A134:F134"/>
    <mergeCell ref="H134:L134"/>
    <mergeCell ref="M134:Q134"/>
    <mergeCell ref="AJ128:AP128"/>
    <mergeCell ref="AD126:AP126"/>
    <mergeCell ref="AQ126:AS126"/>
    <mergeCell ref="AJ127:AP127"/>
    <mergeCell ref="H126:L126"/>
    <mergeCell ref="M126:Q126"/>
    <mergeCell ref="R126:U127"/>
    <mergeCell ref="V126:Y127"/>
    <mergeCell ref="Z126:AC127"/>
    <mergeCell ref="AQ128:AS128"/>
    <mergeCell ref="A128:G128"/>
    <mergeCell ref="H128:L128"/>
    <mergeCell ref="H127:L127"/>
    <mergeCell ref="M127:Q127"/>
    <mergeCell ref="AD127:AI127"/>
    <mergeCell ref="A126:G127"/>
    <mergeCell ref="M128:Q128"/>
    <mergeCell ref="R128:U128"/>
    <mergeCell ref="V128:Y128"/>
    <mergeCell ref="Z128:AC128"/>
    <mergeCell ref="AD128:AI128"/>
    <mergeCell ref="BF156:BH156"/>
    <mergeCell ref="BJ156:BN156"/>
    <mergeCell ref="BO156:BU156"/>
    <mergeCell ref="AT134:AV134"/>
    <mergeCell ref="AW134:BB134"/>
    <mergeCell ref="A135:G135"/>
    <mergeCell ref="H135:L135"/>
    <mergeCell ref="M135:Q135"/>
    <mergeCell ref="M131:Q131"/>
    <mergeCell ref="AD131:AI131"/>
    <mergeCell ref="AJ131:AP131"/>
    <mergeCell ref="A133:G133"/>
    <mergeCell ref="H133:L133"/>
    <mergeCell ref="M133:Q133"/>
    <mergeCell ref="R133:U133"/>
    <mergeCell ref="V133:Y133"/>
    <mergeCell ref="Z133:AC133"/>
    <mergeCell ref="AD133:AI133"/>
    <mergeCell ref="AJ133:AP133"/>
    <mergeCell ref="A132:G132"/>
    <mergeCell ref="H132:L132"/>
    <mergeCell ref="M132:Q132"/>
    <mergeCell ref="AD132:AI132"/>
    <mergeCell ref="AJ132:AP132"/>
    <mergeCell ref="BF153:BH153"/>
    <mergeCell ref="BI153:BM153"/>
    <mergeCell ref="BF154:BH154"/>
    <mergeCell ref="BJ154:BN154"/>
    <mergeCell ref="BO154:BU154"/>
    <mergeCell ref="BF155:BH155"/>
    <mergeCell ref="BJ155:BN155"/>
    <mergeCell ref="BO155:BU155"/>
    <mergeCell ref="R134:U134"/>
    <mergeCell ref="V134:Y134"/>
    <mergeCell ref="Z134:AC134"/>
    <mergeCell ref="AD134:AI134"/>
    <mergeCell ref="AJ134:AP134"/>
    <mergeCell ref="AQ134:AS134"/>
    <mergeCell ref="BF173:CB173"/>
    <mergeCell ref="BF174:BH174"/>
    <mergeCell ref="BI174:BM174"/>
    <mergeCell ref="BF175:BH175"/>
    <mergeCell ref="BJ175:BN175"/>
    <mergeCell ref="BO175:BU175"/>
    <mergeCell ref="BF161:BH161"/>
    <mergeCell ref="BJ161:BN161"/>
    <mergeCell ref="BO161:BU161"/>
    <mergeCell ref="BF162:BH162"/>
    <mergeCell ref="BJ162:BN162"/>
    <mergeCell ref="BO162:BU162"/>
    <mergeCell ref="BF163:BH163"/>
    <mergeCell ref="BJ163:BN163"/>
    <mergeCell ref="BO163:BU163"/>
    <mergeCell ref="BF166:CB166"/>
    <mergeCell ref="BF167:BH167"/>
    <mergeCell ref="BI167:BM167"/>
    <mergeCell ref="BF168:BH168"/>
    <mergeCell ref="BJ168:BN168"/>
    <mergeCell ref="BO168:BU168"/>
    <mergeCell ref="BF169:BH169"/>
    <mergeCell ref="BJ169:BN169"/>
    <mergeCell ref="BO169:BU169"/>
    <mergeCell ref="BF176:BH176"/>
    <mergeCell ref="BJ176:BN176"/>
    <mergeCell ref="BO176:BU176"/>
    <mergeCell ref="BF177:BH177"/>
    <mergeCell ref="BJ177:BN177"/>
    <mergeCell ref="BO177:BU177"/>
    <mergeCell ref="BF181:CB181"/>
    <mergeCell ref="BF182:BH182"/>
    <mergeCell ref="BI182:BM182"/>
    <mergeCell ref="BF196:CB196"/>
    <mergeCell ref="BF183:BH183"/>
    <mergeCell ref="BJ183:BN183"/>
    <mergeCell ref="BO183:BU183"/>
    <mergeCell ref="BF184:BH184"/>
    <mergeCell ref="BJ184:BN184"/>
    <mergeCell ref="BO184:BU184"/>
    <mergeCell ref="BF185:BH185"/>
    <mergeCell ref="BJ185:BN185"/>
    <mergeCell ref="BO185:BU185"/>
    <mergeCell ref="BF188:CB188"/>
    <mergeCell ref="BF189:BH189"/>
    <mergeCell ref="BI189:BM189"/>
    <mergeCell ref="BF190:BH190"/>
    <mergeCell ref="BJ190:BN190"/>
    <mergeCell ref="BO190:BU190"/>
    <mergeCell ref="BF191:BH191"/>
    <mergeCell ref="BJ191:BN191"/>
    <mergeCell ref="BO191:BU191"/>
    <mergeCell ref="BF192:BH192"/>
    <mergeCell ref="BJ192:BN192"/>
    <mergeCell ref="BO192:BU192"/>
    <mergeCell ref="BI197:BM197"/>
    <mergeCell ref="BF197:BH197"/>
    <mergeCell ref="BF198:BH198"/>
    <mergeCell ref="BJ198:BN198"/>
    <mergeCell ref="BO198:BU198"/>
    <mergeCell ref="BF199:BH199"/>
    <mergeCell ref="BJ199:BN199"/>
    <mergeCell ref="BO199:BU199"/>
    <mergeCell ref="BF200:BH200"/>
    <mergeCell ref="BJ200:BN200"/>
    <mergeCell ref="BO200:BU200"/>
    <mergeCell ref="BF211:BH211"/>
    <mergeCell ref="BJ211:BN211"/>
    <mergeCell ref="BO211:BU211"/>
    <mergeCell ref="BF212:BH212"/>
    <mergeCell ref="BJ212:BN212"/>
    <mergeCell ref="BO212:BU212"/>
    <mergeCell ref="BF215:CB215"/>
    <mergeCell ref="BF208:CB208"/>
    <mergeCell ref="BF209:BH209"/>
    <mergeCell ref="BI209:BM209"/>
    <mergeCell ref="BF210:BH210"/>
    <mergeCell ref="BJ210:BN210"/>
    <mergeCell ref="BO210:BU210"/>
    <mergeCell ref="BI216:BM216"/>
    <mergeCell ref="BF216:BH216"/>
    <mergeCell ref="BF217:BH217"/>
    <mergeCell ref="BJ217:BN217"/>
    <mergeCell ref="BO217:BU217"/>
    <mergeCell ref="BF218:BH218"/>
    <mergeCell ref="BJ218:BN218"/>
    <mergeCell ref="BO218:BU218"/>
    <mergeCell ref="BF219:BH219"/>
    <mergeCell ref="BJ219:BN219"/>
    <mergeCell ref="BO219:BU219"/>
    <mergeCell ref="AP1:BB1"/>
    <mergeCell ref="AK2:BB2"/>
    <mergeCell ref="AO3:BB3"/>
    <mergeCell ref="AP5:BB5"/>
    <mergeCell ref="C11:E11"/>
    <mergeCell ref="G11:L11"/>
    <mergeCell ref="N11:Q11"/>
    <mergeCell ref="U11:AI11"/>
    <mergeCell ref="AJ11:AL11"/>
    <mergeCell ref="AN11:AT11"/>
    <mergeCell ref="AV11:AY11"/>
    <mergeCell ref="AC22:AG24"/>
    <mergeCell ref="AH22:AM24"/>
    <mergeCell ref="AN22:AR24"/>
    <mergeCell ref="AS22:AW24"/>
    <mergeCell ref="AX22:BB24"/>
    <mergeCell ref="H36:M36"/>
    <mergeCell ref="AS36:AW36"/>
    <mergeCell ref="AX36:BB36"/>
    <mergeCell ref="AO37:AR37"/>
    <mergeCell ref="AS37:AW37"/>
    <mergeCell ref="AX37:BB37"/>
    <mergeCell ref="A39:G41"/>
    <mergeCell ref="H39:AB41"/>
    <mergeCell ref="AC39:AG41"/>
    <mergeCell ref="AH39:AM41"/>
    <mergeCell ref="AN39:AR41"/>
    <mergeCell ref="AS39:AW41"/>
    <mergeCell ref="AX39:BB41"/>
    <mergeCell ref="H43:Y52"/>
    <mergeCell ref="Z43:AB52"/>
    <mergeCell ref="AC43:AG52"/>
    <mergeCell ref="AH43:AM52"/>
    <mergeCell ref="AN43:AR52"/>
    <mergeCell ref="AS43:AW52"/>
    <mergeCell ref="AX43:BB52"/>
    <mergeCell ref="H53:K53"/>
    <mergeCell ref="AS53:AW53"/>
    <mergeCell ref="AX53:BB53"/>
    <mergeCell ref="AO54:AR54"/>
    <mergeCell ref="AS54:AW54"/>
    <mergeCell ref="AX54:BB54"/>
    <mergeCell ref="A56:G58"/>
    <mergeCell ref="H56:AB58"/>
    <mergeCell ref="AC56:AG58"/>
    <mergeCell ref="AH56:AM58"/>
    <mergeCell ref="AN56:AR58"/>
    <mergeCell ref="AS56:AW58"/>
    <mergeCell ref="AX56:BB58"/>
    <mergeCell ref="AX65:BB69"/>
    <mergeCell ref="H66:M66"/>
    <mergeCell ref="N66:P66"/>
    <mergeCell ref="R66:V66"/>
    <mergeCell ref="I68:K68"/>
    <mergeCell ref="M68:O68"/>
    <mergeCell ref="Q68:S68"/>
    <mergeCell ref="U68:W68"/>
    <mergeCell ref="Z68:AB68"/>
    <mergeCell ref="AN70:AR74"/>
    <mergeCell ref="AS70:AW74"/>
    <mergeCell ref="AX70:BB74"/>
    <mergeCell ref="H71:M71"/>
    <mergeCell ref="N71:P71"/>
    <mergeCell ref="R71:V71"/>
    <mergeCell ref="I73:K73"/>
    <mergeCell ref="M73:O73"/>
    <mergeCell ref="Q73:S73"/>
    <mergeCell ref="U73:W73"/>
    <mergeCell ref="Z73:AB73"/>
    <mergeCell ref="AX75:BB79"/>
    <mergeCell ref="H76:M76"/>
    <mergeCell ref="N76:P76"/>
    <mergeCell ref="R76:V76"/>
    <mergeCell ref="I78:K78"/>
    <mergeCell ref="M78:O78"/>
    <mergeCell ref="Q78:S78"/>
    <mergeCell ref="U78:W78"/>
    <mergeCell ref="Z78:AB78"/>
    <mergeCell ref="AS80:AW80"/>
    <mergeCell ref="AX80:BB80"/>
    <mergeCell ref="AO81:AR81"/>
    <mergeCell ref="AS81:AW81"/>
    <mergeCell ref="AX81:BB81"/>
    <mergeCell ref="A83:N83"/>
    <mergeCell ref="O83:AN83"/>
    <mergeCell ref="AO83:AU83"/>
    <mergeCell ref="AV83:BB83"/>
    <mergeCell ref="AV90:BB90"/>
    <mergeCell ref="AN92:AP92"/>
    <mergeCell ref="AQ92:AT92"/>
    <mergeCell ref="AV92:BB92"/>
    <mergeCell ref="A93:P93"/>
    <mergeCell ref="AE93:AL93"/>
    <mergeCell ref="AN93:AP93"/>
    <mergeCell ref="AQ93:AT93"/>
    <mergeCell ref="AV93:BB93"/>
    <mergeCell ref="A91:P91"/>
    <mergeCell ref="Q91:W94"/>
    <mergeCell ref="X91:AD94"/>
    <mergeCell ref="AE91:AL91"/>
    <mergeCell ref="AM91:AU91"/>
    <mergeCell ref="AV91:BB91"/>
    <mergeCell ref="A92:P92"/>
    <mergeCell ref="AE92:AL92"/>
    <mergeCell ref="A90:P90"/>
    <mergeCell ref="Q90:W90"/>
    <mergeCell ref="X90:AD90"/>
    <mergeCell ref="AE90:AL90"/>
    <mergeCell ref="AM90:AU90"/>
    <mergeCell ref="A94:P94"/>
    <mergeCell ref="AE94:AL94"/>
    <mergeCell ref="AV94:BB94"/>
    <mergeCell ref="A95:P95"/>
    <mergeCell ref="Q95:W95"/>
    <mergeCell ref="X95:AD95"/>
    <mergeCell ref="AE95:AL95"/>
    <mergeCell ref="AM95:AU95"/>
    <mergeCell ref="AV95:BB95"/>
    <mergeCell ref="AG99:AL99"/>
    <mergeCell ref="AM99:AT99"/>
    <mergeCell ref="AG100:AL100"/>
    <mergeCell ref="AM100:AT100"/>
    <mergeCell ref="A99:Z99"/>
    <mergeCell ref="AA99:AF99"/>
    <mergeCell ref="AU99:BB99"/>
    <mergeCell ref="A100:Z100"/>
    <mergeCell ref="AA100:AF100"/>
    <mergeCell ref="AU100:BB100"/>
    <mergeCell ref="AT128:AV128"/>
    <mergeCell ref="AW128:BB128"/>
    <mergeCell ref="AQ129:AS129"/>
    <mergeCell ref="AT129:AV129"/>
    <mergeCell ref="AW129:BB129"/>
    <mergeCell ref="AQ130:AS130"/>
    <mergeCell ref="AT130:AV130"/>
    <mergeCell ref="AW130:BB130"/>
    <mergeCell ref="AQ131:AS131"/>
    <mergeCell ref="AT131:AV131"/>
    <mergeCell ref="AW131:BB131"/>
    <mergeCell ref="R135:U135"/>
    <mergeCell ref="V135:Y135"/>
    <mergeCell ref="Z135:AC135"/>
    <mergeCell ref="AD135:AI135"/>
    <mergeCell ref="AJ135:AP135"/>
    <mergeCell ref="AQ132:AS132"/>
    <mergeCell ref="AT132:AV132"/>
    <mergeCell ref="AW132:BB132"/>
    <mergeCell ref="AQ133:AS133"/>
    <mergeCell ref="AT133:AV133"/>
    <mergeCell ref="AW133:BB133"/>
    <mergeCell ref="AQ135:AS135"/>
    <mergeCell ref="AT135:AV135"/>
    <mergeCell ref="AW135:BB135"/>
    <mergeCell ref="BF170:BH170"/>
    <mergeCell ref="BJ170:BN170"/>
    <mergeCell ref="BO170:BU170"/>
    <mergeCell ref="A136:Q136"/>
    <mergeCell ref="B139:S139"/>
    <mergeCell ref="AM139:BC139"/>
    <mergeCell ref="B140:S141"/>
    <mergeCell ref="AM140:BC141"/>
    <mergeCell ref="BF145:CB145"/>
    <mergeCell ref="BF159:CB159"/>
    <mergeCell ref="BF160:BH160"/>
    <mergeCell ref="BI160:BM160"/>
    <mergeCell ref="BI146:BM146"/>
    <mergeCell ref="BF146:BH146"/>
    <mergeCell ref="BF147:BH147"/>
    <mergeCell ref="BJ147:BN147"/>
    <mergeCell ref="BO147:BU147"/>
    <mergeCell ref="BF148:BH148"/>
    <mergeCell ref="BJ148:BN148"/>
    <mergeCell ref="BO148:BU148"/>
    <mergeCell ref="BF149:BH149"/>
    <mergeCell ref="BJ149:BN149"/>
    <mergeCell ref="BO149:BU149"/>
    <mergeCell ref="BF152:CB152"/>
  </mergeCells>
  <pageMargins left="0" right="0" top="0" bottom="0" header="0.31496062992125984" footer="0.31496062992125984"/>
  <pageSetup paperSize="9" scale="76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C310"/>
  <sheetViews>
    <sheetView topLeftCell="A141" workbookViewId="0">
      <selection activeCell="BI314" sqref="BI314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5" width="1.85546875" style="117"/>
    <col min="26" max="26" width="9.85546875" style="117" bestFit="1" customWidth="1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4.42578125" style="117" customWidth="1"/>
    <col min="55" max="55" width="4.5703125" style="117" customWidth="1"/>
    <col min="56" max="56" width="4.7109375" style="117" customWidth="1"/>
    <col min="57" max="57" width="11.140625" style="117" customWidth="1"/>
    <col min="58" max="58" width="9.7109375" style="117" customWidth="1"/>
    <col min="59" max="59" width="4" style="117" customWidth="1"/>
    <col min="60" max="60" width="10.42578125" style="117" customWidth="1"/>
    <col min="61" max="61" width="8.140625" style="117" customWidth="1"/>
    <col min="62" max="87" width="1.85546875" style="117" customWidth="1"/>
    <col min="88" max="88" width="8.85546875" style="117" customWidth="1"/>
    <col min="89" max="113" width="1.85546875" style="117" customWidth="1"/>
    <col min="114" max="16384" width="1.85546875" style="117"/>
  </cols>
  <sheetData>
    <row r="1" spans="1:53" s="100" customFormat="1" ht="15" customHeight="1" x14ac:dyDescent="0.25">
      <c r="AW1" s="100" t="s">
        <v>83</v>
      </c>
    </row>
    <row r="2" spans="1:53" s="100" customFormat="1" ht="22.5" customHeight="1" x14ac:dyDescent="0.25">
      <c r="AT2" s="100" t="s">
        <v>191</v>
      </c>
    </row>
    <row r="3" spans="1:53" s="100" customFormat="1" ht="15.75" customHeight="1" x14ac:dyDescent="0.25"/>
    <row r="4" spans="1:53" s="100" customFormat="1" ht="15" customHeight="1" x14ac:dyDescent="0.25">
      <c r="AS4" s="100" t="s">
        <v>91</v>
      </c>
    </row>
    <row r="5" spans="1:53" s="100" customFormat="1" ht="5.0999999999999996" customHeight="1" x14ac:dyDescent="0.25"/>
    <row r="6" spans="1:53" s="100" customFormat="1" ht="15" customHeight="1" x14ac:dyDescent="0.25">
      <c r="AM6" s="156"/>
      <c r="AN6" s="156"/>
      <c r="AO6" s="156"/>
      <c r="AP6" s="156"/>
      <c r="AQ6" s="156"/>
      <c r="AR6" s="156"/>
      <c r="AS6" s="156"/>
      <c r="AT6" s="156"/>
      <c r="AU6" s="156"/>
      <c r="AV6" s="156"/>
      <c r="AW6" s="156"/>
      <c r="AX6" s="156"/>
      <c r="AY6" s="156" t="s">
        <v>85</v>
      </c>
      <c r="AZ6" s="100" t="s">
        <v>310</v>
      </c>
    </row>
    <row r="7" spans="1:53" s="100" customFormat="1" ht="9.9499999999999993" customHeight="1" x14ac:dyDescent="0.25">
      <c r="AK7" s="157"/>
      <c r="AL7" s="157"/>
      <c r="AM7" s="157"/>
      <c r="AN7" s="157"/>
      <c r="AO7" s="157"/>
      <c r="AP7" s="157"/>
      <c r="AQ7" s="157"/>
      <c r="AR7" s="157"/>
    </row>
    <row r="8" spans="1:53" s="100" customFormat="1" ht="15" customHeight="1" x14ac:dyDescent="0.25">
      <c r="A8" s="756" t="s">
        <v>0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3" s="100" customFormat="1" ht="15" customHeight="1" x14ac:dyDescent="0.25">
      <c r="A9" s="756" t="s">
        <v>192</v>
      </c>
      <c r="B9" s="756"/>
      <c r="C9" s="756"/>
      <c r="D9" s="756"/>
      <c r="E9" s="756"/>
      <c r="F9" s="756"/>
      <c r="G9" s="756"/>
      <c r="H9" s="756"/>
      <c r="I9" s="756"/>
      <c r="J9" s="756"/>
      <c r="K9" s="756"/>
      <c r="L9" s="756"/>
      <c r="M9" s="756"/>
      <c r="N9" s="756"/>
      <c r="O9" s="756"/>
      <c r="P9" s="756"/>
      <c r="Q9" s="756"/>
      <c r="R9" s="756"/>
      <c r="S9" s="756"/>
      <c r="T9" s="756"/>
      <c r="U9" s="756"/>
      <c r="V9" s="756"/>
      <c r="W9" s="756"/>
      <c r="X9" s="756"/>
      <c r="Y9" s="756"/>
      <c r="Z9" s="756"/>
      <c r="AA9" s="756"/>
      <c r="AB9" s="756"/>
      <c r="AC9" s="756"/>
      <c r="AD9" s="756"/>
      <c r="AE9" s="756"/>
      <c r="AF9" s="756"/>
      <c r="AG9" s="756"/>
      <c r="AH9" s="756"/>
      <c r="AI9" s="756"/>
      <c r="AJ9" s="756"/>
      <c r="AK9" s="756"/>
      <c r="AL9" s="756"/>
      <c r="AM9" s="756"/>
      <c r="AN9" s="756"/>
      <c r="AO9" s="756"/>
      <c r="AP9" s="756"/>
      <c r="AQ9" s="756"/>
      <c r="AR9" s="756"/>
      <c r="AS9" s="756"/>
      <c r="AT9" s="756"/>
      <c r="AU9" s="756"/>
      <c r="AV9" s="756"/>
      <c r="AW9" s="756"/>
      <c r="AX9" s="756"/>
      <c r="AY9" s="756"/>
      <c r="AZ9" s="756"/>
      <c r="BA9" s="756"/>
    </row>
    <row r="10" spans="1:53" s="100" customFormat="1" ht="10.5" customHeight="1" x14ac:dyDescent="0.25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158"/>
      <c r="AI10" s="158"/>
      <c r="AJ10" s="158"/>
      <c r="AK10" s="158"/>
      <c r="AL10" s="158"/>
      <c r="AM10" s="158"/>
      <c r="AN10" s="158"/>
      <c r="AO10" s="158"/>
      <c r="AP10" s="158"/>
      <c r="AQ10" s="158"/>
      <c r="AR10" s="158"/>
      <c r="AS10" s="158"/>
      <c r="AT10" s="158"/>
      <c r="AU10" s="158"/>
      <c r="AV10" s="158"/>
      <c r="AW10" s="158"/>
      <c r="AX10" s="158"/>
      <c r="AY10" s="158"/>
      <c r="AZ10" s="158"/>
      <c r="BA10" s="158"/>
    </row>
    <row r="11" spans="1:53" s="100" customFormat="1" ht="15" customHeight="1" x14ac:dyDescent="0.25">
      <c r="A11" s="158"/>
      <c r="B11" s="158" t="s">
        <v>113</v>
      </c>
      <c r="C11" s="757">
        <v>19</v>
      </c>
      <c r="D11" s="757"/>
      <c r="E11" s="757"/>
      <c r="F11" s="158"/>
      <c r="G11" s="757" t="s">
        <v>196</v>
      </c>
      <c r="H11" s="757"/>
      <c r="I11" s="757"/>
      <c r="J11" s="757"/>
      <c r="K11" s="757"/>
      <c r="L11" s="757"/>
      <c r="M11" s="158"/>
      <c r="N11" s="756">
        <v>2017</v>
      </c>
      <c r="O11" s="756"/>
      <c r="P11" s="756"/>
      <c r="Q11" s="756"/>
      <c r="R11" s="158"/>
      <c r="S11" s="158" t="s">
        <v>114</v>
      </c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758" t="s">
        <v>115</v>
      </c>
      <c r="AI11" s="758"/>
      <c r="AJ11" s="757">
        <v>31</v>
      </c>
      <c r="AK11" s="757"/>
      <c r="AL11" s="757"/>
      <c r="AM11" s="158"/>
      <c r="AN11" s="757" t="s">
        <v>116</v>
      </c>
      <c r="AO11" s="757"/>
      <c r="AP11" s="757"/>
      <c r="AQ11" s="757"/>
      <c r="AR11" s="757"/>
      <c r="AS11" s="757"/>
      <c r="AT11" s="757"/>
      <c r="AU11" s="158"/>
      <c r="AV11" s="756">
        <v>2018</v>
      </c>
      <c r="AW11" s="756"/>
      <c r="AX11" s="756"/>
      <c r="AY11" s="756"/>
      <c r="AZ11" s="158"/>
      <c r="BA11" s="158" t="s">
        <v>114</v>
      </c>
    </row>
    <row r="12" spans="1:53" s="82" customFormat="1" ht="10.5" customHeight="1" x14ac:dyDescent="0.2"/>
    <row r="13" spans="1:53" s="100" customFormat="1" ht="12" customHeight="1" x14ac:dyDescent="0.25">
      <c r="A13" s="760" t="s">
        <v>1</v>
      </c>
      <c r="B13" s="760"/>
      <c r="C13" s="760"/>
      <c r="D13" s="760"/>
      <c r="E13" s="760"/>
      <c r="F13" s="760"/>
      <c r="G13" s="760"/>
      <c r="H13" s="760"/>
      <c r="I13" s="760"/>
      <c r="J13" s="760"/>
      <c r="K13" s="760"/>
      <c r="L13" s="760"/>
      <c r="M13" s="760"/>
      <c r="N13" s="760"/>
      <c r="O13" s="760"/>
      <c r="P13" s="760"/>
      <c r="Q13" s="760"/>
      <c r="R13" s="760"/>
      <c r="S13" s="760"/>
      <c r="U13" s="761">
        <v>36</v>
      </c>
      <c r="V13" s="761"/>
      <c r="W13" s="761"/>
    </row>
    <row r="14" spans="1:53" s="100" customFormat="1" ht="5.0999999999999996" customHeight="1" x14ac:dyDescent="0.25">
      <c r="A14" s="117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17"/>
      <c r="P14" s="117"/>
      <c r="Q14" s="117"/>
      <c r="R14" s="117"/>
      <c r="S14" s="117"/>
    </row>
    <row r="15" spans="1:53" s="100" customFormat="1" ht="12" customHeight="1" x14ac:dyDescent="0.25">
      <c r="A15" s="760" t="s">
        <v>2</v>
      </c>
      <c r="B15" s="760"/>
      <c r="C15" s="760"/>
      <c r="D15" s="760"/>
      <c r="E15" s="760"/>
      <c r="F15" s="760"/>
      <c r="G15" s="760"/>
      <c r="H15" s="760"/>
      <c r="I15" s="760"/>
      <c r="J15" s="760"/>
      <c r="K15" s="760"/>
      <c r="L15" s="760"/>
      <c r="M15" s="760"/>
      <c r="N15" s="760"/>
      <c r="O15" s="760"/>
      <c r="P15" s="760"/>
      <c r="Q15" s="760"/>
      <c r="R15" s="760"/>
      <c r="S15" s="760"/>
      <c r="U15" s="761">
        <v>12</v>
      </c>
      <c r="V15" s="761"/>
      <c r="W15" s="761"/>
    </row>
    <row r="16" spans="1:53" s="100" customFormat="1" ht="5.0999999999999996" customHeight="1" x14ac:dyDescent="0.25">
      <c r="A16" s="117"/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</row>
    <row r="17" spans="1:54" s="100" customFormat="1" ht="12" customHeight="1" x14ac:dyDescent="0.25">
      <c r="A17" s="760" t="s">
        <v>3</v>
      </c>
      <c r="B17" s="760"/>
      <c r="C17" s="760"/>
      <c r="D17" s="760"/>
      <c r="E17" s="760"/>
      <c r="F17" s="760"/>
      <c r="G17" s="760"/>
      <c r="H17" s="760"/>
      <c r="I17" s="760"/>
      <c r="J17" s="760"/>
      <c r="K17" s="760"/>
      <c r="L17" s="760"/>
      <c r="M17" s="760"/>
      <c r="N17" s="760"/>
      <c r="O17" s="760"/>
      <c r="P17" s="760"/>
      <c r="Q17" s="760"/>
      <c r="R17" s="760"/>
      <c r="S17" s="760"/>
      <c r="U17" s="761">
        <v>1</v>
      </c>
      <c r="V17" s="761"/>
      <c r="W17" s="761"/>
      <c r="X17" s="83" t="s">
        <v>4</v>
      </c>
      <c r="Y17" s="761">
        <v>12</v>
      </c>
      <c r="Z17" s="761"/>
      <c r="AA17" s="761"/>
    </row>
    <row r="18" spans="1:54" ht="5.0999999999999996" customHeight="1" x14ac:dyDescent="0.2"/>
    <row r="19" spans="1:54" s="159" customFormat="1" ht="15" customHeight="1" thickBot="1" x14ac:dyDescent="0.25">
      <c r="A19" s="159" t="s">
        <v>5</v>
      </c>
      <c r="C19" s="159" t="s">
        <v>6</v>
      </c>
      <c r="AN19" s="160"/>
      <c r="AO19" s="160"/>
      <c r="AP19" s="160"/>
      <c r="AQ19" s="160"/>
      <c r="AR19" s="160"/>
    </row>
    <row r="20" spans="1:54" ht="12" customHeight="1" thickBot="1" x14ac:dyDescent="0.25">
      <c r="AJ20" s="161"/>
      <c r="AK20" s="161"/>
      <c r="AL20" s="161"/>
      <c r="AM20" s="161"/>
      <c r="AN20" s="162"/>
      <c r="AO20" s="162"/>
      <c r="AP20" s="163"/>
      <c r="AQ20" s="163" t="s">
        <v>7</v>
      </c>
      <c r="AR20" s="162"/>
      <c r="AS20" s="164"/>
      <c r="AX20" s="708">
        <v>5500</v>
      </c>
      <c r="AY20" s="709"/>
      <c r="AZ20" s="709"/>
      <c r="BA20" s="709"/>
      <c r="BB20" s="710"/>
    </row>
    <row r="21" spans="1:54" ht="12" customHeight="1" x14ac:dyDescent="0.2">
      <c r="A21" s="687" t="s">
        <v>8</v>
      </c>
      <c r="B21" s="688"/>
      <c r="C21" s="688"/>
      <c r="D21" s="688"/>
      <c r="E21" s="688"/>
      <c r="F21" s="688"/>
      <c r="G21" s="689"/>
      <c r="H21" s="696" t="s">
        <v>9</v>
      </c>
      <c r="I21" s="688"/>
      <c r="J21" s="688"/>
      <c r="K21" s="688"/>
      <c r="L21" s="688"/>
      <c r="M21" s="688"/>
      <c r="N21" s="688"/>
      <c r="O21" s="688"/>
      <c r="P21" s="688"/>
      <c r="Q21" s="688"/>
      <c r="R21" s="688"/>
      <c r="S21" s="688"/>
      <c r="T21" s="688"/>
      <c r="U21" s="688"/>
      <c r="V21" s="688"/>
      <c r="W21" s="688"/>
      <c r="X21" s="688"/>
      <c r="Y21" s="688"/>
      <c r="Z21" s="688"/>
      <c r="AA21" s="688"/>
      <c r="AB21" s="689"/>
      <c r="AC21" s="696" t="s">
        <v>10</v>
      </c>
      <c r="AD21" s="688"/>
      <c r="AE21" s="688"/>
      <c r="AF21" s="688"/>
      <c r="AG21" s="689"/>
      <c r="AH21" s="671" t="s">
        <v>11</v>
      </c>
      <c r="AI21" s="739"/>
      <c r="AJ21" s="739"/>
      <c r="AK21" s="739"/>
      <c r="AL21" s="739"/>
      <c r="AM21" s="740"/>
      <c r="AN21" s="671" t="s">
        <v>12</v>
      </c>
      <c r="AO21" s="672"/>
      <c r="AP21" s="672"/>
      <c r="AQ21" s="672"/>
      <c r="AR21" s="699"/>
      <c r="AS21" s="671" t="s">
        <v>13</v>
      </c>
      <c r="AT21" s="672"/>
      <c r="AU21" s="672"/>
      <c r="AV21" s="672"/>
      <c r="AW21" s="673"/>
      <c r="AX21" s="671" t="s">
        <v>14</v>
      </c>
      <c r="AY21" s="672"/>
      <c r="AZ21" s="672"/>
      <c r="BA21" s="672"/>
      <c r="BB21" s="673"/>
    </row>
    <row r="22" spans="1:54" ht="12" customHeight="1" x14ac:dyDescent="0.2">
      <c r="A22" s="690"/>
      <c r="B22" s="691"/>
      <c r="C22" s="691"/>
      <c r="D22" s="691"/>
      <c r="E22" s="691"/>
      <c r="F22" s="691"/>
      <c r="G22" s="692"/>
      <c r="H22" s="697"/>
      <c r="I22" s="691"/>
      <c r="J22" s="691"/>
      <c r="K22" s="691"/>
      <c r="L22" s="691"/>
      <c r="M22" s="691"/>
      <c r="N22" s="691"/>
      <c r="O22" s="691"/>
      <c r="P22" s="691"/>
      <c r="Q22" s="691"/>
      <c r="R22" s="691"/>
      <c r="S22" s="691"/>
      <c r="T22" s="691"/>
      <c r="U22" s="691"/>
      <c r="V22" s="691"/>
      <c r="W22" s="691"/>
      <c r="X22" s="691"/>
      <c r="Y22" s="691"/>
      <c r="Z22" s="691"/>
      <c r="AA22" s="691"/>
      <c r="AB22" s="692"/>
      <c r="AC22" s="697"/>
      <c r="AD22" s="691"/>
      <c r="AE22" s="691"/>
      <c r="AF22" s="691"/>
      <c r="AG22" s="692"/>
      <c r="AH22" s="741"/>
      <c r="AI22" s="742"/>
      <c r="AJ22" s="742"/>
      <c r="AK22" s="742"/>
      <c r="AL22" s="742"/>
      <c r="AM22" s="743"/>
      <c r="AN22" s="674"/>
      <c r="AO22" s="675"/>
      <c r="AP22" s="675"/>
      <c r="AQ22" s="675"/>
      <c r="AR22" s="700"/>
      <c r="AS22" s="674"/>
      <c r="AT22" s="675"/>
      <c r="AU22" s="675"/>
      <c r="AV22" s="675"/>
      <c r="AW22" s="676"/>
      <c r="AX22" s="674"/>
      <c r="AY22" s="675"/>
      <c r="AZ22" s="675"/>
      <c r="BA22" s="675"/>
      <c r="BB22" s="676"/>
    </row>
    <row r="23" spans="1:54" ht="12" customHeight="1" thickBot="1" x14ac:dyDescent="0.25">
      <c r="A23" s="693"/>
      <c r="B23" s="694"/>
      <c r="C23" s="694"/>
      <c r="D23" s="694"/>
      <c r="E23" s="694"/>
      <c r="F23" s="694"/>
      <c r="G23" s="695"/>
      <c r="H23" s="698"/>
      <c r="I23" s="694"/>
      <c r="J23" s="694"/>
      <c r="K23" s="694"/>
      <c r="L23" s="694"/>
      <c r="M23" s="694"/>
      <c r="N23" s="694"/>
      <c r="O23" s="694"/>
      <c r="P23" s="694"/>
      <c r="Q23" s="694"/>
      <c r="R23" s="694"/>
      <c r="S23" s="694"/>
      <c r="T23" s="694"/>
      <c r="U23" s="694"/>
      <c r="V23" s="694"/>
      <c r="W23" s="694"/>
      <c r="X23" s="694"/>
      <c r="Y23" s="694"/>
      <c r="Z23" s="694"/>
      <c r="AA23" s="694"/>
      <c r="AB23" s="695"/>
      <c r="AC23" s="698"/>
      <c r="AD23" s="694"/>
      <c r="AE23" s="694"/>
      <c r="AF23" s="694"/>
      <c r="AG23" s="695"/>
      <c r="AH23" s="744"/>
      <c r="AI23" s="745"/>
      <c r="AJ23" s="745"/>
      <c r="AK23" s="745"/>
      <c r="AL23" s="745"/>
      <c r="AM23" s="746"/>
      <c r="AN23" s="677"/>
      <c r="AO23" s="678"/>
      <c r="AP23" s="678"/>
      <c r="AQ23" s="678"/>
      <c r="AR23" s="701"/>
      <c r="AS23" s="677"/>
      <c r="AT23" s="678"/>
      <c r="AU23" s="678"/>
      <c r="AV23" s="678"/>
      <c r="AW23" s="679"/>
      <c r="AX23" s="677"/>
      <c r="AY23" s="678"/>
      <c r="AZ23" s="678"/>
      <c r="BA23" s="678"/>
      <c r="BB23" s="679"/>
    </row>
    <row r="24" spans="1:54" ht="24" customHeight="1" thickBot="1" x14ac:dyDescent="0.25">
      <c r="A24" s="532" t="s">
        <v>15</v>
      </c>
      <c r="B24" s="533"/>
      <c r="C24" s="533"/>
      <c r="D24" s="533"/>
      <c r="E24" s="533"/>
      <c r="F24" s="533"/>
      <c r="G24" s="533"/>
      <c r="H24" s="533"/>
      <c r="I24" s="533"/>
      <c r="J24" s="533"/>
      <c r="K24" s="533"/>
      <c r="L24" s="533"/>
      <c r="M24" s="533"/>
      <c r="N24" s="533"/>
      <c r="O24" s="533"/>
      <c r="P24" s="533"/>
      <c r="Q24" s="533"/>
      <c r="R24" s="533"/>
      <c r="S24" s="533"/>
      <c r="T24" s="533"/>
      <c r="U24" s="533"/>
      <c r="V24" s="533"/>
      <c r="W24" s="533"/>
      <c r="X24" s="533"/>
      <c r="Y24" s="533"/>
      <c r="Z24" s="533"/>
      <c r="AA24" s="533"/>
      <c r="AB24" s="533"/>
      <c r="AC24" s="533"/>
      <c r="AD24" s="533"/>
      <c r="AE24" s="533"/>
      <c r="AF24" s="533"/>
      <c r="AG24" s="533"/>
      <c r="AH24" s="533"/>
      <c r="AI24" s="533"/>
      <c r="AJ24" s="533"/>
      <c r="AK24" s="533"/>
      <c r="AL24" s="533"/>
      <c r="AM24" s="533"/>
      <c r="AN24" s="533"/>
      <c r="AO24" s="533"/>
      <c r="AP24" s="533"/>
      <c r="AQ24" s="533"/>
      <c r="AR24" s="533"/>
      <c r="AS24" s="533"/>
      <c r="AT24" s="533"/>
      <c r="AU24" s="533"/>
      <c r="AV24" s="533"/>
      <c r="AW24" s="533"/>
      <c r="AX24" s="533"/>
      <c r="AY24" s="533"/>
      <c r="AZ24" s="533"/>
      <c r="BA24" s="533"/>
      <c r="BB24" s="680"/>
    </row>
    <row r="25" spans="1:54" ht="4.5" hidden="1" customHeight="1" x14ac:dyDescent="0.2">
      <c r="A25" s="764" t="s">
        <v>88</v>
      </c>
      <c r="B25" s="765"/>
      <c r="C25" s="765"/>
      <c r="D25" s="765"/>
      <c r="E25" s="765"/>
      <c r="F25" s="765"/>
      <c r="G25" s="766"/>
      <c r="H25" s="714" t="s">
        <v>16</v>
      </c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80">
        <v>0.1</v>
      </c>
      <c r="AA25" s="780"/>
      <c r="AB25" s="780"/>
      <c r="AC25" s="781">
        <f>(AX52+AX84)*Z25*AH25</f>
        <v>1544.4</v>
      </c>
      <c r="AD25" s="781"/>
      <c r="AE25" s="781"/>
      <c r="AF25" s="781"/>
      <c r="AG25" s="781"/>
      <c r="AH25" s="668">
        <v>1</v>
      </c>
      <c r="AI25" s="668"/>
      <c r="AJ25" s="668"/>
      <c r="AK25" s="668"/>
      <c r="AL25" s="668"/>
      <c r="AM25" s="668"/>
      <c r="AN25" s="781">
        <f>AC25/U13</f>
        <v>42.900000000000006</v>
      </c>
      <c r="AO25" s="781"/>
      <c r="AP25" s="781"/>
      <c r="AQ25" s="781"/>
      <c r="AR25" s="781"/>
      <c r="AS25" s="668" t="s">
        <v>17</v>
      </c>
      <c r="AT25" s="668"/>
      <c r="AU25" s="668"/>
      <c r="AV25" s="668"/>
      <c r="AW25" s="668"/>
      <c r="AX25" s="781" t="s">
        <v>17</v>
      </c>
      <c r="AY25" s="781"/>
      <c r="AZ25" s="781"/>
      <c r="BA25" s="781"/>
      <c r="BB25" s="782"/>
    </row>
    <row r="26" spans="1:54" s="165" customFormat="1" ht="26.25" hidden="1" customHeight="1" x14ac:dyDescent="0.2">
      <c r="A26" s="767"/>
      <c r="B26" s="768"/>
      <c r="C26" s="768"/>
      <c r="D26" s="768"/>
      <c r="E26" s="768"/>
      <c r="F26" s="768"/>
      <c r="G26" s="769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5.0999999999999996" customHeight="1" x14ac:dyDescent="0.2">
      <c r="A27" s="771" t="s">
        <v>89</v>
      </c>
      <c r="B27" s="772"/>
      <c r="C27" s="772"/>
      <c r="D27" s="772"/>
      <c r="E27" s="772"/>
      <c r="F27" s="772"/>
      <c r="G27" s="773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s="165" customFormat="1" ht="11.25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ht="5.0999999999999996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11.25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5.0999999999999996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s="165" customFormat="1" ht="11.25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ht="5.0999999999999996" hidden="1" customHeight="1" x14ac:dyDescent="0.2">
      <c r="A33" s="750"/>
      <c r="B33" s="751"/>
      <c r="C33" s="751"/>
      <c r="D33" s="751"/>
      <c r="E33" s="751"/>
      <c r="F33" s="751"/>
      <c r="G33" s="774"/>
      <c r="H33" s="714"/>
      <c r="I33" s="704"/>
      <c r="J33" s="704"/>
      <c r="K33" s="704"/>
      <c r="L33" s="704"/>
      <c r="M33" s="704"/>
      <c r="N33" s="704"/>
      <c r="O33" s="704"/>
      <c r="P33" s="704"/>
      <c r="Q33" s="704"/>
      <c r="R33" s="704"/>
      <c r="S33" s="704"/>
      <c r="T33" s="704"/>
      <c r="U33" s="704"/>
      <c r="V33" s="704"/>
      <c r="W33" s="704"/>
      <c r="X33" s="704"/>
      <c r="Y33" s="704"/>
      <c r="Z33" s="726"/>
      <c r="AA33" s="726"/>
      <c r="AB33" s="726"/>
      <c r="AC33" s="601"/>
      <c r="AD33" s="601"/>
      <c r="AE33" s="601"/>
      <c r="AF33" s="601"/>
      <c r="AG33" s="601"/>
      <c r="AH33" s="664"/>
      <c r="AI33" s="664"/>
      <c r="AJ33" s="664"/>
      <c r="AK33" s="664"/>
      <c r="AL33" s="664"/>
      <c r="AM33" s="664"/>
      <c r="AN33" s="601"/>
      <c r="AO33" s="601"/>
      <c r="AP33" s="601"/>
      <c r="AQ33" s="601"/>
      <c r="AR33" s="601"/>
      <c r="AS33" s="664"/>
      <c r="AT33" s="664"/>
      <c r="AU33" s="664"/>
      <c r="AV33" s="664"/>
      <c r="AW33" s="664"/>
      <c r="AX33" s="601"/>
      <c r="AY33" s="601"/>
      <c r="AZ33" s="601"/>
      <c r="BA33" s="601"/>
      <c r="BB33" s="655"/>
    </row>
    <row r="34" spans="1:54" s="165" customFormat="1" ht="17.25" customHeight="1" thickBot="1" x14ac:dyDescent="0.25">
      <c r="A34" s="753"/>
      <c r="B34" s="754"/>
      <c r="C34" s="754"/>
      <c r="D34" s="754"/>
      <c r="E34" s="754"/>
      <c r="F34" s="754"/>
      <c r="G34" s="775"/>
      <c r="H34" s="770"/>
      <c r="I34" s="721"/>
      <c r="J34" s="721"/>
      <c r="K34" s="721"/>
      <c r="L34" s="721"/>
      <c r="M34" s="721"/>
      <c r="N34" s="721"/>
      <c r="O34" s="721"/>
      <c r="P34" s="721"/>
      <c r="Q34" s="721"/>
      <c r="R34" s="721"/>
      <c r="S34" s="721"/>
      <c r="T34" s="721"/>
      <c r="U34" s="721"/>
      <c r="V34" s="721"/>
      <c r="W34" s="721"/>
      <c r="X34" s="721"/>
      <c r="Y34" s="721"/>
      <c r="Z34" s="726"/>
      <c r="AA34" s="726"/>
      <c r="AB34" s="726"/>
      <c r="AC34" s="656"/>
      <c r="AD34" s="656"/>
      <c r="AE34" s="656"/>
      <c r="AF34" s="656"/>
      <c r="AG34" s="656"/>
      <c r="AH34" s="683"/>
      <c r="AI34" s="683"/>
      <c r="AJ34" s="683"/>
      <c r="AK34" s="683"/>
      <c r="AL34" s="683"/>
      <c r="AM34" s="683"/>
      <c r="AN34" s="656"/>
      <c r="AO34" s="656"/>
      <c r="AP34" s="656"/>
      <c r="AQ34" s="656"/>
      <c r="AR34" s="656"/>
      <c r="AS34" s="683"/>
      <c r="AT34" s="683"/>
      <c r="AU34" s="683"/>
      <c r="AV34" s="683"/>
      <c r="AW34" s="683"/>
      <c r="AX34" s="656"/>
      <c r="AY34" s="656"/>
      <c r="AZ34" s="656"/>
      <c r="BA34" s="656"/>
      <c r="BB34" s="657"/>
    </row>
    <row r="35" spans="1:54" s="167" customFormat="1" ht="11.25" customHeight="1" x14ac:dyDescent="0.2">
      <c r="A35" s="166"/>
      <c r="B35" s="166"/>
      <c r="C35" s="166"/>
      <c r="D35" s="166"/>
      <c r="E35" s="166"/>
      <c r="F35" s="166"/>
      <c r="G35" s="166"/>
      <c r="H35" s="776"/>
      <c r="I35" s="776"/>
      <c r="J35" s="776"/>
      <c r="K35" s="776"/>
      <c r="L35" s="776"/>
      <c r="M35" s="776"/>
      <c r="P35" s="168"/>
      <c r="Q35" s="95"/>
      <c r="R35" s="169" t="s">
        <v>18</v>
      </c>
      <c r="S35" s="170"/>
      <c r="T35" s="170"/>
      <c r="U35" s="171"/>
      <c r="V35" s="171"/>
      <c r="W35" s="171"/>
      <c r="X35" s="171"/>
      <c r="Y35" s="171"/>
      <c r="Z35" s="162"/>
      <c r="AA35" s="162"/>
      <c r="AB35" s="162"/>
      <c r="AC35" s="171"/>
      <c r="AD35" s="171" t="s">
        <v>19</v>
      </c>
      <c r="AE35" s="171" t="s">
        <v>20</v>
      </c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2"/>
      <c r="AS35" s="453">
        <f>AN25</f>
        <v>42.900000000000006</v>
      </c>
      <c r="AT35" s="453"/>
      <c r="AU35" s="453"/>
      <c r="AV35" s="453"/>
      <c r="AW35" s="453"/>
      <c r="AX35" s="453">
        <f>AC25</f>
        <v>1544.4</v>
      </c>
      <c r="AY35" s="453"/>
      <c r="AZ35" s="453"/>
      <c r="BA35" s="453"/>
      <c r="BB35" s="454"/>
    </row>
    <row r="36" spans="1:54" s="167" customFormat="1" ht="11.25" customHeight="1" thickBot="1" x14ac:dyDescent="0.25">
      <c r="A36" s="166"/>
      <c r="B36" s="166"/>
      <c r="C36" s="166"/>
      <c r="D36" s="166"/>
      <c r="E36" s="166"/>
      <c r="F36" s="166"/>
      <c r="G36" s="166"/>
      <c r="H36" s="173"/>
      <c r="I36" s="173"/>
      <c r="J36" s="173"/>
      <c r="K36" s="173"/>
      <c r="L36" s="173"/>
      <c r="M36" s="173"/>
      <c r="P36" s="168"/>
      <c r="Q36" s="174"/>
      <c r="R36" s="175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 t="s">
        <v>19</v>
      </c>
      <c r="AE36" s="176" t="s">
        <v>21</v>
      </c>
      <c r="AF36" s="176"/>
      <c r="AG36" s="176"/>
      <c r="AH36" s="176"/>
      <c r="AI36" s="176"/>
      <c r="AJ36" s="176"/>
      <c r="AK36" s="176"/>
      <c r="AL36" s="176"/>
      <c r="AM36" s="176"/>
      <c r="AN36" s="176"/>
      <c r="AO36" s="630">
        <v>0.30199999999999999</v>
      </c>
      <c r="AP36" s="631"/>
      <c r="AQ36" s="631"/>
      <c r="AR36" s="632"/>
      <c r="AS36" s="463">
        <f>AX36/U13</f>
        <v>12.9558</v>
      </c>
      <c r="AT36" s="463"/>
      <c r="AU36" s="463"/>
      <c r="AV36" s="463"/>
      <c r="AW36" s="463"/>
      <c r="AX36" s="463">
        <f>AX35*AO36</f>
        <v>466.40879999999999</v>
      </c>
      <c r="AY36" s="463"/>
      <c r="AZ36" s="463"/>
      <c r="BA36" s="463"/>
      <c r="BB36" s="633"/>
    </row>
    <row r="37" spans="1:54" s="167" customFormat="1" ht="5.0999999999999996" customHeight="1" thickBot="1" x14ac:dyDescent="0.25">
      <c r="A37" s="166"/>
      <c r="B37" s="166"/>
      <c r="C37" s="166"/>
      <c r="D37" s="166"/>
      <c r="E37" s="166"/>
      <c r="F37" s="166"/>
      <c r="G37" s="166"/>
      <c r="H37" s="173"/>
      <c r="I37" s="173"/>
      <c r="J37" s="173"/>
      <c r="K37" s="173"/>
      <c r="L37" s="173"/>
      <c r="M37" s="173"/>
      <c r="P37" s="168"/>
      <c r="Q37" s="174"/>
      <c r="R37" s="174"/>
      <c r="S37" s="174"/>
      <c r="U37" s="174"/>
      <c r="V37" s="174"/>
      <c r="W37" s="174"/>
      <c r="Z37" s="162"/>
      <c r="AA37" s="162"/>
      <c r="AB37" s="162"/>
      <c r="AC37" s="177"/>
      <c r="AD37" s="177"/>
      <c r="AE37" s="177"/>
      <c r="AF37" s="177"/>
      <c r="AG37" s="177"/>
      <c r="AH37" s="177"/>
      <c r="AI37" s="177"/>
      <c r="AJ37" s="177"/>
      <c r="AK37" s="177"/>
      <c r="AL37" s="177"/>
      <c r="AM37" s="177"/>
      <c r="AN37" s="177"/>
      <c r="AO37" s="177"/>
      <c r="AP37" s="177"/>
      <c r="AQ37" s="177"/>
      <c r="AR37" s="177"/>
      <c r="AS37" s="178"/>
      <c r="AT37" s="179"/>
      <c r="AU37" s="179"/>
      <c r="AV37" s="179"/>
      <c r="AW37" s="179"/>
      <c r="AX37" s="178"/>
      <c r="AY37" s="179"/>
      <c r="AZ37" s="179"/>
      <c r="BA37" s="179"/>
      <c r="BB37" s="179"/>
    </row>
    <row r="38" spans="1:54" s="167" customFormat="1" ht="12" customHeight="1" x14ac:dyDescent="0.2">
      <c r="A38" s="687" t="s">
        <v>8</v>
      </c>
      <c r="B38" s="688"/>
      <c r="C38" s="688"/>
      <c r="D38" s="688"/>
      <c r="E38" s="688"/>
      <c r="F38" s="688"/>
      <c r="G38" s="689"/>
      <c r="H38" s="696" t="s">
        <v>9</v>
      </c>
      <c r="I38" s="688"/>
      <c r="J38" s="688"/>
      <c r="K38" s="688"/>
      <c r="L38" s="688"/>
      <c r="M38" s="688"/>
      <c r="N38" s="688"/>
      <c r="O38" s="688"/>
      <c r="P38" s="688"/>
      <c r="Q38" s="688"/>
      <c r="R38" s="688"/>
      <c r="S38" s="688"/>
      <c r="T38" s="688"/>
      <c r="U38" s="688"/>
      <c r="V38" s="688"/>
      <c r="W38" s="688"/>
      <c r="X38" s="688"/>
      <c r="Y38" s="688"/>
      <c r="Z38" s="688"/>
      <c r="AA38" s="688"/>
      <c r="AB38" s="689"/>
      <c r="AC38" s="696" t="s">
        <v>10</v>
      </c>
      <c r="AD38" s="688"/>
      <c r="AE38" s="688"/>
      <c r="AF38" s="688"/>
      <c r="AG38" s="689"/>
      <c r="AH38" s="671" t="s">
        <v>22</v>
      </c>
      <c r="AI38" s="739"/>
      <c r="AJ38" s="739"/>
      <c r="AK38" s="739"/>
      <c r="AL38" s="739"/>
      <c r="AM38" s="740"/>
      <c r="AN38" s="671" t="s">
        <v>12</v>
      </c>
      <c r="AO38" s="672"/>
      <c r="AP38" s="672"/>
      <c r="AQ38" s="672"/>
      <c r="AR38" s="699"/>
      <c r="AS38" s="671" t="s">
        <v>13</v>
      </c>
      <c r="AT38" s="672"/>
      <c r="AU38" s="672"/>
      <c r="AV38" s="672"/>
      <c r="AW38" s="673"/>
      <c r="AX38" s="671" t="s">
        <v>14</v>
      </c>
      <c r="AY38" s="672"/>
      <c r="AZ38" s="672"/>
      <c r="BA38" s="672"/>
      <c r="BB38" s="673"/>
    </row>
    <row r="39" spans="1:54" s="167" customFormat="1" ht="12" customHeight="1" x14ac:dyDescent="0.2">
      <c r="A39" s="690"/>
      <c r="B39" s="691"/>
      <c r="C39" s="691"/>
      <c r="D39" s="691"/>
      <c r="E39" s="691"/>
      <c r="F39" s="691"/>
      <c r="G39" s="692"/>
      <c r="H39" s="697"/>
      <c r="I39" s="691"/>
      <c r="J39" s="691"/>
      <c r="K39" s="691"/>
      <c r="L39" s="691"/>
      <c r="M39" s="691"/>
      <c r="N39" s="691"/>
      <c r="O39" s="691"/>
      <c r="P39" s="691"/>
      <c r="Q39" s="691"/>
      <c r="R39" s="691"/>
      <c r="S39" s="691"/>
      <c r="T39" s="691"/>
      <c r="U39" s="691"/>
      <c r="V39" s="691"/>
      <c r="W39" s="691"/>
      <c r="X39" s="691"/>
      <c r="Y39" s="691"/>
      <c r="Z39" s="691"/>
      <c r="AA39" s="691"/>
      <c r="AB39" s="692"/>
      <c r="AC39" s="697"/>
      <c r="AD39" s="691"/>
      <c r="AE39" s="691"/>
      <c r="AF39" s="691"/>
      <c r="AG39" s="692"/>
      <c r="AH39" s="741"/>
      <c r="AI39" s="742"/>
      <c r="AJ39" s="742"/>
      <c r="AK39" s="742"/>
      <c r="AL39" s="742"/>
      <c r="AM39" s="743"/>
      <c r="AN39" s="674"/>
      <c r="AO39" s="675"/>
      <c r="AP39" s="675"/>
      <c r="AQ39" s="675"/>
      <c r="AR39" s="700"/>
      <c r="AS39" s="674"/>
      <c r="AT39" s="675"/>
      <c r="AU39" s="675"/>
      <c r="AV39" s="675"/>
      <c r="AW39" s="676"/>
      <c r="AX39" s="674"/>
      <c r="AY39" s="675"/>
      <c r="AZ39" s="675"/>
      <c r="BA39" s="675"/>
      <c r="BB39" s="676"/>
    </row>
    <row r="40" spans="1:54" s="167" customFormat="1" ht="11.25" customHeight="1" thickBot="1" x14ac:dyDescent="0.25">
      <c r="A40" s="693"/>
      <c r="B40" s="694"/>
      <c r="C40" s="694"/>
      <c r="D40" s="694"/>
      <c r="E40" s="694"/>
      <c r="F40" s="694"/>
      <c r="G40" s="695"/>
      <c r="H40" s="698"/>
      <c r="I40" s="694"/>
      <c r="J40" s="694"/>
      <c r="K40" s="694"/>
      <c r="L40" s="694"/>
      <c r="M40" s="694"/>
      <c r="N40" s="694"/>
      <c r="O40" s="694"/>
      <c r="P40" s="694"/>
      <c r="Q40" s="694"/>
      <c r="R40" s="694"/>
      <c r="S40" s="694"/>
      <c r="T40" s="694"/>
      <c r="U40" s="694"/>
      <c r="V40" s="694"/>
      <c r="W40" s="694"/>
      <c r="X40" s="694"/>
      <c r="Y40" s="694"/>
      <c r="Z40" s="694"/>
      <c r="AA40" s="694"/>
      <c r="AB40" s="695"/>
      <c r="AC40" s="698"/>
      <c r="AD40" s="694"/>
      <c r="AE40" s="694"/>
      <c r="AF40" s="694"/>
      <c r="AG40" s="695"/>
      <c r="AH40" s="744"/>
      <c r="AI40" s="745"/>
      <c r="AJ40" s="745"/>
      <c r="AK40" s="745"/>
      <c r="AL40" s="745"/>
      <c r="AM40" s="746"/>
      <c r="AN40" s="677"/>
      <c r="AO40" s="678"/>
      <c r="AP40" s="678"/>
      <c r="AQ40" s="678"/>
      <c r="AR40" s="701"/>
      <c r="AS40" s="677"/>
      <c r="AT40" s="678"/>
      <c r="AU40" s="678"/>
      <c r="AV40" s="678"/>
      <c r="AW40" s="679"/>
      <c r="AX40" s="677"/>
      <c r="AY40" s="678"/>
      <c r="AZ40" s="678"/>
      <c r="BA40" s="678"/>
      <c r="BB40" s="679"/>
    </row>
    <row r="41" spans="1:54" ht="18.75" customHeight="1" thickBot="1" x14ac:dyDescent="0.25">
      <c r="A41" s="731" t="s">
        <v>23</v>
      </c>
      <c r="B41" s="732"/>
      <c r="C41" s="732"/>
      <c r="D41" s="732"/>
      <c r="E41" s="732"/>
      <c r="F41" s="732"/>
      <c r="G41" s="732"/>
      <c r="H41" s="732"/>
      <c r="I41" s="732"/>
      <c r="J41" s="732"/>
      <c r="K41" s="732"/>
      <c r="L41" s="732"/>
      <c r="M41" s="732"/>
      <c r="N41" s="732"/>
      <c r="O41" s="732"/>
      <c r="P41" s="732"/>
      <c r="Q41" s="732"/>
      <c r="R41" s="732"/>
      <c r="S41" s="732"/>
      <c r="T41" s="732"/>
      <c r="U41" s="732"/>
      <c r="V41" s="732"/>
      <c r="W41" s="732"/>
      <c r="X41" s="732"/>
      <c r="Y41" s="732"/>
      <c r="Z41" s="732"/>
      <c r="AA41" s="732"/>
      <c r="AB41" s="732"/>
      <c r="AC41" s="732"/>
      <c r="AD41" s="732"/>
      <c r="AE41" s="732"/>
      <c r="AF41" s="732"/>
      <c r="AG41" s="732"/>
      <c r="AH41" s="732"/>
      <c r="AI41" s="732"/>
      <c r="AJ41" s="732"/>
      <c r="AK41" s="732"/>
      <c r="AL41" s="732"/>
      <c r="AM41" s="732"/>
      <c r="AN41" s="732"/>
      <c r="AO41" s="732"/>
      <c r="AP41" s="732"/>
      <c r="AQ41" s="732"/>
      <c r="AR41" s="732"/>
      <c r="AS41" s="732"/>
      <c r="AT41" s="732"/>
      <c r="AU41" s="732"/>
      <c r="AV41" s="732"/>
      <c r="AW41" s="732"/>
      <c r="AX41" s="732"/>
      <c r="AY41" s="732"/>
      <c r="AZ41" s="732"/>
      <c r="BA41" s="732"/>
      <c r="BB41" s="733"/>
    </row>
    <row r="42" spans="1:54" ht="36" customHeight="1" x14ac:dyDescent="0.2">
      <c r="A42" s="772"/>
      <c r="B42" s="772"/>
      <c r="C42" s="772"/>
      <c r="D42" s="772"/>
      <c r="E42" s="772"/>
      <c r="F42" s="772"/>
      <c r="G42" s="783"/>
      <c r="H42" s="718" t="s">
        <v>16</v>
      </c>
      <c r="I42" s="712"/>
      <c r="J42" s="712"/>
      <c r="K42" s="712"/>
      <c r="L42" s="712"/>
      <c r="M42" s="712"/>
      <c r="N42" s="712"/>
      <c r="O42" s="712"/>
      <c r="P42" s="712"/>
      <c r="Q42" s="712"/>
      <c r="R42" s="712"/>
      <c r="S42" s="712"/>
      <c r="T42" s="712"/>
      <c r="U42" s="712"/>
      <c r="V42" s="712"/>
      <c r="W42" s="712"/>
      <c r="X42" s="712"/>
      <c r="Y42" s="712"/>
      <c r="Z42" s="722">
        <v>0</v>
      </c>
      <c r="AA42" s="723"/>
      <c r="AB42" s="724"/>
      <c r="AC42" s="786">
        <f>AX84*Z42*AH42</f>
        <v>0</v>
      </c>
      <c r="AD42" s="786"/>
      <c r="AE42" s="786"/>
      <c r="AF42" s="786"/>
      <c r="AG42" s="787"/>
      <c r="AH42" s="788">
        <v>1</v>
      </c>
      <c r="AI42" s="789"/>
      <c r="AJ42" s="789"/>
      <c r="AK42" s="789"/>
      <c r="AL42" s="789"/>
      <c r="AM42" s="790"/>
      <c r="AN42" s="791">
        <f>AC42/U13</f>
        <v>0</v>
      </c>
      <c r="AO42" s="786"/>
      <c r="AP42" s="786"/>
      <c r="AQ42" s="786"/>
      <c r="AR42" s="787"/>
      <c r="AS42" s="788" t="s">
        <v>17</v>
      </c>
      <c r="AT42" s="789"/>
      <c r="AU42" s="789"/>
      <c r="AV42" s="789"/>
      <c r="AW42" s="790"/>
      <c r="AX42" s="791" t="s">
        <v>17</v>
      </c>
      <c r="AY42" s="786"/>
      <c r="AZ42" s="786"/>
      <c r="BA42" s="786"/>
      <c r="BB42" s="787"/>
    </row>
    <row r="43" spans="1:54" s="165" customFormat="1" ht="0.75" hidden="1" customHeight="1" x14ac:dyDescent="0.2">
      <c r="A43" s="751"/>
      <c r="B43" s="751"/>
      <c r="C43" s="751"/>
      <c r="D43" s="751"/>
      <c r="E43" s="751"/>
      <c r="F43" s="751"/>
      <c r="G43" s="752"/>
      <c r="H43" s="719"/>
      <c r="I43" s="704"/>
      <c r="J43" s="704"/>
      <c r="K43" s="704"/>
      <c r="L43" s="704"/>
      <c r="M43" s="704"/>
      <c r="N43" s="704"/>
      <c r="O43" s="704"/>
      <c r="P43" s="704"/>
      <c r="Q43" s="704"/>
      <c r="R43" s="704"/>
      <c r="S43" s="704"/>
      <c r="T43" s="704"/>
      <c r="U43" s="704"/>
      <c r="V43" s="704"/>
      <c r="W43" s="704"/>
      <c r="X43" s="704"/>
      <c r="Y43" s="704"/>
      <c r="Z43" s="725"/>
      <c r="AA43" s="726"/>
      <c r="AB43" s="727"/>
      <c r="AC43" s="704"/>
      <c r="AD43" s="704"/>
      <c r="AE43" s="704"/>
      <c r="AF43" s="704"/>
      <c r="AG43" s="735"/>
      <c r="AH43" s="511"/>
      <c r="AI43" s="512"/>
      <c r="AJ43" s="512"/>
      <c r="AK43" s="512"/>
      <c r="AL43" s="512"/>
      <c r="AM43" s="513"/>
      <c r="AN43" s="714"/>
      <c r="AO43" s="704"/>
      <c r="AP43" s="704"/>
      <c r="AQ43" s="704"/>
      <c r="AR43" s="735"/>
      <c r="AS43" s="511"/>
      <c r="AT43" s="512"/>
      <c r="AU43" s="512"/>
      <c r="AV43" s="512"/>
      <c r="AW43" s="513"/>
      <c r="AX43" s="714"/>
      <c r="AY43" s="704"/>
      <c r="AZ43" s="704"/>
      <c r="BA43" s="704"/>
      <c r="BB43" s="735"/>
    </row>
    <row r="44" spans="1:54" ht="18" customHeight="1" x14ac:dyDescent="0.2">
      <c r="A44" s="751"/>
      <c r="B44" s="751"/>
      <c r="C44" s="751"/>
      <c r="D44" s="751"/>
      <c r="E44" s="751"/>
      <c r="F44" s="751"/>
      <c r="G44" s="752"/>
      <c r="H44" s="719"/>
      <c r="I44" s="704"/>
      <c r="J44" s="704"/>
      <c r="K44" s="704"/>
      <c r="L44" s="704"/>
      <c r="M44" s="704"/>
      <c r="N44" s="704"/>
      <c r="O44" s="704"/>
      <c r="P44" s="704"/>
      <c r="Q44" s="704"/>
      <c r="R44" s="704"/>
      <c r="S44" s="704"/>
      <c r="T44" s="704"/>
      <c r="U44" s="704"/>
      <c r="V44" s="704"/>
      <c r="W44" s="704"/>
      <c r="X44" s="704"/>
      <c r="Y44" s="704"/>
      <c r="Z44" s="725"/>
      <c r="AA44" s="726"/>
      <c r="AB44" s="727"/>
      <c r="AC44" s="669"/>
      <c r="AD44" s="669"/>
      <c r="AE44" s="669"/>
      <c r="AF44" s="669"/>
      <c r="AG44" s="670"/>
      <c r="AH44" s="736"/>
      <c r="AI44" s="737"/>
      <c r="AJ44" s="737"/>
      <c r="AK44" s="737"/>
      <c r="AL44" s="737"/>
      <c r="AM44" s="738"/>
      <c r="AN44" s="716"/>
      <c r="AO44" s="669"/>
      <c r="AP44" s="669"/>
      <c r="AQ44" s="669"/>
      <c r="AR44" s="670"/>
      <c r="AS44" s="736"/>
      <c r="AT44" s="737"/>
      <c r="AU44" s="737"/>
      <c r="AV44" s="737"/>
      <c r="AW44" s="738"/>
      <c r="AX44" s="716"/>
      <c r="AY44" s="669"/>
      <c r="AZ44" s="669"/>
      <c r="BA44" s="669"/>
      <c r="BB44" s="670"/>
    </row>
    <row r="45" spans="1:54" s="165" customFormat="1" ht="21" hidden="1" customHeight="1" x14ac:dyDescent="0.2">
      <c r="A45" s="751"/>
      <c r="B45" s="751"/>
      <c r="C45" s="751"/>
      <c r="D45" s="751"/>
      <c r="E45" s="751"/>
      <c r="F45" s="751"/>
      <c r="G45" s="752"/>
      <c r="H45" s="719"/>
      <c r="I45" s="704"/>
      <c r="J45" s="704"/>
      <c r="K45" s="704"/>
      <c r="L45" s="704"/>
      <c r="M45" s="704"/>
      <c r="N45" s="704"/>
      <c r="O45" s="704"/>
      <c r="P45" s="704"/>
      <c r="Q45" s="704"/>
      <c r="R45" s="704"/>
      <c r="S45" s="704"/>
      <c r="T45" s="704"/>
      <c r="U45" s="704"/>
      <c r="V45" s="704"/>
      <c r="W45" s="704"/>
      <c r="X45" s="704"/>
      <c r="Y45" s="704"/>
      <c r="Z45" s="725"/>
      <c r="AA45" s="726"/>
      <c r="AB45" s="727"/>
      <c r="AC45" s="86"/>
      <c r="AD45" s="84"/>
      <c r="AE45" s="84"/>
      <c r="AF45" s="84"/>
      <c r="AG45" s="85"/>
      <c r="AH45" s="180"/>
      <c r="AI45" s="181"/>
      <c r="AJ45" s="181"/>
      <c r="AK45" s="181"/>
      <c r="AL45" s="181"/>
      <c r="AM45" s="182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84"/>
    </row>
    <row r="46" spans="1:54" s="165" customFormat="1" ht="21.75" hidden="1" customHeight="1" x14ac:dyDescent="0.2">
      <c r="A46" s="751"/>
      <c r="B46" s="751"/>
      <c r="C46" s="751"/>
      <c r="D46" s="751"/>
      <c r="E46" s="751"/>
      <c r="F46" s="751"/>
      <c r="G46" s="752"/>
      <c r="H46" s="719"/>
      <c r="I46" s="704"/>
      <c r="J46" s="704"/>
      <c r="K46" s="704"/>
      <c r="L46" s="704"/>
      <c r="M46" s="704"/>
      <c r="N46" s="704"/>
      <c r="O46" s="704"/>
      <c r="P46" s="704"/>
      <c r="Q46" s="704"/>
      <c r="R46" s="704"/>
      <c r="S46" s="704"/>
      <c r="T46" s="704"/>
      <c r="U46" s="704"/>
      <c r="V46" s="704"/>
      <c r="W46" s="704"/>
      <c r="X46" s="704"/>
      <c r="Y46" s="704"/>
      <c r="Z46" s="725"/>
      <c r="AA46" s="726"/>
      <c r="AB46" s="727"/>
      <c r="AC46" s="86"/>
      <c r="AD46" s="84"/>
      <c r="AE46" s="84"/>
      <c r="AF46" s="84"/>
      <c r="AG46" s="85"/>
      <c r="AH46" s="180"/>
      <c r="AI46" s="181"/>
      <c r="AJ46" s="181"/>
      <c r="AK46" s="181"/>
      <c r="AL46" s="181"/>
      <c r="AM46" s="182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84"/>
    </row>
    <row r="47" spans="1:54" s="165" customFormat="1" ht="24" hidden="1" customHeight="1" x14ac:dyDescent="0.2">
      <c r="A47" s="751"/>
      <c r="B47" s="751"/>
      <c r="C47" s="751"/>
      <c r="D47" s="751"/>
      <c r="E47" s="751"/>
      <c r="F47" s="751"/>
      <c r="G47" s="752"/>
      <c r="H47" s="719"/>
      <c r="I47" s="704"/>
      <c r="J47" s="704"/>
      <c r="K47" s="704"/>
      <c r="L47" s="704"/>
      <c r="M47" s="704"/>
      <c r="N47" s="704"/>
      <c r="O47" s="704"/>
      <c r="P47" s="704"/>
      <c r="Q47" s="704"/>
      <c r="R47" s="704"/>
      <c r="S47" s="704"/>
      <c r="T47" s="704"/>
      <c r="U47" s="704"/>
      <c r="V47" s="704"/>
      <c r="W47" s="704"/>
      <c r="X47" s="704"/>
      <c r="Y47" s="704"/>
      <c r="Z47" s="725"/>
      <c r="AA47" s="726"/>
      <c r="AB47" s="727"/>
      <c r="AC47" s="86"/>
      <c r="AD47" s="84"/>
      <c r="AE47" s="84"/>
      <c r="AF47" s="84"/>
      <c r="AG47" s="85"/>
      <c r="AH47" s="180"/>
      <c r="AI47" s="181"/>
      <c r="AJ47" s="181"/>
      <c r="AK47" s="181"/>
      <c r="AL47" s="181"/>
      <c r="AM47" s="182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84"/>
    </row>
    <row r="48" spans="1:54" s="165" customFormat="1" ht="18" hidden="1" customHeight="1" x14ac:dyDescent="0.2">
      <c r="A48" s="751"/>
      <c r="B48" s="751"/>
      <c r="C48" s="751"/>
      <c r="D48" s="751"/>
      <c r="E48" s="751"/>
      <c r="F48" s="751"/>
      <c r="G48" s="752"/>
      <c r="H48" s="719"/>
      <c r="I48" s="704"/>
      <c r="J48" s="704"/>
      <c r="K48" s="704"/>
      <c r="L48" s="704"/>
      <c r="M48" s="704"/>
      <c r="N48" s="704"/>
      <c r="O48" s="704"/>
      <c r="P48" s="704"/>
      <c r="Q48" s="704"/>
      <c r="R48" s="704"/>
      <c r="S48" s="704"/>
      <c r="T48" s="704"/>
      <c r="U48" s="704"/>
      <c r="V48" s="704"/>
      <c r="W48" s="704"/>
      <c r="X48" s="704"/>
      <c r="Y48" s="704"/>
      <c r="Z48" s="725"/>
      <c r="AA48" s="726"/>
      <c r="AB48" s="727"/>
      <c r="AC48" s="86"/>
      <c r="AD48" s="84"/>
      <c r="AE48" s="84"/>
      <c r="AF48" s="84"/>
      <c r="AG48" s="85"/>
      <c r="AH48" s="180"/>
      <c r="AI48" s="181"/>
      <c r="AJ48" s="181"/>
      <c r="AK48" s="181"/>
      <c r="AL48" s="181"/>
      <c r="AM48" s="182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84"/>
    </row>
    <row r="49" spans="1:54" s="165" customFormat="1" ht="17.25" hidden="1" customHeight="1" x14ac:dyDescent="0.2">
      <c r="A49" s="751"/>
      <c r="B49" s="751"/>
      <c r="C49" s="751"/>
      <c r="D49" s="751"/>
      <c r="E49" s="751"/>
      <c r="F49" s="751"/>
      <c r="G49" s="752"/>
      <c r="H49" s="719"/>
      <c r="I49" s="704"/>
      <c r="J49" s="704"/>
      <c r="K49" s="704"/>
      <c r="L49" s="704"/>
      <c r="M49" s="704"/>
      <c r="N49" s="704"/>
      <c r="O49" s="704"/>
      <c r="P49" s="704"/>
      <c r="Q49" s="704"/>
      <c r="R49" s="704"/>
      <c r="S49" s="704"/>
      <c r="T49" s="704"/>
      <c r="U49" s="704"/>
      <c r="V49" s="704"/>
      <c r="W49" s="704"/>
      <c r="X49" s="704"/>
      <c r="Y49" s="704"/>
      <c r="Z49" s="725"/>
      <c r="AA49" s="726"/>
      <c r="AB49" s="727"/>
      <c r="AC49" s="86"/>
      <c r="AD49" s="84"/>
      <c r="AE49" s="84"/>
      <c r="AF49" s="84"/>
      <c r="AG49" s="85"/>
      <c r="AH49" s="180"/>
      <c r="AI49" s="181"/>
      <c r="AJ49" s="181"/>
      <c r="AK49" s="181"/>
      <c r="AL49" s="181"/>
      <c r="AM49" s="182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84"/>
    </row>
    <row r="50" spans="1:54" s="165" customFormat="1" ht="14.25" hidden="1" customHeight="1" x14ac:dyDescent="0.2">
      <c r="A50" s="751"/>
      <c r="B50" s="751"/>
      <c r="C50" s="751"/>
      <c r="D50" s="751"/>
      <c r="E50" s="751"/>
      <c r="F50" s="751"/>
      <c r="G50" s="752"/>
      <c r="H50" s="719"/>
      <c r="I50" s="704"/>
      <c r="J50" s="704"/>
      <c r="K50" s="704"/>
      <c r="L50" s="704"/>
      <c r="M50" s="704"/>
      <c r="N50" s="704"/>
      <c r="O50" s="704"/>
      <c r="P50" s="704"/>
      <c r="Q50" s="704"/>
      <c r="R50" s="704"/>
      <c r="S50" s="704"/>
      <c r="T50" s="704"/>
      <c r="U50" s="704"/>
      <c r="V50" s="704"/>
      <c r="W50" s="704"/>
      <c r="X50" s="704"/>
      <c r="Y50" s="704"/>
      <c r="Z50" s="725"/>
      <c r="AA50" s="726"/>
      <c r="AB50" s="727"/>
      <c r="AC50" s="86"/>
      <c r="AD50" s="84"/>
      <c r="AE50" s="84"/>
      <c r="AF50" s="84"/>
      <c r="AG50" s="85"/>
      <c r="AH50" s="180"/>
      <c r="AI50" s="181"/>
      <c r="AJ50" s="181"/>
      <c r="AK50" s="181"/>
      <c r="AL50" s="181"/>
      <c r="AM50" s="182"/>
      <c r="AN50" s="86"/>
      <c r="AO50" s="84"/>
      <c r="AP50" s="84"/>
      <c r="AQ50" s="84"/>
      <c r="AR50" s="85"/>
      <c r="AS50" s="180"/>
      <c r="AT50" s="181"/>
      <c r="AU50" s="181"/>
      <c r="AV50" s="181"/>
      <c r="AW50" s="182"/>
      <c r="AX50" s="86"/>
      <c r="AY50" s="84"/>
      <c r="AZ50" s="84"/>
      <c r="BA50" s="84"/>
      <c r="BB50" s="84"/>
    </row>
    <row r="51" spans="1:54" ht="0.75" customHeight="1" thickBot="1" x14ac:dyDescent="0.25">
      <c r="A51" s="784"/>
      <c r="B51" s="784"/>
      <c r="C51" s="784"/>
      <c r="D51" s="784"/>
      <c r="E51" s="784"/>
      <c r="F51" s="784"/>
      <c r="G51" s="785"/>
      <c r="H51" s="720"/>
      <c r="I51" s="721"/>
      <c r="J51" s="721"/>
      <c r="K51" s="721"/>
      <c r="L51" s="721"/>
      <c r="M51" s="721"/>
      <c r="N51" s="721"/>
      <c r="O51" s="721"/>
      <c r="P51" s="721"/>
      <c r="Q51" s="721"/>
      <c r="R51" s="721"/>
      <c r="S51" s="721"/>
      <c r="T51" s="721"/>
      <c r="U51" s="721"/>
      <c r="V51" s="721"/>
      <c r="W51" s="721"/>
      <c r="X51" s="721"/>
      <c r="Y51" s="721"/>
      <c r="Z51" s="728"/>
      <c r="AA51" s="729"/>
      <c r="AB51" s="730"/>
      <c r="AC51" s="98"/>
      <c r="AD51" s="155"/>
      <c r="AE51" s="155"/>
      <c r="AF51" s="155"/>
      <c r="AG51" s="99"/>
      <c r="AH51" s="183"/>
      <c r="AI51" s="184"/>
      <c r="AJ51" s="184"/>
      <c r="AK51" s="184"/>
      <c r="AL51" s="184"/>
      <c r="AM51" s="185"/>
      <c r="AN51" s="98"/>
      <c r="AO51" s="155"/>
      <c r="AP51" s="155"/>
      <c r="AQ51" s="155"/>
      <c r="AR51" s="99"/>
      <c r="AS51" s="183"/>
      <c r="AT51" s="184"/>
      <c r="AU51" s="184"/>
      <c r="AV51" s="184"/>
      <c r="AW51" s="185"/>
      <c r="AX51" s="98"/>
      <c r="AY51" s="155"/>
      <c r="AZ51" s="155"/>
      <c r="BA51" s="155"/>
      <c r="BB51" s="155"/>
    </row>
    <row r="52" spans="1:54" s="165" customFormat="1" ht="11.25" customHeight="1" x14ac:dyDescent="0.2">
      <c r="A52" s="166"/>
      <c r="B52" s="166"/>
      <c r="C52" s="166"/>
      <c r="D52" s="166"/>
      <c r="E52" s="166"/>
      <c r="F52" s="166"/>
      <c r="G52" s="166"/>
      <c r="H52" s="617"/>
      <c r="I52" s="617"/>
      <c r="J52" s="617"/>
      <c r="K52" s="617"/>
      <c r="L52" s="164"/>
      <c r="M52" s="164"/>
      <c r="N52" s="164"/>
      <c r="O52" s="164"/>
      <c r="P52" s="164"/>
      <c r="Q52" s="186"/>
      <c r="R52" s="187" t="s">
        <v>18</v>
      </c>
      <c r="S52" s="163"/>
      <c r="T52" s="163"/>
      <c r="U52" s="162"/>
      <c r="V52" s="162"/>
      <c r="W52" s="162"/>
      <c r="X52" s="162"/>
      <c r="Y52" s="162"/>
      <c r="Z52" s="162"/>
      <c r="AA52" s="162"/>
      <c r="AB52" s="162"/>
      <c r="AC52" s="162"/>
      <c r="AD52" s="162" t="s">
        <v>19</v>
      </c>
      <c r="AE52" s="162" t="s">
        <v>20</v>
      </c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88"/>
      <c r="AS52" s="702">
        <f>SUM(AN42:AR51)</f>
        <v>0</v>
      </c>
      <c r="AT52" s="702"/>
      <c r="AU52" s="702"/>
      <c r="AV52" s="702"/>
      <c r="AW52" s="702"/>
      <c r="AX52" s="702">
        <f>SUM(AX42:BB45)</f>
        <v>0</v>
      </c>
      <c r="AY52" s="702"/>
      <c r="AZ52" s="702"/>
      <c r="BA52" s="702"/>
      <c r="BB52" s="703"/>
    </row>
    <row r="53" spans="1:54" s="165" customFormat="1" ht="11.25" customHeight="1" thickBot="1" x14ac:dyDescent="0.25">
      <c r="A53" s="166"/>
      <c r="B53" s="166"/>
      <c r="C53" s="166"/>
      <c r="D53" s="166"/>
      <c r="E53" s="166"/>
      <c r="F53" s="166"/>
      <c r="G53" s="166"/>
      <c r="H53" s="189"/>
      <c r="I53" s="189"/>
      <c r="J53" s="189"/>
      <c r="K53" s="189"/>
      <c r="L53" s="164"/>
      <c r="M53" s="164"/>
      <c r="N53" s="164"/>
      <c r="O53" s="164"/>
      <c r="P53" s="164"/>
      <c r="Q53" s="190"/>
      <c r="R53" s="175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 t="s">
        <v>19</v>
      </c>
      <c r="AE53" s="176" t="s">
        <v>21</v>
      </c>
      <c r="AF53" s="176"/>
      <c r="AG53" s="176"/>
      <c r="AH53" s="176"/>
      <c r="AI53" s="176"/>
      <c r="AJ53" s="176"/>
      <c r="AK53" s="176"/>
      <c r="AL53" s="176"/>
      <c r="AM53" s="176"/>
      <c r="AN53" s="176"/>
      <c r="AO53" s="630">
        <v>0.30199999999999999</v>
      </c>
      <c r="AP53" s="631"/>
      <c r="AQ53" s="631"/>
      <c r="AR53" s="632"/>
      <c r="AS53" s="463">
        <f>AS52*27.1%</f>
        <v>0</v>
      </c>
      <c r="AT53" s="463"/>
      <c r="AU53" s="463"/>
      <c r="AV53" s="463"/>
      <c r="AW53" s="463"/>
      <c r="AX53" s="463">
        <f>AX52*AO53</f>
        <v>0</v>
      </c>
      <c r="AY53" s="463"/>
      <c r="AZ53" s="463"/>
      <c r="BA53" s="463"/>
      <c r="BB53" s="633"/>
    </row>
    <row r="54" spans="1:54" s="165" customFormat="1" ht="8.25" customHeight="1" thickBot="1" x14ac:dyDescent="0.25">
      <c r="A54" s="166"/>
      <c r="B54" s="166"/>
      <c r="C54" s="166"/>
      <c r="D54" s="166"/>
      <c r="E54" s="166"/>
      <c r="F54" s="166"/>
      <c r="G54" s="166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91"/>
      <c r="AA54" s="191"/>
      <c r="AB54" s="191"/>
      <c r="AC54" s="191"/>
      <c r="AD54" s="191"/>
      <c r="AE54" s="192"/>
      <c r="AF54" s="192"/>
      <c r="AG54" s="192"/>
      <c r="AH54" s="192"/>
      <c r="AI54" s="191"/>
      <c r="AJ54" s="191"/>
      <c r="AK54" s="191"/>
      <c r="AL54" s="191"/>
      <c r="AM54" s="191"/>
      <c r="AN54" s="191"/>
      <c r="AO54" s="191"/>
      <c r="AP54" s="191"/>
      <c r="AQ54" s="191"/>
      <c r="AR54" s="191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</row>
    <row r="55" spans="1:54" s="165" customFormat="1" ht="12" customHeight="1" x14ac:dyDescent="0.2">
      <c r="A55" s="687" t="s">
        <v>8</v>
      </c>
      <c r="B55" s="688"/>
      <c r="C55" s="688"/>
      <c r="D55" s="688"/>
      <c r="E55" s="688"/>
      <c r="F55" s="688"/>
      <c r="G55" s="689"/>
      <c r="H55" s="696" t="s">
        <v>9</v>
      </c>
      <c r="I55" s="688"/>
      <c r="J55" s="688"/>
      <c r="K55" s="688"/>
      <c r="L55" s="688"/>
      <c r="M55" s="688"/>
      <c r="N55" s="688"/>
      <c r="O55" s="688"/>
      <c r="P55" s="688"/>
      <c r="Q55" s="688"/>
      <c r="R55" s="688"/>
      <c r="S55" s="688"/>
      <c r="T55" s="688"/>
      <c r="U55" s="688"/>
      <c r="V55" s="688"/>
      <c r="W55" s="688"/>
      <c r="X55" s="688"/>
      <c r="Y55" s="688"/>
      <c r="Z55" s="688"/>
      <c r="AA55" s="688"/>
      <c r="AB55" s="689"/>
      <c r="AC55" s="696" t="s">
        <v>10</v>
      </c>
      <c r="AD55" s="688"/>
      <c r="AE55" s="688"/>
      <c r="AF55" s="688"/>
      <c r="AG55" s="689"/>
      <c r="AH55" s="672" t="s">
        <v>24</v>
      </c>
      <c r="AI55" s="672"/>
      <c r="AJ55" s="672"/>
      <c r="AK55" s="672"/>
      <c r="AL55" s="672"/>
      <c r="AM55" s="699"/>
      <c r="AN55" s="671" t="s">
        <v>12</v>
      </c>
      <c r="AO55" s="672"/>
      <c r="AP55" s="672"/>
      <c r="AQ55" s="672"/>
      <c r="AR55" s="699"/>
      <c r="AS55" s="671" t="s">
        <v>13</v>
      </c>
      <c r="AT55" s="672"/>
      <c r="AU55" s="672"/>
      <c r="AV55" s="672"/>
      <c r="AW55" s="673"/>
      <c r="AX55" s="671" t="s">
        <v>14</v>
      </c>
      <c r="AY55" s="672"/>
      <c r="AZ55" s="672"/>
      <c r="BA55" s="672"/>
      <c r="BB55" s="673"/>
    </row>
    <row r="56" spans="1:54" s="165" customFormat="1" ht="12" customHeight="1" x14ac:dyDescent="0.2">
      <c r="A56" s="690"/>
      <c r="B56" s="691"/>
      <c r="C56" s="691"/>
      <c r="D56" s="691"/>
      <c r="E56" s="691"/>
      <c r="F56" s="691"/>
      <c r="G56" s="692"/>
      <c r="H56" s="697"/>
      <c r="I56" s="691"/>
      <c r="J56" s="691"/>
      <c r="K56" s="691"/>
      <c r="L56" s="691"/>
      <c r="M56" s="691"/>
      <c r="N56" s="691"/>
      <c r="O56" s="691"/>
      <c r="P56" s="691"/>
      <c r="Q56" s="691"/>
      <c r="R56" s="691"/>
      <c r="S56" s="691"/>
      <c r="T56" s="691"/>
      <c r="U56" s="691"/>
      <c r="V56" s="691"/>
      <c r="W56" s="691"/>
      <c r="X56" s="691"/>
      <c r="Y56" s="691"/>
      <c r="Z56" s="691"/>
      <c r="AA56" s="691"/>
      <c r="AB56" s="692"/>
      <c r="AC56" s="697"/>
      <c r="AD56" s="691"/>
      <c r="AE56" s="691"/>
      <c r="AF56" s="691"/>
      <c r="AG56" s="692"/>
      <c r="AH56" s="675"/>
      <c r="AI56" s="675"/>
      <c r="AJ56" s="675"/>
      <c r="AK56" s="675"/>
      <c r="AL56" s="675"/>
      <c r="AM56" s="700"/>
      <c r="AN56" s="674"/>
      <c r="AO56" s="675"/>
      <c r="AP56" s="675"/>
      <c r="AQ56" s="675"/>
      <c r="AR56" s="700"/>
      <c r="AS56" s="674"/>
      <c r="AT56" s="675"/>
      <c r="AU56" s="675"/>
      <c r="AV56" s="675"/>
      <c r="AW56" s="676"/>
      <c r="AX56" s="674"/>
      <c r="AY56" s="675"/>
      <c r="AZ56" s="675"/>
      <c r="BA56" s="675"/>
      <c r="BB56" s="676"/>
    </row>
    <row r="57" spans="1:54" s="164" customFormat="1" ht="13.5" customHeight="1" thickBot="1" x14ac:dyDescent="0.25">
      <c r="A57" s="693"/>
      <c r="B57" s="694"/>
      <c r="C57" s="694"/>
      <c r="D57" s="694"/>
      <c r="E57" s="694"/>
      <c r="F57" s="694"/>
      <c r="G57" s="695"/>
      <c r="H57" s="698"/>
      <c r="I57" s="694"/>
      <c r="J57" s="694"/>
      <c r="K57" s="694"/>
      <c r="L57" s="694"/>
      <c r="M57" s="694"/>
      <c r="N57" s="694"/>
      <c r="O57" s="694"/>
      <c r="P57" s="694"/>
      <c r="Q57" s="694"/>
      <c r="R57" s="694"/>
      <c r="S57" s="694"/>
      <c r="T57" s="694"/>
      <c r="U57" s="694"/>
      <c r="V57" s="694"/>
      <c r="W57" s="694"/>
      <c r="X57" s="694"/>
      <c r="Y57" s="694"/>
      <c r="Z57" s="694"/>
      <c r="AA57" s="694"/>
      <c r="AB57" s="695"/>
      <c r="AC57" s="698"/>
      <c r="AD57" s="694"/>
      <c r="AE57" s="694"/>
      <c r="AF57" s="694"/>
      <c r="AG57" s="695"/>
      <c r="AH57" s="678"/>
      <c r="AI57" s="678"/>
      <c r="AJ57" s="678"/>
      <c r="AK57" s="678"/>
      <c r="AL57" s="678"/>
      <c r="AM57" s="701"/>
      <c r="AN57" s="677"/>
      <c r="AO57" s="678"/>
      <c r="AP57" s="678"/>
      <c r="AQ57" s="678"/>
      <c r="AR57" s="701"/>
      <c r="AS57" s="677"/>
      <c r="AT57" s="678"/>
      <c r="AU57" s="678"/>
      <c r="AV57" s="678"/>
      <c r="AW57" s="679"/>
      <c r="AX57" s="677"/>
      <c r="AY57" s="678"/>
      <c r="AZ57" s="678"/>
      <c r="BA57" s="678"/>
      <c r="BB57" s="679"/>
    </row>
    <row r="58" spans="1:54" ht="25.5" customHeight="1" thickBot="1" x14ac:dyDescent="0.25">
      <c r="A58" s="532" t="s">
        <v>25</v>
      </c>
      <c r="B58" s="533"/>
      <c r="C58" s="533"/>
      <c r="D58" s="533"/>
      <c r="E58" s="533"/>
      <c r="F58" s="533"/>
      <c r="G58" s="533"/>
      <c r="H58" s="533"/>
      <c r="I58" s="533"/>
      <c r="J58" s="533"/>
      <c r="K58" s="533"/>
      <c r="L58" s="533"/>
      <c r="M58" s="533"/>
      <c r="N58" s="533"/>
      <c r="O58" s="533"/>
      <c r="P58" s="533"/>
      <c r="Q58" s="533"/>
      <c r="R58" s="533"/>
      <c r="S58" s="533"/>
      <c r="T58" s="533"/>
      <c r="U58" s="533"/>
      <c r="V58" s="533"/>
      <c r="W58" s="533"/>
      <c r="X58" s="533"/>
      <c r="Y58" s="533"/>
      <c r="Z58" s="533"/>
      <c r="AA58" s="533"/>
      <c r="AB58" s="533"/>
      <c r="AC58" s="533"/>
      <c r="AD58" s="533"/>
      <c r="AE58" s="533"/>
      <c r="AF58" s="533"/>
      <c r="AG58" s="533"/>
      <c r="AH58" s="533"/>
      <c r="AI58" s="533"/>
      <c r="AJ58" s="533"/>
      <c r="AK58" s="533"/>
      <c r="AL58" s="533"/>
      <c r="AM58" s="533"/>
      <c r="AN58" s="533"/>
      <c r="AO58" s="533"/>
      <c r="AP58" s="533"/>
      <c r="AQ58" s="533"/>
      <c r="AR58" s="533"/>
      <c r="AS58" s="533"/>
      <c r="AT58" s="533"/>
      <c r="AU58" s="533"/>
      <c r="AV58" s="533"/>
      <c r="AW58" s="533"/>
      <c r="AX58" s="533"/>
      <c r="AY58" s="533"/>
      <c r="AZ58" s="533"/>
      <c r="BA58" s="533"/>
      <c r="BB58" s="680"/>
    </row>
    <row r="59" spans="1:54" ht="13.5" hidden="1" customHeight="1" x14ac:dyDescent="0.2">
      <c r="A59" s="660" t="s">
        <v>324</v>
      </c>
      <c r="B59" s="661"/>
      <c r="C59" s="661"/>
      <c r="D59" s="661"/>
      <c r="E59" s="661"/>
      <c r="F59" s="661"/>
      <c r="G59" s="661"/>
      <c r="H59" s="92"/>
      <c r="I59" s="93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4" t="e">
        <f>#REF!</f>
        <v>#REF!</v>
      </c>
      <c r="AA59" s="95"/>
      <c r="AB59" s="96"/>
      <c r="AC59" s="662">
        <f>((R60+(R60*U62)+(R60*Q62)+(R60*M62)+(R60*I62))*Z62)</f>
        <v>32175</v>
      </c>
      <c r="AD59" s="662"/>
      <c r="AE59" s="662"/>
      <c r="AF59" s="662"/>
      <c r="AG59" s="662"/>
      <c r="AH59" s="662">
        <v>75</v>
      </c>
      <c r="AI59" s="662"/>
      <c r="AJ59" s="662"/>
      <c r="AK59" s="662"/>
      <c r="AL59" s="662"/>
      <c r="AM59" s="662"/>
      <c r="AN59" s="662">
        <f>AC59/AH59</f>
        <v>429</v>
      </c>
      <c r="AO59" s="662"/>
      <c r="AP59" s="662"/>
      <c r="AQ59" s="662"/>
      <c r="AR59" s="662"/>
      <c r="AS59" s="663">
        <f>U13</f>
        <v>36</v>
      </c>
      <c r="AT59" s="663"/>
      <c r="AU59" s="663"/>
      <c r="AV59" s="663"/>
      <c r="AW59" s="663"/>
      <c r="AX59" s="662">
        <f>AN59*AS59</f>
        <v>15444</v>
      </c>
      <c r="AY59" s="662"/>
      <c r="AZ59" s="662"/>
      <c r="BA59" s="662"/>
      <c r="BB59" s="684"/>
    </row>
    <row r="60" spans="1:54" s="165" customFormat="1" ht="20.25" customHeight="1" x14ac:dyDescent="0.2">
      <c r="A60" s="652"/>
      <c r="B60" s="653"/>
      <c r="C60" s="653"/>
      <c r="D60" s="653"/>
      <c r="E60" s="653"/>
      <c r="F60" s="653"/>
      <c r="G60" s="653"/>
      <c r="H60" s="714" t="s">
        <v>26</v>
      </c>
      <c r="I60" s="704"/>
      <c r="J60" s="704"/>
      <c r="K60" s="704"/>
      <c r="L60" s="704"/>
      <c r="M60" s="704"/>
      <c r="N60" s="669">
        <v>1.5</v>
      </c>
      <c r="O60" s="669"/>
      <c r="P60" s="669"/>
      <c r="Q60" s="84" t="s">
        <v>27</v>
      </c>
      <c r="R60" s="669">
        <f>$AX$20*N60</f>
        <v>8250</v>
      </c>
      <c r="S60" s="669"/>
      <c r="T60" s="669"/>
      <c r="U60" s="669"/>
      <c r="V60" s="669"/>
      <c r="W60" s="84" t="s">
        <v>28</v>
      </c>
      <c r="X60" s="84" t="s">
        <v>29</v>
      </c>
      <c r="Y60" s="84"/>
      <c r="Z60" s="84"/>
      <c r="AA60" s="84"/>
      <c r="AB60" s="85"/>
      <c r="AC60" s="601"/>
      <c r="AD60" s="601"/>
      <c r="AE60" s="601"/>
      <c r="AF60" s="601"/>
      <c r="AG60" s="601"/>
      <c r="AH60" s="601"/>
      <c r="AI60" s="601"/>
      <c r="AJ60" s="601"/>
      <c r="AK60" s="601"/>
      <c r="AL60" s="601"/>
      <c r="AM60" s="601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4.5" customHeight="1" x14ac:dyDescent="0.2">
      <c r="A61" s="652"/>
      <c r="B61" s="653"/>
      <c r="C61" s="653"/>
      <c r="D61" s="653"/>
      <c r="E61" s="653"/>
      <c r="F61" s="653"/>
      <c r="G61" s="653"/>
      <c r="H61" s="86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5"/>
      <c r="AC61" s="601"/>
      <c r="AD61" s="601"/>
      <c r="AE61" s="601"/>
      <c r="AF61" s="601"/>
      <c r="AG61" s="601"/>
      <c r="AH61" s="601"/>
      <c r="AI61" s="601"/>
      <c r="AJ61" s="601"/>
      <c r="AK61" s="601"/>
      <c r="AL61" s="601"/>
      <c r="AM61" s="601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1.25" customHeight="1" x14ac:dyDescent="0.2">
      <c r="A62" s="652"/>
      <c r="B62" s="653"/>
      <c r="C62" s="653"/>
      <c r="D62" s="653"/>
      <c r="E62" s="653"/>
      <c r="F62" s="653"/>
      <c r="G62" s="653"/>
      <c r="H62" s="97" t="s">
        <v>30</v>
      </c>
      <c r="I62" s="792">
        <v>0.2</v>
      </c>
      <c r="J62" s="792"/>
      <c r="K62" s="792"/>
      <c r="L62" s="84" t="s">
        <v>79</v>
      </c>
      <c r="M62" s="792">
        <v>0</v>
      </c>
      <c r="N62" s="792"/>
      <c r="O62" s="792"/>
      <c r="P62" s="84" t="s">
        <v>79</v>
      </c>
      <c r="Q62" s="792">
        <v>0.3</v>
      </c>
      <c r="R62" s="792"/>
      <c r="S62" s="792"/>
      <c r="T62" s="84" t="s">
        <v>79</v>
      </c>
      <c r="U62" s="792">
        <v>0</v>
      </c>
      <c r="V62" s="792"/>
      <c r="W62" s="792"/>
      <c r="X62" s="84" t="s">
        <v>31</v>
      </c>
      <c r="Y62" s="84" t="s">
        <v>28</v>
      </c>
      <c r="Z62" s="669">
        <v>2.6</v>
      </c>
      <c r="AA62" s="669"/>
      <c r="AB62" s="670"/>
      <c r="AC62" s="601"/>
      <c r="AD62" s="601"/>
      <c r="AE62" s="601"/>
      <c r="AF62" s="601"/>
      <c r="AG62" s="601"/>
      <c r="AH62" s="601"/>
      <c r="AI62" s="601"/>
      <c r="AJ62" s="601"/>
      <c r="AK62" s="601"/>
      <c r="AL62" s="601"/>
      <c r="AM62" s="601"/>
      <c r="AN62" s="601"/>
      <c r="AO62" s="601"/>
      <c r="AP62" s="601"/>
      <c r="AQ62" s="601"/>
      <c r="AR62" s="601"/>
      <c r="AS62" s="664"/>
      <c r="AT62" s="664"/>
      <c r="AU62" s="664"/>
      <c r="AV62" s="664"/>
      <c r="AW62" s="664"/>
      <c r="AX62" s="601"/>
      <c r="AY62" s="601"/>
      <c r="AZ62" s="601"/>
      <c r="BA62" s="601"/>
      <c r="BB62" s="655"/>
    </row>
    <row r="63" spans="1:54" s="165" customFormat="1" ht="15" customHeight="1" thickBot="1" x14ac:dyDescent="0.25">
      <c r="A63" s="652"/>
      <c r="B63" s="653"/>
      <c r="C63" s="653"/>
      <c r="D63" s="653"/>
      <c r="E63" s="653"/>
      <c r="F63" s="653"/>
      <c r="G63" s="653"/>
      <c r="H63" s="98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99"/>
      <c r="AC63" s="601"/>
      <c r="AD63" s="601"/>
      <c r="AE63" s="601"/>
      <c r="AF63" s="601"/>
      <c r="AG63" s="601"/>
      <c r="AH63" s="601"/>
      <c r="AI63" s="601"/>
      <c r="AJ63" s="601"/>
      <c r="AK63" s="601"/>
      <c r="AL63" s="601"/>
      <c r="AM63" s="601"/>
      <c r="AN63" s="601"/>
      <c r="AO63" s="601"/>
      <c r="AP63" s="601"/>
      <c r="AQ63" s="601"/>
      <c r="AR63" s="601"/>
      <c r="AS63" s="664"/>
      <c r="AT63" s="664"/>
      <c r="AU63" s="664"/>
      <c r="AV63" s="664"/>
      <c r="AW63" s="664"/>
      <c r="AX63" s="601"/>
      <c r="AY63" s="601"/>
      <c r="AZ63" s="601"/>
      <c r="BA63" s="601"/>
      <c r="BB63" s="655"/>
    </row>
    <row r="64" spans="1:54" ht="5.0999999999999996" hidden="1" customHeight="1" x14ac:dyDescent="0.2">
      <c r="A64" s="652"/>
      <c r="B64" s="653"/>
      <c r="C64" s="653"/>
      <c r="D64" s="653"/>
      <c r="E64" s="653"/>
      <c r="F64" s="653"/>
      <c r="G64" s="653"/>
      <c r="H64" s="19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94" t="e">
        <f>#REF!</f>
        <v>#REF!</v>
      </c>
      <c r="AA64" s="191"/>
      <c r="AB64" s="195"/>
      <c r="AC64" s="507">
        <f>((R65+(R65*U67)+(R65*Q67)+(R65*M67)+(R65*I67))*Z67)*1.15</f>
        <v>0</v>
      </c>
      <c r="AD64" s="507"/>
      <c r="AE64" s="507"/>
      <c r="AF64" s="507"/>
      <c r="AG64" s="507"/>
      <c r="AH64" s="529">
        <v>1</v>
      </c>
      <c r="AI64" s="529"/>
      <c r="AJ64" s="529"/>
      <c r="AK64" s="529"/>
      <c r="AL64" s="529"/>
      <c r="AM64" s="529"/>
      <c r="AN64" s="529">
        <f>AC64/AH64</f>
        <v>0</v>
      </c>
      <c r="AO64" s="529"/>
      <c r="AP64" s="529"/>
      <c r="AQ64" s="529"/>
      <c r="AR64" s="529"/>
      <c r="AS64" s="663">
        <f t="shared" ref="AS64" si="0">U18</f>
        <v>0</v>
      </c>
      <c r="AT64" s="663"/>
      <c r="AU64" s="663"/>
      <c r="AV64" s="663"/>
      <c r="AW64" s="663"/>
      <c r="AX64" s="529">
        <f>AN64*AS64</f>
        <v>0</v>
      </c>
      <c r="AY64" s="529"/>
      <c r="AZ64" s="529"/>
      <c r="BA64" s="529"/>
      <c r="BB64" s="665"/>
    </row>
    <row r="65" spans="1:54" s="165" customFormat="1" ht="11.25" hidden="1" customHeight="1" x14ac:dyDescent="0.2">
      <c r="A65" s="652"/>
      <c r="B65" s="653"/>
      <c r="C65" s="653"/>
      <c r="D65" s="653"/>
      <c r="E65" s="653"/>
      <c r="F65" s="653"/>
      <c r="G65" s="653"/>
      <c r="H65" s="658" t="s">
        <v>26</v>
      </c>
      <c r="I65" s="659"/>
      <c r="J65" s="659"/>
      <c r="K65" s="659"/>
      <c r="L65" s="659"/>
      <c r="M65" s="659"/>
      <c r="N65" s="650">
        <v>0</v>
      </c>
      <c r="O65" s="650"/>
      <c r="P65" s="650"/>
      <c r="Q65" s="191" t="s">
        <v>27</v>
      </c>
      <c r="R65" s="650">
        <f>$AX$20*N65</f>
        <v>0</v>
      </c>
      <c r="S65" s="650"/>
      <c r="T65" s="650"/>
      <c r="U65" s="650"/>
      <c r="V65" s="650"/>
      <c r="W65" s="191" t="s">
        <v>28</v>
      </c>
      <c r="X65" s="191" t="s">
        <v>29</v>
      </c>
      <c r="Y65" s="191"/>
      <c r="Z65" s="191"/>
      <c r="AA65" s="191"/>
      <c r="AB65" s="195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65" customFormat="1" ht="5.0999999999999996" hidden="1" customHeight="1" x14ac:dyDescent="0.2">
      <c r="A66" s="652"/>
      <c r="B66" s="653"/>
      <c r="C66" s="653"/>
      <c r="D66" s="653"/>
      <c r="E66" s="653"/>
      <c r="F66" s="653"/>
      <c r="G66" s="653"/>
      <c r="H66" s="196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91"/>
      <c r="AA66" s="191"/>
      <c r="AB66" s="195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65" customFormat="1" ht="11.25" hidden="1" customHeight="1" x14ac:dyDescent="0.2">
      <c r="A67" s="652"/>
      <c r="B67" s="653"/>
      <c r="C67" s="653"/>
      <c r="D67" s="653"/>
      <c r="E67" s="653"/>
      <c r="F67" s="653"/>
      <c r="G67" s="653"/>
      <c r="H67" s="197" t="s">
        <v>30</v>
      </c>
      <c r="I67" s="654">
        <v>0</v>
      </c>
      <c r="J67" s="654"/>
      <c r="K67" s="654"/>
      <c r="L67" s="191" t="s">
        <v>28</v>
      </c>
      <c r="M67" s="654">
        <v>0</v>
      </c>
      <c r="N67" s="654"/>
      <c r="O67" s="654"/>
      <c r="P67" s="191" t="s">
        <v>28</v>
      </c>
      <c r="Q67" s="654"/>
      <c r="R67" s="654"/>
      <c r="S67" s="654"/>
      <c r="T67" s="191" t="s">
        <v>28</v>
      </c>
      <c r="U67" s="654"/>
      <c r="V67" s="654"/>
      <c r="W67" s="654"/>
      <c r="X67" s="191" t="s">
        <v>31</v>
      </c>
      <c r="Y67" s="191" t="s">
        <v>28</v>
      </c>
      <c r="Z67" s="650">
        <v>2.6</v>
      </c>
      <c r="AA67" s="650"/>
      <c r="AB67" s="651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65" customFormat="1" ht="5.0999999999999996" hidden="1" customHeight="1" thickBot="1" x14ac:dyDescent="0.25">
      <c r="A68" s="652"/>
      <c r="B68" s="653"/>
      <c r="C68" s="653"/>
      <c r="D68" s="653"/>
      <c r="E68" s="653"/>
      <c r="F68" s="653"/>
      <c r="G68" s="653"/>
      <c r="H68" s="198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200"/>
      <c r="AA68" s="200"/>
      <c r="AB68" s="201"/>
      <c r="AC68" s="529"/>
      <c r="AD68" s="529"/>
      <c r="AE68" s="529"/>
      <c r="AF68" s="529"/>
      <c r="AG68" s="529"/>
      <c r="AH68" s="529"/>
      <c r="AI68" s="529"/>
      <c r="AJ68" s="529"/>
      <c r="AK68" s="529"/>
      <c r="AL68" s="529"/>
      <c r="AM68" s="529"/>
      <c r="AN68" s="529"/>
      <c r="AO68" s="529"/>
      <c r="AP68" s="529"/>
      <c r="AQ68" s="529"/>
      <c r="AR68" s="529"/>
      <c r="AS68" s="664"/>
      <c r="AT68" s="664"/>
      <c r="AU68" s="664"/>
      <c r="AV68" s="664"/>
      <c r="AW68" s="664"/>
      <c r="AX68" s="529"/>
      <c r="AY68" s="529"/>
      <c r="AZ68" s="529"/>
      <c r="BA68" s="529"/>
      <c r="BB68" s="665"/>
    </row>
    <row r="69" spans="1:54" s="165" customFormat="1" ht="5.0999999999999996" hidden="1" customHeight="1" x14ac:dyDescent="0.2">
      <c r="A69" s="652"/>
      <c r="B69" s="653"/>
      <c r="C69" s="653"/>
      <c r="D69" s="653"/>
      <c r="E69" s="653"/>
      <c r="F69" s="653"/>
      <c r="G69" s="653"/>
      <c r="H69" s="19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94" t="e">
        <f>#REF!</f>
        <v>#REF!</v>
      </c>
      <c r="AA69" s="191"/>
      <c r="AB69" s="195"/>
      <c r="AC69" s="507">
        <f>((R70+(R70*U72)+(R70*Q72)+(R70*M72)+(R70*I72))*Z72)*1.15</f>
        <v>0</v>
      </c>
      <c r="AD69" s="507"/>
      <c r="AE69" s="507"/>
      <c r="AF69" s="507"/>
      <c r="AG69" s="507"/>
      <c r="AH69" s="529">
        <v>1</v>
      </c>
      <c r="AI69" s="529"/>
      <c r="AJ69" s="529"/>
      <c r="AK69" s="529"/>
      <c r="AL69" s="529"/>
      <c r="AM69" s="529"/>
      <c r="AN69" s="529">
        <f>AC69/AH69</f>
        <v>0</v>
      </c>
      <c r="AO69" s="529"/>
      <c r="AP69" s="529"/>
      <c r="AQ69" s="529"/>
      <c r="AR69" s="529"/>
      <c r="AS69" s="663">
        <f t="shared" ref="AS69" si="1">U23</f>
        <v>0</v>
      </c>
      <c r="AT69" s="663"/>
      <c r="AU69" s="663"/>
      <c r="AV69" s="663"/>
      <c r="AW69" s="663"/>
      <c r="AX69" s="529">
        <f>AN69*AS69</f>
        <v>0</v>
      </c>
      <c r="AY69" s="529"/>
      <c r="AZ69" s="529"/>
      <c r="BA69" s="529"/>
      <c r="BB69" s="665"/>
    </row>
    <row r="70" spans="1:54" s="165" customFormat="1" ht="11.25" hidden="1" customHeight="1" x14ac:dyDescent="0.2">
      <c r="A70" s="652"/>
      <c r="B70" s="653"/>
      <c r="C70" s="653"/>
      <c r="D70" s="653"/>
      <c r="E70" s="653"/>
      <c r="F70" s="653"/>
      <c r="G70" s="653"/>
      <c r="H70" s="658" t="s">
        <v>26</v>
      </c>
      <c r="I70" s="659"/>
      <c r="J70" s="659"/>
      <c r="K70" s="659"/>
      <c r="L70" s="659"/>
      <c r="M70" s="659"/>
      <c r="N70" s="650">
        <v>0</v>
      </c>
      <c r="O70" s="650"/>
      <c r="P70" s="650"/>
      <c r="Q70" s="191" t="s">
        <v>27</v>
      </c>
      <c r="R70" s="650">
        <f>$AX$20*N70</f>
        <v>0</v>
      </c>
      <c r="S70" s="650"/>
      <c r="T70" s="650"/>
      <c r="U70" s="650"/>
      <c r="V70" s="650"/>
      <c r="W70" s="191" t="s">
        <v>28</v>
      </c>
      <c r="X70" s="191" t="s">
        <v>29</v>
      </c>
      <c r="Y70" s="191"/>
      <c r="Z70" s="191"/>
      <c r="AA70" s="191"/>
      <c r="AB70" s="195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ht="5.0999999999999996" hidden="1" customHeight="1" x14ac:dyDescent="0.2">
      <c r="A71" s="652"/>
      <c r="B71" s="653"/>
      <c r="C71" s="653"/>
      <c r="D71" s="653"/>
      <c r="E71" s="653"/>
      <c r="F71" s="653"/>
      <c r="G71" s="653"/>
      <c r="H71" s="196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91"/>
      <c r="AA71" s="191"/>
      <c r="AB71" s="195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65" customFormat="1" ht="11.25" hidden="1" customHeight="1" x14ac:dyDescent="0.2">
      <c r="A72" s="652"/>
      <c r="B72" s="653"/>
      <c r="C72" s="653"/>
      <c r="D72" s="653"/>
      <c r="E72" s="653"/>
      <c r="F72" s="653"/>
      <c r="G72" s="653"/>
      <c r="H72" s="197" t="s">
        <v>30</v>
      </c>
      <c r="I72" s="654">
        <v>0</v>
      </c>
      <c r="J72" s="654"/>
      <c r="K72" s="654"/>
      <c r="L72" s="191" t="s">
        <v>28</v>
      </c>
      <c r="M72" s="654">
        <v>0</v>
      </c>
      <c r="N72" s="654"/>
      <c r="O72" s="654"/>
      <c r="P72" s="191" t="s">
        <v>28</v>
      </c>
      <c r="Q72" s="654"/>
      <c r="R72" s="654"/>
      <c r="S72" s="654"/>
      <c r="T72" s="191" t="s">
        <v>28</v>
      </c>
      <c r="U72" s="654"/>
      <c r="V72" s="654"/>
      <c r="W72" s="654"/>
      <c r="X72" s="191" t="s">
        <v>31</v>
      </c>
      <c r="Y72" s="191" t="s">
        <v>28</v>
      </c>
      <c r="Z72" s="650">
        <v>2.6</v>
      </c>
      <c r="AA72" s="650"/>
      <c r="AB72" s="651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65" customFormat="1" ht="11.25" hidden="1" customHeight="1" thickBot="1" x14ac:dyDescent="0.25">
      <c r="A73" s="652"/>
      <c r="B73" s="653"/>
      <c r="C73" s="653"/>
      <c r="D73" s="653"/>
      <c r="E73" s="653"/>
      <c r="F73" s="653"/>
      <c r="G73" s="653"/>
      <c r="H73" s="198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200"/>
      <c r="AA73" s="200"/>
      <c r="AB73" s="201"/>
      <c r="AC73" s="529"/>
      <c r="AD73" s="529"/>
      <c r="AE73" s="529"/>
      <c r="AF73" s="529"/>
      <c r="AG73" s="529"/>
      <c r="AH73" s="529"/>
      <c r="AI73" s="529"/>
      <c r="AJ73" s="529"/>
      <c r="AK73" s="529"/>
      <c r="AL73" s="529"/>
      <c r="AM73" s="529"/>
      <c r="AN73" s="529"/>
      <c r="AO73" s="529"/>
      <c r="AP73" s="529"/>
      <c r="AQ73" s="529"/>
      <c r="AR73" s="529"/>
      <c r="AS73" s="664"/>
      <c r="AT73" s="664"/>
      <c r="AU73" s="664"/>
      <c r="AV73" s="664"/>
      <c r="AW73" s="664"/>
      <c r="AX73" s="529"/>
      <c r="AY73" s="529"/>
      <c r="AZ73" s="529"/>
      <c r="BA73" s="529"/>
      <c r="BB73" s="665"/>
    </row>
    <row r="74" spans="1:54" s="165" customFormat="1" ht="15" hidden="1" customHeight="1" x14ac:dyDescent="0.2">
      <c r="A74" s="660" t="s">
        <v>84</v>
      </c>
      <c r="B74" s="661"/>
      <c r="C74" s="661"/>
      <c r="D74" s="661"/>
      <c r="E74" s="661"/>
      <c r="F74" s="661"/>
      <c r="G74" s="661"/>
      <c r="H74" s="193"/>
      <c r="I74" s="164"/>
      <c r="J74" s="164"/>
      <c r="K74" s="164"/>
      <c r="L74" s="164"/>
      <c r="M74" s="164"/>
      <c r="N74" s="164"/>
      <c r="O74" s="164"/>
      <c r="P74" s="164"/>
      <c r="Q74" s="164"/>
      <c r="R74" s="164"/>
      <c r="S74" s="164"/>
      <c r="T74" s="164"/>
      <c r="U74" s="164"/>
      <c r="V74" s="164"/>
      <c r="W74" s="164"/>
      <c r="X74" s="164"/>
      <c r="Y74" s="164"/>
      <c r="Z74" s="194" t="e">
        <f>#REF!</f>
        <v>#REF!</v>
      </c>
      <c r="AA74" s="191"/>
      <c r="AB74" s="195"/>
      <c r="AC74" s="507">
        <f>((R75+(R75*U77)+(R75*Q77)+(R75*M77)+(R75*I77))*Z77)</f>
        <v>0</v>
      </c>
      <c r="AD74" s="507"/>
      <c r="AE74" s="507"/>
      <c r="AF74" s="507"/>
      <c r="AG74" s="507"/>
      <c r="AH74" s="529">
        <v>75</v>
      </c>
      <c r="AI74" s="529"/>
      <c r="AJ74" s="529"/>
      <c r="AK74" s="529"/>
      <c r="AL74" s="529"/>
      <c r="AM74" s="529"/>
      <c r="AN74" s="529">
        <f>AC74/AH74</f>
        <v>0</v>
      </c>
      <c r="AO74" s="529"/>
      <c r="AP74" s="529"/>
      <c r="AQ74" s="529"/>
      <c r="AR74" s="529"/>
      <c r="AS74" s="663">
        <f t="shared" ref="AS74" si="2">U28</f>
        <v>0</v>
      </c>
      <c r="AT74" s="663"/>
      <c r="AU74" s="663"/>
      <c r="AV74" s="663"/>
      <c r="AW74" s="663"/>
      <c r="AX74" s="529">
        <f>AN74*AS74</f>
        <v>0</v>
      </c>
      <c r="AY74" s="529"/>
      <c r="AZ74" s="529"/>
      <c r="BA74" s="529"/>
      <c r="BB74" s="665"/>
    </row>
    <row r="75" spans="1:54" s="165" customFormat="1" ht="21" hidden="1" customHeight="1" thickBot="1" x14ac:dyDescent="0.25">
      <c r="A75" s="652"/>
      <c r="B75" s="653"/>
      <c r="C75" s="653"/>
      <c r="D75" s="653"/>
      <c r="E75" s="653"/>
      <c r="F75" s="653"/>
      <c r="G75" s="653"/>
      <c r="H75" s="658" t="s">
        <v>26</v>
      </c>
      <c r="I75" s="659"/>
      <c r="J75" s="659"/>
      <c r="K75" s="659"/>
      <c r="L75" s="659"/>
      <c r="M75" s="659"/>
      <c r="N75" s="650">
        <v>0</v>
      </c>
      <c r="O75" s="650"/>
      <c r="P75" s="650"/>
      <c r="Q75" s="191" t="s">
        <v>27</v>
      </c>
      <c r="R75" s="650">
        <f>$AX$20*N75</f>
        <v>0</v>
      </c>
      <c r="S75" s="650"/>
      <c r="T75" s="650"/>
      <c r="U75" s="650"/>
      <c r="V75" s="650"/>
      <c r="W75" s="191" t="s">
        <v>28</v>
      </c>
      <c r="X75" s="191" t="s">
        <v>29</v>
      </c>
      <c r="Y75" s="191"/>
      <c r="Z75" s="191"/>
      <c r="AA75" s="191"/>
      <c r="AB75" s="195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29"/>
      <c r="AS75" s="664"/>
      <c r="AT75" s="664"/>
      <c r="AU75" s="664"/>
      <c r="AV75" s="664"/>
      <c r="AW75" s="664"/>
      <c r="AX75" s="529"/>
      <c r="AY75" s="529"/>
      <c r="AZ75" s="529"/>
      <c r="BA75" s="529"/>
      <c r="BB75" s="665"/>
    </row>
    <row r="76" spans="1:54" s="165" customFormat="1" ht="12" hidden="1" customHeight="1" thickBot="1" x14ac:dyDescent="0.25">
      <c r="A76" s="652"/>
      <c r="B76" s="653"/>
      <c r="C76" s="653"/>
      <c r="D76" s="653"/>
      <c r="E76" s="653"/>
      <c r="F76" s="653"/>
      <c r="G76" s="653"/>
      <c r="H76" s="196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91"/>
      <c r="AA76" s="191"/>
      <c r="AB76" s="195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29"/>
      <c r="AS76" s="664"/>
      <c r="AT76" s="664"/>
      <c r="AU76" s="664"/>
      <c r="AV76" s="664"/>
      <c r="AW76" s="664"/>
      <c r="AX76" s="529"/>
      <c r="AY76" s="529"/>
      <c r="AZ76" s="529"/>
      <c r="BA76" s="529"/>
      <c r="BB76" s="665"/>
    </row>
    <row r="77" spans="1:54" s="165" customFormat="1" ht="15.75" hidden="1" customHeight="1" thickBot="1" x14ac:dyDescent="0.25">
      <c r="A77" s="652"/>
      <c r="B77" s="653"/>
      <c r="C77" s="653"/>
      <c r="D77" s="653"/>
      <c r="E77" s="653"/>
      <c r="F77" s="653"/>
      <c r="G77" s="653"/>
      <c r="H77" s="197" t="s">
        <v>30</v>
      </c>
      <c r="I77" s="654">
        <v>0.2</v>
      </c>
      <c r="J77" s="654"/>
      <c r="K77" s="654"/>
      <c r="L77" s="191" t="s">
        <v>28</v>
      </c>
      <c r="M77" s="654">
        <v>0.15</v>
      </c>
      <c r="N77" s="654"/>
      <c r="O77" s="654"/>
      <c r="P77" s="191" t="s">
        <v>28</v>
      </c>
      <c r="Q77" s="654">
        <v>0.5</v>
      </c>
      <c r="R77" s="654"/>
      <c r="S77" s="654"/>
      <c r="T77" s="191" t="s">
        <v>28</v>
      </c>
      <c r="U77" s="654">
        <v>0</v>
      </c>
      <c r="V77" s="654"/>
      <c r="W77" s="654"/>
      <c r="X77" s="191" t="s">
        <v>31</v>
      </c>
      <c r="Y77" s="191" t="s">
        <v>28</v>
      </c>
      <c r="Z77" s="650">
        <v>2.6</v>
      </c>
      <c r="AA77" s="650"/>
      <c r="AB77" s="651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29"/>
      <c r="AS77" s="664"/>
      <c r="AT77" s="664"/>
      <c r="AU77" s="664"/>
      <c r="AV77" s="664"/>
      <c r="AW77" s="664"/>
      <c r="AX77" s="529"/>
      <c r="AY77" s="529"/>
      <c r="AZ77" s="529"/>
      <c r="BA77" s="529"/>
      <c r="BB77" s="665"/>
    </row>
    <row r="78" spans="1:54" ht="13.5" hidden="1" customHeight="1" thickBot="1" x14ac:dyDescent="0.25">
      <c r="A78" s="652"/>
      <c r="B78" s="653"/>
      <c r="C78" s="653"/>
      <c r="D78" s="653"/>
      <c r="E78" s="653"/>
      <c r="F78" s="653"/>
      <c r="G78" s="653"/>
      <c r="H78" s="198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200"/>
      <c r="AA78" s="200"/>
      <c r="AB78" s="201"/>
      <c r="AC78" s="529"/>
      <c r="AD78" s="529"/>
      <c r="AE78" s="529"/>
      <c r="AF78" s="529"/>
      <c r="AG78" s="529"/>
      <c r="AH78" s="529"/>
      <c r="AI78" s="529"/>
      <c r="AJ78" s="529"/>
      <c r="AK78" s="529"/>
      <c r="AL78" s="529"/>
      <c r="AM78" s="529"/>
      <c r="AN78" s="529"/>
      <c r="AO78" s="529"/>
      <c r="AP78" s="529"/>
      <c r="AQ78" s="529"/>
      <c r="AR78" s="529"/>
      <c r="AS78" s="664"/>
      <c r="AT78" s="664"/>
      <c r="AU78" s="664"/>
      <c r="AV78" s="664"/>
      <c r="AW78" s="664"/>
      <c r="AX78" s="529"/>
      <c r="AY78" s="529"/>
      <c r="AZ78" s="529"/>
      <c r="BA78" s="529"/>
      <c r="BB78" s="665"/>
    </row>
    <row r="79" spans="1:54" s="165" customFormat="1" ht="8.25" hidden="1" customHeight="1" x14ac:dyDescent="0.2">
      <c r="A79" s="660" t="s">
        <v>86</v>
      </c>
      <c r="B79" s="661"/>
      <c r="C79" s="661"/>
      <c r="D79" s="661"/>
      <c r="E79" s="661"/>
      <c r="F79" s="661"/>
      <c r="G79" s="661"/>
      <c r="H79" s="19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4"/>
      <c r="X79" s="164"/>
      <c r="Y79" s="164"/>
      <c r="Z79" s="194" t="e">
        <f>#REF!</f>
        <v>#REF!</v>
      </c>
      <c r="AA79" s="191"/>
      <c r="AB79" s="195"/>
      <c r="AC79" s="662">
        <f>((R80+(R80*U82)+(R80*Q82)+(R80*M82)+(R80*I82))*Z82)*1.15</f>
        <v>0</v>
      </c>
      <c r="AD79" s="662"/>
      <c r="AE79" s="662"/>
      <c r="AF79" s="662"/>
      <c r="AG79" s="662"/>
      <c r="AH79" s="601">
        <v>144</v>
      </c>
      <c r="AI79" s="601"/>
      <c r="AJ79" s="601"/>
      <c r="AK79" s="601"/>
      <c r="AL79" s="601"/>
      <c r="AM79" s="601"/>
      <c r="AN79" s="601">
        <f>AC79/AH79</f>
        <v>0</v>
      </c>
      <c r="AO79" s="601"/>
      <c r="AP79" s="601"/>
      <c r="AQ79" s="601"/>
      <c r="AR79" s="601"/>
      <c r="AS79" s="663">
        <v>72</v>
      </c>
      <c r="AT79" s="663"/>
      <c r="AU79" s="663"/>
      <c r="AV79" s="663"/>
      <c r="AW79" s="663"/>
      <c r="AX79" s="601">
        <f>AN79*AS79</f>
        <v>0</v>
      </c>
      <c r="AY79" s="601"/>
      <c r="AZ79" s="601"/>
      <c r="BA79" s="601"/>
      <c r="BB79" s="655"/>
    </row>
    <row r="80" spans="1:54" s="165" customFormat="1" ht="27" hidden="1" customHeight="1" thickBot="1" x14ac:dyDescent="0.25">
      <c r="A80" s="652"/>
      <c r="B80" s="653"/>
      <c r="C80" s="653"/>
      <c r="D80" s="653"/>
      <c r="E80" s="653"/>
      <c r="F80" s="653"/>
      <c r="G80" s="653"/>
      <c r="H80" s="658" t="s">
        <v>26</v>
      </c>
      <c r="I80" s="659"/>
      <c r="J80" s="659"/>
      <c r="K80" s="659"/>
      <c r="L80" s="659"/>
      <c r="M80" s="659"/>
      <c r="N80" s="650">
        <v>0</v>
      </c>
      <c r="O80" s="650"/>
      <c r="P80" s="650"/>
      <c r="Q80" s="191" t="s">
        <v>27</v>
      </c>
      <c r="R80" s="650">
        <f>$AX$20*N80</f>
        <v>0</v>
      </c>
      <c r="S80" s="650"/>
      <c r="T80" s="650"/>
      <c r="U80" s="650"/>
      <c r="V80" s="650"/>
      <c r="W80" s="191" t="s">
        <v>28</v>
      </c>
      <c r="X80" s="191" t="s">
        <v>29</v>
      </c>
      <c r="Y80" s="191"/>
      <c r="Z80" s="191"/>
      <c r="AA80" s="191"/>
      <c r="AB80" s="195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s="165" customFormat="1" ht="6.75" hidden="1" customHeight="1" thickBot="1" x14ac:dyDescent="0.25">
      <c r="A81" s="652"/>
      <c r="B81" s="653"/>
      <c r="C81" s="653"/>
      <c r="D81" s="653"/>
      <c r="E81" s="653"/>
      <c r="F81" s="653"/>
      <c r="G81" s="653"/>
      <c r="H81" s="196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91"/>
      <c r="AA81" s="191"/>
      <c r="AB81" s="195"/>
      <c r="AC81" s="601"/>
      <c r="AD81" s="601"/>
      <c r="AE81" s="601"/>
      <c r="AF81" s="601"/>
      <c r="AG81" s="601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2" hidden="1" customHeight="1" thickBot="1" x14ac:dyDescent="0.25">
      <c r="A82" s="652"/>
      <c r="B82" s="653"/>
      <c r="C82" s="653"/>
      <c r="D82" s="653"/>
      <c r="E82" s="653"/>
      <c r="F82" s="653"/>
      <c r="G82" s="653"/>
      <c r="H82" s="197" t="s">
        <v>30</v>
      </c>
      <c r="I82" s="654">
        <v>0.2</v>
      </c>
      <c r="J82" s="654"/>
      <c r="K82" s="654"/>
      <c r="L82" s="191" t="s">
        <v>28</v>
      </c>
      <c r="M82" s="654">
        <v>0</v>
      </c>
      <c r="N82" s="654"/>
      <c r="O82" s="654"/>
      <c r="P82" s="191" t="s">
        <v>28</v>
      </c>
      <c r="Q82" s="654">
        <v>0</v>
      </c>
      <c r="R82" s="654"/>
      <c r="S82" s="654"/>
      <c r="T82" s="191" t="s">
        <v>28</v>
      </c>
      <c r="U82" s="654">
        <v>0</v>
      </c>
      <c r="V82" s="654"/>
      <c r="W82" s="654"/>
      <c r="X82" s="191" t="s">
        <v>31</v>
      </c>
      <c r="Y82" s="191" t="s">
        <v>28</v>
      </c>
      <c r="Z82" s="650">
        <v>2.6</v>
      </c>
      <c r="AA82" s="650"/>
      <c r="AB82" s="651"/>
      <c r="AC82" s="601"/>
      <c r="AD82" s="601"/>
      <c r="AE82" s="601"/>
      <c r="AF82" s="601"/>
      <c r="AG82" s="601"/>
      <c r="AH82" s="601"/>
      <c r="AI82" s="601"/>
      <c r="AJ82" s="601"/>
      <c r="AK82" s="601"/>
      <c r="AL82" s="601"/>
      <c r="AM82" s="601"/>
      <c r="AN82" s="601"/>
      <c r="AO82" s="601"/>
      <c r="AP82" s="601"/>
      <c r="AQ82" s="601"/>
      <c r="AR82" s="601"/>
      <c r="AS82" s="664"/>
      <c r="AT82" s="664"/>
      <c r="AU82" s="664"/>
      <c r="AV82" s="664"/>
      <c r="AW82" s="664"/>
      <c r="AX82" s="601"/>
      <c r="AY82" s="601"/>
      <c r="AZ82" s="601"/>
      <c r="BA82" s="601"/>
      <c r="BB82" s="655"/>
    </row>
    <row r="83" spans="1:54" ht="13.5" hidden="1" customHeight="1" thickBot="1" x14ac:dyDescent="0.25">
      <c r="A83" s="652"/>
      <c r="B83" s="653"/>
      <c r="C83" s="653"/>
      <c r="D83" s="653"/>
      <c r="E83" s="653"/>
      <c r="F83" s="653"/>
      <c r="G83" s="653"/>
      <c r="H83" s="202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4"/>
      <c r="AA83" s="204"/>
      <c r="AB83" s="205"/>
      <c r="AC83" s="601"/>
      <c r="AD83" s="601"/>
      <c r="AE83" s="601"/>
      <c r="AF83" s="601"/>
      <c r="AG83" s="601"/>
      <c r="AH83" s="656"/>
      <c r="AI83" s="656"/>
      <c r="AJ83" s="656"/>
      <c r="AK83" s="656"/>
      <c r="AL83" s="656"/>
      <c r="AM83" s="656"/>
      <c r="AN83" s="656"/>
      <c r="AO83" s="656"/>
      <c r="AP83" s="656"/>
      <c r="AQ83" s="656"/>
      <c r="AR83" s="656"/>
      <c r="AS83" s="664"/>
      <c r="AT83" s="664"/>
      <c r="AU83" s="664"/>
      <c r="AV83" s="664"/>
      <c r="AW83" s="664"/>
      <c r="AX83" s="656"/>
      <c r="AY83" s="656"/>
      <c r="AZ83" s="656"/>
      <c r="BA83" s="656"/>
      <c r="BB83" s="657"/>
    </row>
    <row r="84" spans="1:54" ht="11.25" customHeight="1" x14ac:dyDescent="0.2">
      <c r="R84" s="169" t="s">
        <v>18</v>
      </c>
      <c r="S84" s="170"/>
      <c r="T84" s="170"/>
      <c r="U84" s="171"/>
      <c r="V84" s="171"/>
      <c r="W84" s="171"/>
      <c r="X84" s="171"/>
      <c r="Y84" s="171"/>
      <c r="Z84" s="171"/>
      <c r="AA84" s="171"/>
      <c r="AB84" s="171"/>
      <c r="AC84" s="171"/>
      <c r="AD84" s="171" t="s">
        <v>19</v>
      </c>
      <c r="AE84" s="171" t="s">
        <v>20</v>
      </c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2"/>
      <c r="AS84" s="453">
        <f>AX84/U13</f>
        <v>429</v>
      </c>
      <c r="AT84" s="453"/>
      <c r="AU84" s="453"/>
      <c r="AV84" s="453"/>
      <c r="AW84" s="453"/>
      <c r="AX84" s="453">
        <f>SUM(AX59:BB83)</f>
        <v>15444</v>
      </c>
      <c r="AY84" s="453"/>
      <c r="AZ84" s="453"/>
      <c r="BA84" s="453"/>
      <c r="BB84" s="454"/>
    </row>
    <row r="85" spans="1:54" ht="11.25" customHeight="1" thickBot="1" x14ac:dyDescent="0.25">
      <c r="R85" s="175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 t="s">
        <v>19</v>
      </c>
      <c r="AE85" s="176" t="s">
        <v>21</v>
      </c>
      <c r="AF85" s="176"/>
      <c r="AG85" s="176"/>
      <c r="AH85" s="176"/>
      <c r="AI85" s="176"/>
      <c r="AJ85" s="176"/>
      <c r="AK85" s="176"/>
      <c r="AL85" s="176"/>
      <c r="AM85" s="176"/>
      <c r="AN85" s="176"/>
      <c r="AO85" s="630">
        <v>0.30199999999999999</v>
      </c>
      <c r="AP85" s="631"/>
      <c r="AQ85" s="631"/>
      <c r="AR85" s="632"/>
      <c r="AS85" s="463">
        <f>AX85/U13</f>
        <v>129.55799999999999</v>
      </c>
      <c r="AT85" s="463"/>
      <c r="AU85" s="463"/>
      <c r="AV85" s="463"/>
      <c r="AW85" s="463"/>
      <c r="AX85" s="463">
        <f>AX84*AO85</f>
        <v>4664.0879999999997</v>
      </c>
      <c r="AY85" s="463"/>
      <c r="AZ85" s="463"/>
      <c r="BA85" s="463"/>
      <c r="BB85" s="633"/>
    </row>
    <row r="86" spans="1:54" ht="11.25" customHeight="1" thickBot="1" x14ac:dyDescent="0.25">
      <c r="M86" s="164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163"/>
      <c r="AL86" s="163"/>
      <c r="AM86" s="163"/>
      <c r="AN86" s="163"/>
      <c r="AO86" s="206"/>
      <c r="AP86" s="179"/>
      <c r="AQ86" s="179"/>
      <c r="AR86" s="179"/>
      <c r="AS86" s="207"/>
      <c r="AT86" s="207"/>
      <c r="AU86" s="207"/>
      <c r="AV86" s="207"/>
      <c r="AW86" s="207"/>
      <c r="AX86" s="207"/>
      <c r="AY86" s="207"/>
      <c r="AZ86" s="207"/>
      <c r="BA86" s="207"/>
      <c r="BB86" s="207"/>
    </row>
    <row r="87" spans="1:54" ht="12" customHeight="1" x14ac:dyDescent="0.2">
      <c r="A87" s="634" t="s">
        <v>32</v>
      </c>
      <c r="B87" s="634"/>
      <c r="C87" s="634"/>
      <c r="D87" s="634"/>
      <c r="E87" s="634"/>
      <c r="F87" s="634"/>
      <c r="G87" s="634"/>
      <c r="H87" s="634"/>
      <c r="I87" s="634"/>
      <c r="J87" s="634"/>
      <c r="K87" s="634"/>
      <c r="L87" s="634"/>
      <c r="M87" s="634"/>
      <c r="N87" s="634"/>
      <c r="O87" s="635" t="s">
        <v>33</v>
      </c>
      <c r="P87" s="636"/>
      <c r="Q87" s="636"/>
      <c r="R87" s="636"/>
      <c r="S87" s="636"/>
      <c r="T87" s="636"/>
      <c r="U87" s="636"/>
      <c r="V87" s="636"/>
      <c r="W87" s="636"/>
      <c r="X87" s="636"/>
      <c r="Y87" s="636"/>
      <c r="Z87" s="636"/>
      <c r="AA87" s="636"/>
      <c r="AB87" s="636"/>
      <c r="AC87" s="636"/>
      <c r="AD87" s="636"/>
      <c r="AE87" s="636"/>
      <c r="AF87" s="636"/>
      <c r="AG87" s="636"/>
      <c r="AH87" s="636"/>
      <c r="AI87" s="636"/>
      <c r="AJ87" s="636"/>
      <c r="AK87" s="636"/>
      <c r="AL87" s="636"/>
      <c r="AM87" s="636"/>
      <c r="AN87" s="636"/>
      <c r="AO87" s="637">
        <f>AS35+AS52+AS84</f>
        <v>471.9</v>
      </c>
      <c r="AP87" s="637"/>
      <c r="AQ87" s="637"/>
      <c r="AR87" s="637"/>
      <c r="AS87" s="637"/>
      <c r="AT87" s="637"/>
      <c r="AU87" s="637"/>
      <c r="AV87" s="637">
        <f>AX35+AX52+AX84</f>
        <v>16988.400000000001</v>
      </c>
      <c r="AW87" s="637"/>
      <c r="AX87" s="637"/>
      <c r="AY87" s="637"/>
      <c r="AZ87" s="637"/>
      <c r="BA87" s="637"/>
      <c r="BB87" s="638"/>
    </row>
    <row r="88" spans="1:54" ht="12" customHeight="1" thickBot="1" x14ac:dyDescent="0.25">
      <c r="M88" s="163"/>
      <c r="O88" s="643" t="s">
        <v>34</v>
      </c>
      <c r="P88" s="644"/>
      <c r="Q88" s="644"/>
      <c r="R88" s="644"/>
      <c r="S88" s="644"/>
      <c r="T88" s="644"/>
      <c r="U88" s="644"/>
      <c r="V88" s="644"/>
      <c r="W88" s="644"/>
      <c r="X88" s="644"/>
      <c r="Y88" s="644"/>
      <c r="Z88" s="644"/>
      <c r="AA88" s="644"/>
      <c r="AB88" s="644"/>
      <c r="AC88" s="644"/>
      <c r="AD88" s="644"/>
      <c r="AE88" s="644"/>
      <c r="AF88" s="644"/>
      <c r="AG88" s="644"/>
      <c r="AH88" s="644"/>
      <c r="AI88" s="644"/>
      <c r="AJ88" s="644"/>
      <c r="AK88" s="644"/>
      <c r="AL88" s="644"/>
      <c r="AM88" s="644"/>
      <c r="AN88" s="644"/>
      <c r="AO88" s="645">
        <f>AS36+AS53+AS85</f>
        <v>142.5138</v>
      </c>
      <c r="AP88" s="645"/>
      <c r="AQ88" s="645"/>
      <c r="AR88" s="645"/>
      <c r="AS88" s="645"/>
      <c r="AT88" s="645"/>
      <c r="AU88" s="645"/>
      <c r="AV88" s="645">
        <f>AX36+AX53+AX85</f>
        <v>5130.4967999999999</v>
      </c>
      <c r="AW88" s="645"/>
      <c r="AX88" s="645"/>
      <c r="AY88" s="645"/>
      <c r="AZ88" s="645"/>
      <c r="BA88" s="645"/>
      <c r="BB88" s="646"/>
    </row>
    <row r="89" spans="1:54" ht="12" customHeight="1" thickBot="1" x14ac:dyDescent="0.25">
      <c r="M89" s="208" t="s">
        <v>35</v>
      </c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  <c r="AJ89" s="209"/>
      <c r="AK89" s="209"/>
      <c r="AL89" s="209"/>
      <c r="AM89" s="209"/>
      <c r="AN89" s="210"/>
      <c r="AO89" s="647">
        <f>AO88+AO87</f>
        <v>614.41380000000004</v>
      </c>
      <c r="AP89" s="648"/>
      <c r="AQ89" s="648"/>
      <c r="AR89" s="648"/>
      <c r="AS89" s="648"/>
      <c r="AT89" s="648"/>
      <c r="AU89" s="648"/>
      <c r="AV89" s="648">
        <f>AV87+AV88</f>
        <v>22118.896800000002</v>
      </c>
      <c r="AW89" s="648"/>
      <c r="AX89" s="648"/>
      <c r="AY89" s="648"/>
      <c r="AZ89" s="648"/>
      <c r="BA89" s="648"/>
      <c r="BB89" s="649"/>
    </row>
    <row r="90" spans="1:54" ht="10.5" customHeight="1" x14ac:dyDescent="0.2"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  <c r="AA90" s="211"/>
      <c r="AB90" s="211"/>
      <c r="AC90" s="211"/>
      <c r="AD90" s="211"/>
      <c r="AE90" s="211"/>
      <c r="AF90" s="211"/>
      <c r="AG90" s="211"/>
      <c r="AH90" s="211"/>
      <c r="AI90" s="211"/>
      <c r="AJ90" s="211"/>
      <c r="AK90" s="211"/>
      <c r="AL90" s="211"/>
      <c r="AM90" s="211"/>
      <c r="AN90" s="211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</row>
    <row r="91" spans="1:54" s="159" customFormat="1" ht="15" customHeight="1" x14ac:dyDescent="0.2">
      <c r="A91" s="159" t="s">
        <v>36</v>
      </c>
      <c r="C91" s="159" t="s">
        <v>37</v>
      </c>
      <c r="AX91" s="160"/>
      <c r="AY91" s="160"/>
      <c r="AZ91" s="160"/>
      <c r="BA91" s="160"/>
      <c r="BB91" s="160"/>
    </row>
    <row r="92" spans="1:54" ht="12" customHeight="1" thickBot="1" x14ac:dyDescent="0.25"/>
    <row r="93" spans="1:54" s="163" customFormat="1" ht="39" customHeight="1" x14ac:dyDescent="0.2">
      <c r="A93" s="499" t="s">
        <v>38</v>
      </c>
      <c r="B93" s="500"/>
      <c r="C93" s="500"/>
      <c r="D93" s="500"/>
      <c r="E93" s="500"/>
      <c r="F93" s="500"/>
      <c r="G93" s="500"/>
      <c r="H93" s="500"/>
      <c r="I93" s="500"/>
      <c r="J93" s="500"/>
      <c r="K93" s="500"/>
      <c r="L93" s="500"/>
      <c r="M93" s="500"/>
      <c r="N93" s="500"/>
      <c r="O93" s="500"/>
      <c r="P93" s="500"/>
      <c r="Q93" s="535" t="s">
        <v>39</v>
      </c>
      <c r="R93" s="535"/>
      <c r="S93" s="535"/>
      <c r="T93" s="535"/>
      <c r="U93" s="535"/>
      <c r="V93" s="535"/>
      <c r="W93" s="535"/>
      <c r="X93" s="535" t="s">
        <v>40</v>
      </c>
      <c r="Y93" s="535"/>
      <c r="Z93" s="535"/>
      <c r="AA93" s="535"/>
      <c r="AB93" s="535"/>
      <c r="AC93" s="535"/>
      <c r="AD93" s="535"/>
      <c r="AE93" s="535" t="s">
        <v>41</v>
      </c>
      <c r="AF93" s="535"/>
      <c r="AG93" s="535"/>
      <c r="AH93" s="535"/>
      <c r="AI93" s="535"/>
      <c r="AJ93" s="535"/>
      <c r="AK93" s="535"/>
      <c r="AL93" s="535"/>
      <c r="AM93" s="500" t="s">
        <v>42</v>
      </c>
      <c r="AN93" s="500"/>
      <c r="AO93" s="500"/>
      <c r="AP93" s="500"/>
      <c r="AQ93" s="500"/>
      <c r="AR93" s="500"/>
      <c r="AS93" s="500"/>
      <c r="AT93" s="500"/>
      <c r="AU93" s="500"/>
      <c r="AV93" s="500" t="s">
        <v>43</v>
      </c>
      <c r="AW93" s="500"/>
      <c r="AX93" s="500"/>
      <c r="AY93" s="500"/>
      <c r="AZ93" s="500"/>
      <c r="BA93" s="500"/>
      <c r="BB93" s="639"/>
    </row>
    <row r="94" spans="1:54" s="163" customFormat="1" ht="12" customHeight="1" thickBot="1" x14ac:dyDescent="0.25">
      <c r="A94" s="640">
        <v>1</v>
      </c>
      <c r="B94" s="641"/>
      <c r="C94" s="641"/>
      <c r="D94" s="641"/>
      <c r="E94" s="641"/>
      <c r="F94" s="641"/>
      <c r="G94" s="641"/>
      <c r="H94" s="641"/>
      <c r="I94" s="641"/>
      <c r="J94" s="641"/>
      <c r="K94" s="641"/>
      <c r="L94" s="641"/>
      <c r="M94" s="641"/>
      <c r="N94" s="641"/>
      <c r="O94" s="641"/>
      <c r="P94" s="641"/>
      <c r="Q94" s="641">
        <v>2</v>
      </c>
      <c r="R94" s="641"/>
      <c r="S94" s="641"/>
      <c r="T94" s="641"/>
      <c r="U94" s="641"/>
      <c r="V94" s="641"/>
      <c r="W94" s="641"/>
      <c r="X94" s="641">
        <v>3</v>
      </c>
      <c r="Y94" s="641"/>
      <c r="Z94" s="641"/>
      <c r="AA94" s="641"/>
      <c r="AB94" s="641"/>
      <c r="AC94" s="641"/>
      <c r="AD94" s="641"/>
      <c r="AE94" s="641">
        <v>4</v>
      </c>
      <c r="AF94" s="641"/>
      <c r="AG94" s="641"/>
      <c r="AH94" s="641"/>
      <c r="AI94" s="641"/>
      <c r="AJ94" s="641"/>
      <c r="AK94" s="641"/>
      <c r="AL94" s="641"/>
      <c r="AM94" s="641">
        <v>5</v>
      </c>
      <c r="AN94" s="641"/>
      <c r="AO94" s="641"/>
      <c r="AP94" s="641"/>
      <c r="AQ94" s="641"/>
      <c r="AR94" s="641"/>
      <c r="AS94" s="641"/>
      <c r="AT94" s="641"/>
      <c r="AU94" s="641"/>
      <c r="AV94" s="641">
        <v>6</v>
      </c>
      <c r="AW94" s="641"/>
      <c r="AX94" s="641"/>
      <c r="AY94" s="641"/>
      <c r="AZ94" s="641"/>
      <c r="BA94" s="641"/>
      <c r="BB94" s="642"/>
    </row>
    <row r="95" spans="1:54" ht="15" customHeight="1" x14ac:dyDescent="0.2">
      <c r="A95" s="618" t="s">
        <v>44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>
        <v>5014.7</v>
      </c>
      <c r="R95" s="573"/>
      <c r="S95" s="573"/>
      <c r="T95" s="573"/>
      <c r="U95" s="573"/>
      <c r="V95" s="573"/>
      <c r="W95" s="574"/>
      <c r="X95" s="572">
        <v>20.100000000000001</v>
      </c>
      <c r="Y95" s="573"/>
      <c r="Z95" s="573"/>
      <c r="AA95" s="573"/>
      <c r="AB95" s="573"/>
      <c r="AC95" s="573"/>
      <c r="AD95" s="574"/>
      <c r="AE95" s="793">
        <v>1094980.28</v>
      </c>
      <c r="AF95" s="794"/>
      <c r="AG95" s="794"/>
      <c r="AH95" s="794"/>
      <c r="AI95" s="794"/>
      <c r="AJ95" s="794"/>
      <c r="AK95" s="794"/>
      <c r="AL95" s="795"/>
      <c r="AM95" s="620" t="s">
        <v>45</v>
      </c>
      <c r="AN95" s="621"/>
      <c r="AO95" s="621"/>
      <c r="AP95" s="621"/>
      <c r="AQ95" s="621"/>
      <c r="AR95" s="621"/>
      <c r="AS95" s="621"/>
      <c r="AT95" s="621"/>
      <c r="AU95" s="622"/>
      <c r="AV95" s="615">
        <f>AE95/$Q$95*$X$95/($AN$96*$AN$97)</f>
        <v>1.4807413322241518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618" t="s">
        <v>46</v>
      </c>
      <c r="B96" s="619"/>
      <c r="C96" s="619"/>
      <c r="D96" s="619"/>
      <c r="E96" s="619"/>
      <c r="F96" s="619"/>
      <c r="G96" s="619"/>
      <c r="H96" s="619"/>
      <c r="I96" s="619"/>
      <c r="J96" s="619"/>
      <c r="K96" s="619"/>
      <c r="L96" s="619"/>
      <c r="M96" s="619"/>
      <c r="N96" s="619"/>
      <c r="O96" s="619"/>
      <c r="P96" s="619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478">
        <v>3185296.06</v>
      </c>
      <c r="AF96" s="479"/>
      <c r="AG96" s="479"/>
      <c r="AH96" s="479"/>
      <c r="AI96" s="479"/>
      <c r="AJ96" s="479"/>
      <c r="AK96" s="479"/>
      <c r="AL96" s="480"/>
      <c r="AM96" s="213"/>
      <c r="AN96" s="623">
        <v>247</v>
      </c>
      <c r="AO96" s="623"/>
      <c r="AP96" s="623"/>
      <c r="AQ96" s="617" t="s">
        <v>47</v>
      </c>
      <c r="AR96" s="617"/>
      <c r="AS96" s="617"/>
      <c r="AT96" s="617"/>
      <c r="AU96" s="214"/>
      <c r="AV96" s="615">
        <f>AE96/$Q$95*$X$95/($AN$96*$AN$97)</f>
        <v>4.3074744062173815</v>
      </c>
      <c r="AW96" s="615"/>
      <c r="AX96" s="615"/>
      <c r="AY96" s="615"/>
      <c r="AZ96" s="615"/>
      <c r="BA96" s="615"/>
      <c r="BB96" s="616"/>
    </row>
    <row r="97" spans="1:57" ht="15" customHeight="1" x14ac:dyDescent="0.2">
      <c r="A97" s="449" t="s">
        <v>48</v>
      </c>
      <c r="B97" s="450"/>
      <c r="C97" s="450"/>
      <c r="D97" s="450"/>
      <c r="E97" s="450"/>
      <c r="F97" s="450"/>
      <c r="G97" s="450"/>
      <c r="H97" s="450"/>
      <c r="I97" s="450"/>
      <c r="J97" s="450"/>
      <c r="K97" s="450"/>
      <c r="L97" s="450"/>
      <c r="M97" s="450"/>
      <c r="N97" s="450"/>
      <c r="O97" s="450"/>
      <c r="P97" s="451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478">
        <v>7563527</v>
      </c>
      <c r="AF97" s="479"/>
      <c r="AG97" s="479"/>
      <c r="AH97" s="479"/>
      <c r="AI97" s="479"/>
      <c r="AJ97" s="479"/>
      <c r="AK97" s="479"/>
      <c r="AL97" s="480"/>
      <c r="AM97" s="213"/>
      <c r="AN97" s="562">
        <v>12</v>
      </c>
      <c r="AO97" s="562"/>
      <c r="AP97" s="562"/>
      <c r="AQ97" s="617" t="s">
        <v>49</v>
      </c>
      <c r="AR97" s="617"/>
      <c r="AS97" s="617"/>
      <c r="AT97" s="617"/>
      <c r="AU97" s="214"/>
      <c r="AV97" s="615">
        <f>AE97/$Q$95*$X$95/($AN$96*$AN$97)</f>
        <v>10.228154105472424</v>
      </c>
      <c r="AW97" s="615"/>
      <c r="AX97" s="615"/>
      <c r="AY97" s="615"/>
      <c r="AZ97" s="615"/>
      <c r="BA97" s="615"/>
      <c r="BB97" s="616"/>
    </row>
    <row r="98" spans="1:57" ht="15" customHeight="1" thickBot="1" x14ac:dyDescent="0.25">
      <c r="A98" s="624" t="s">
        <v>50</v>
      </c>
      <c r="B98" s="625"/>
      <c r="C98" s="625"/>
      <c r="D98" s="625"/>
      <c r="E98" s="625"/>
      <c r="F98" s="625"/>
      <c r="G98" s="625"/>
      <c r="H98" s="625"/>
      <c r="I98" s="625"/>
      <c r="J98" s="625"/>
      <c r="K98" s="625"/>
      <c r="L98" s="625"/>
      <c r="M98" s="625"/>
      <c r="N98" s="625"/>
      <c r="O98" s="625"/>
      <c r="P98" s="626"/>
      <c r="Q98" s="572"/>
      <c r="R98" s="573"/>
      <c r="S98" s="573"/>
      <c r="T98" s="573"/>
      <c r="U98" s="573"/>
      <c r="V98" s="573"/>
      <c r="W98" s="574"/>
      <c r="X98" s="572"/>
      <c r="Y98" s="573"/>
      <c r="Z98" s="573"/>
      <c r="AA98" s="573"/>
      <c r="AB98" s="573"/>
      <c r="AC98" s="573"/>
      <c r="AD98" s="574"/>
      <c r="AE98" s="496">
        <v>1656648.54</v>
      </c>
      <c r="AF98" s="497"/>
      <c r="AG98" s="497"/>
      <c r="AH98" s="497"/>
      <c r="AI98" s="497"/>
      <c r="AJ98" s="497"/>
      <c r="AK98" s="497"/>
      <c r="AL98" s="498"/>
      <c r="AM98" s="213"/>
      <c r="AN98" s="186"/>
      <c r="AO98" s="186"/>
      <c r="AP98" s="186"/>
      <c r="AQ98" s="186"/>
      <c r="AR98" s="186"/>
      <c r="AS98" s="186"/>
      <c r="AT98" s="186"/>
      <c r="AU98" s="214"/>
      <c r="AV98" s="628">
        <f>AE98/$Q$95*$X$95/($AN$96*$AN$97)</f>
        <v>2.2402850635326477</v>
      </c>
      <c r="AW98" s="628"/>
      <c r="AX98" s="628"/>
      <c r="AY98" s="628"/>
      <c r="AZ98" s="628"/>
      <c r="BA98" s="628"/>
      <c r="BB98" s="629"/>
    </row>
    <row r="99" spans="1:57" s="161" customFormat="1" ht="15" customHeight="1" thickBot="1" x14ac:dyDescent="0.25">
      <c r="A99" s="610" t="s">
        <v>51</v>
      </c>
      <c r="B99" s="611"/>
      <c r="C99" s="611"/>
      <c r="D99" s="611"/>
      <c r="E99" s="611"/>
      <c r="F99" s="611"/>
      <c r="G99" s="611"/>
      <c r="H99" s="611"/>
      <c r="I99" s="611"/>
      <c r="J99" s="611"/>
      <c r="K99" s="611"/>
      <c r="L99" s="611"/>
      <c r="M99" s="611"/>
      <c r="N99" s="611"/>
      <c r="O99" s="611"/>
      <c r="P99" s="611"/>
      <c r="Q99" s="531">
        <f>Q95</f>
        <v>5014.7</v>
      </c>
      <c r="R99" s="533"/>
      <c r="S99" s="533"/>
      <c r="T99" s="533"/>
      <c r="U99" s="533"/>
      <c r="V99" s="533"/>
      <c r="W99" s="534"/>
      <c r="X99" s="531">
        <f>X95</f>
        <v>20.100000000000001</v>
      </c>
      <c r="Y99" s="533"/>
      <c r="Z99" s="533"/>
      <c r="AA99" s="533"/>
      <c r="AB99" s="533"/>
      <c r="AC99" s="533"/>
      <c r="AD99" s="534"/>
      <c r="AE99" s="612">
        <f>SUM(AE95:AL98)</f>
        <v>13500451.879999999</v>
      </c>
      <c r="AF99" s="612"/>
      <c r="AG99" s="612"/>
      <c r="AH99" s="612"/>
      <c r="AI99" s="612"/>
      <c r="AJ99" s="612"/>
      <c r="AK99" s="612"/>
      <c r="AL99" s="612"/>
      <c r="AM99" s="531" t="s">
        <v>17</v>
      </c>
      <c r="AN99" s="533"/>
      <c r="AO99" s="533"/>
      <c r="AP99" s="533"/>
      <c r="AQ99" s="533"/>
      <c r="AR99" s="533"/>
      <c r="AS99" s="533"/>
      <c r="AT99" s="533"/>
      <c r="AU99" s="534"/>
      <c r="AV99" s="613">
        <f>SUM(AV95:BB98)</f>
        <v>18.256654907446602</v>
      </c>
      <c r="AW99" s="613"/>
      <c r="AX99" s="613"/>
      <c r="AY99" s="613"/>
      <c r="AZ99" s="613"/>
      <c r="BA99" s="613"/>
      <c r="BB99" s="614"/>
    </row>
    <row r="100" spans="1:57" ht="12" customHeight="1" x14ac:dyDescent="0.2"/>
    <row r="101" spans="1:57" s="159" customFormat="1" ht="15" customHeight="1" x14ac:dyDescent="0.2">
      <c r="A101" s="159" t="s">
        <v>52</v>
      </c>
      <c r="C101" s="159" t="s">
        <v>53</v>
      </c>
      <c r="AX101" s="160"/>
      <c r="AY101" s="160"/>
      <c r="AZ101" s="160"/>
      <c r="BA101" s="160"/>
      <c r="BB101" s="160"/>
    </row>
    <row r="102" spans="1:57" ht="12" customHeight="1" thickBot="1" x14ac:dyDescent="0.25"/>
    <row r="103" spans="1:57" ht="39" customHeight="1" x14ac:dyDescent="0.2">
      <c r="A103" s="585" t="s">
        <v>54</v>
      </c>
      <c r="B103" s="586"/>
      <c r="C103" s="586"/>
      <c r="D103" s="586"/>
      <c r="E103" s="586"/>
      <c r="F103" s="586"/>
      <c r="G103" s="586"/>
      <c r="H103" s="586"/>
      <c r="I103" s="586"/>
      <c r="J103" s="586"/>
      <c r="K103" s="586"/>
      <c r="L103" s="586"/>
      <c r="M103" s="586"/>
      <c r="N103" s="586"/>
      <c r="O103" s="586"/>
      <c r="P103" s="586"/>
      <c r="Q103" s="586"/>
      <c r="R103" s="586"/>
      <c r="S103" s="586"/>
      <c r="T103" s="586"/>
      <c r="U103" s="586"/>
      <c r="V103" s="586"/>
      <c r="W103" s="586"/>
      <c r="X103" s="586"/>
      <c r="Y103" s="586"/>
      <c r="Z103" s="587"/>
      <c r="AA103" s="536" t="s">
        <v>55</v>
      </c>
      <c r="AB103" s="537"/>
      <c r="AC103" s="537"/>
      <c r="AD103" s="537"/>
      <c r="AE103" s="537"/>
      <c r="AF103" s="538"/>
      <c r="AG103" s="536" t="s">
        <v>56</v>
      </c>
      <c r="AH103" s="537"/>
      <c r="AI103" s="537"/>
      <c r="AJ103" s="537"/>
      <c r="AK103" s="537"/>
      <c r="AL103" s="538"/>
      <c r="AM103" s="588" t="s">
        <v>57</v>
      </c>
      <c r="AN103" s="586"/>
      <c r="AO103" s="586"/>
      <c r="AP103" s="586"/>
      <c r="AQ103" s="586"/>
      <c r="AR103" s="586"/>
      <c r="AS103" s="586"/>
      <c r="AT103" s="587"/>
      <c r="AU103" s="588" t="s">
        <v>43</v>
      </c>
      <c r="AV103" s="586"/>
      <c r="AW103" s="586"/>
      <c r="AX103" s="586"/>
      <c r="AY103" s="586"/>
      <c r="AZ103" s="586"/>
      <c r="BA103" s="586"/>
      <c r="BB103" s="589"/>
    </row>
    <row r="104" spans="1:57" ht="15.75" customHeight="1" thickBot="1" x14ac:dyDescent="0.25">
      <c r="A104" s="564">
        <v>1</v>
      </c>
      <c r="B104" s="475"/>
      <c r="C104" s="475"/>
      <c r="D104" s="475"/>
      <c r="E104" s="475"/>
      <c r="F104" s="475"/>
      <c r="G104" s="475"/>
      <c r="H104" s="475"/>
      <c r="I104" s="475"/>
      <c r="J104" s="475"/>
      <c r="K104" s="475"/>
      <c r="L104" s="475"/>
      <c r="M104" s="475"/>
      <c r="N104" s="475"/>
      <c r="O104" s="475"/>
      <c r="P104" s="475"/>
      <c r="Q104" s="475"/>
      <c r="R104" s="475"/>
      <c r="S104" s="475"/>
      <c r="T104" s="475"/>
      <c r="U104" s="475"/>
      <c r="V104" s="475"/>
      <c r="W104" s="475"/>
      <c r="X104" s="475"/>
      <c r="Y104" s="475"/>
      <c r="Z104" s="476"/>
      <c r="AA104" s="474">
        <v>2</v>
      </c>
      <c r="AB104" s="475"/>
      <c r="AC104" s="475"/>
      <c r="AD104" s="475"/>
      <c r="AE104" s="475"/>
      <c r="AF104" s="476"/>
      <c r="AG104" s="474">
        <v>3</v>
      </c>
      <c r="AH104" s="475"/>
      <c r="AI104" s="475"/>
      <c r="AJ104" s="475"/>
      <c r="AK104" s="475"/>
      <c r="AL104" s="476"/>
      <c r="AM104" s="474">
        <v>4</v>
      </c>
      <c r="AN104" s="475"/>
      <c r="AO104" s="475"/>
      <c r="AP104" s="475"/>
      <c r="AQ104" s="475"/>
      <c r="AR104" s="475"/>
      <c r="AS104" s="475"/>
      <c r="AT104" s="476"/>
      <c r="AU104" s="474">
        <v>5</v>
      </c>
      <c r="AV104" s="475"/>
      <c r="AW104" s="475"/>
      <c r="AX104" s="475"/>
      <c r="AY104" s="475"/>
      <c r="AZ104" s="475"/>
      <c r="BA104" s="475"/>
      <c r="BB104" s="565"/>
    </row>
    <row r="105" spans="1:57" ht="1.5" hidden="1" customHeight="1" x14ac:dyDescent="0.2">
      <c r="A105" s="566" t="s">
        <v>77</v>
      </c>
      <c r="B105" s="567"/>
      <c r="C105" s="567"/>
      <c r="D105" s="567"/>
      <c r="E105" s="567"/>
      <c r="F105" s="567"/>
      <c r="G105" s="567"/>
      <c r="H105" s="567"/>
      <c r="I105" s="567"/>
      <c r="J105" s="567"/>
      <c r="K105" s="567"/>
      <c r="L105" s="567"/>
      <c r="M105" s="567"/>
      <c r="N105" s="567"/>
      <c r="O105" s="567"/>
      <c r="P105" s="567"/>
      <c r="Q105" s="567"/>
      <c r="R105" s="567"/>
      <c r="S105" s="567"/>
      <c r="T105" s="567"/>
      <c r="U105" s="567"/>
      <c r="V105" s="567"/>
      <c r="W105" s="567"/>
      <c r="X105" s="567"/>
      <c r="Y105" s="567"/>
      <c r="Z105" s="568"/>
      <c r="AA105" s="604"/>
      <c r="AB105" s="605"/>
      <c r="AC105" s="605"/>
      <c r="AD105" s="605"/>
      <c r="AE105" s="605"/>
      <c r="AF105" s="606"/>
      <c r="AG105" s="569">
        <f>U13</f>
        <v>36</v>
      </c>
      <c r="AH105" s="570"/>
      <c r="AI105" s="570"/>
      <c r="AJ105" s="570"/>
      <c r="AK105" s="570"/>
      <c r="AL105" s="571"/>
      <c r="AM105" s="569" t="s">
        <v>58</v>
      </c>
      <c r="AN105" s="570"/>
      <c r="AO105" s="570"/>
      <c r="AP105" s="570"/>
      <c r="AQ105" s="570"/>
      <c r="AR105" s="570"/>
      <c r="AS105" s="570"/>
      <c r="AT105" s="571"/>
      <c r="AU105" s="607">
        <f>AA105/AG105</f>
        <v>0</v>
      </c>
      <c r="AV105" s="608"/>
      <c r="AW105" s="608"/>
      <c r="AX105" s="608"/>
      <c r="AY105" s="608"/>
      <c r="AZ105" s="608"/>
      <c r="BA105" s="608"/>
      <c r="BB105" s="609"/>
    </row>
    <row r="106" spans="1:57" ht="23.25" customHeight="1" x14ac:dyDescent="0.2">
      <c r="A106" s="449" t="s">
        <v>90</v>
      </c>
      <c r="B106" s="450"/>
      <c r="C106" s="450"/>
      <c r="D106" s="450"/>
      <c r="E106" s="450"/>
      <c r="F106" s="450"/>
      <c r="G106" s="450"/>
      <c r="H106" s="450"/>
      <c r="I106" s="450"/>
      <c r="J106" s="450"/>
      <c r="K106" s="450"/>
      <c r="L106" s="450"/>
      <c r="M106" s="450"/>
      <c r="N106" s="450"/>
      <c r="O106" s="450"/>
      <c r="P106" s="450"/>
      <c r="Q106" s="450"/>
      <c r="R106" s="450"/>
      <c r="S106" s="450"/>
      <c r="T106" s="450"/>
      <c r="U106" s="450"/>
      <c r="V106" s="450"/>
      <c r="W106" s="450"/>
      <c r="X106" s="450"/>
      <c r="Y106" s="450"/>
      <c r="Z106" s="451"/>
      <c r="AA106" s="596">
        <v>800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AA106/AG105</f>
        <v>22.222222222222221</v>
      </c>
      <c r="AV106" s="591"/>
      <c r="AW106" s="591"/>
      <c r="AX106" s="591"/>
      <c r="AY106" s="591"/>
      <c r="AZ106" s="591"/>
      <c r="BA106" s="591"/>
      <c r="BB106" s="592"/>
    </row>
    <row r="107" spans="1:57" ht="20.25" customHeight="1" x14ac:dyDescent="0.2">
      <c r="A107" s="593" t="s">
        <v>96</v>
      </c>
      <c r="B107" s="594"/>
      <c r="C107" s="594"/>
      <c r="D107" s="594"/>
      <c r="E107" s="594"/>
      <c r="F107" s="594"/>
      <c r="G107" s="594"/>
      <c r="H107" s="594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4"/>
      <c r="Z107" s="595"/>
      <c r="AA107" s="596">
        <v>100</v>
      </c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AA107/AG105</f>
        <v>2.7777777777777777</v>
      </c>
      <c r="AV107" s="591"/>
      <c r="AW107" s="591"/>
      <c r="AX107" s="591"/>
      <c r="AY107" s="591"/>
      <c r="AZ107" s="591"/>
      <c r="BA107" s="591"/>
      <c r="BB107" s="592"/>
    </row>
    <row r="108" spans="1:57" ht="20.25" customHeight="1" x14ac:dyDescent="0.2">
      <c r="A108" s="593" t="s">
        <v>193</v>
      </c>
      <c r="B108" s="594"/>
      <c r="C108" s="594"/>
      <c r="D108" s="594"/>
      <c r="E108" s="594"/>
      <c r="F108" s="594"/>
      <c r="G108" s="594"/>
      <c r="H108" s="594"/>
      <c r="I108" s="594"/>
      <c r="J108" s="594"/>
      <c r="K108" s="594"/>
      <c r="L108" s="594"/>
      <c r="M108" s="594"/>
      <c r="N108" s="594"/>
      <c r="O108" s="594"/>
      <c r="P108" s="594"/>
      <c r="Q108" s="594"/>
      <c r="R108" s="594"/>
      <c r="S108" s="594"/>
      <c r="T108" s="594"/>
      <c r="U108" s="594"/>
      <c r="V108" s="594"/>
      <c r="W108" s="594"/>
      <c r="X108" s="594"/>
      <c r="Y108" s="594"/>
      <c r="Z108" s="595"/>
      <c r="AA108" s="596">
        <v>166.3</v>
      </c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>
        <f>AA108/AG105</f>
        <v>4.6194444444444445</v>
      </c>
      <c r="AV108" s="591"/>
      <c r="AW108" s="591"/>
      <c r="AX108" s="591"/>
      <c r="AY108" s="591"/>
      <c r="AZ108" s="591"/>
      <c r="BA108" s="591"/>
      <c r="BB108" s="592"/>
      <c r="BE108" s="117">
        <f>AU108*12*4</f>
        <v>221.73333333333335</v>
      </c>
    </row>
    <row r="109" spans="1:57" ht="22.5" customHeight="1" x14ac:dyDescent="0.2">
      <c r="A109" s="593" t="s">
        <v>194</v>
      </c>
      <c r="B109" s="594"/>
      <c r="C109" s="594"/>
      <c r="D109" s="594"/>
      <c r="E109" s="594"/>
      <c r="F109" s="594"/>
      <c r="G109" s="594"/>
      <c r="H109" s="594"/>
      <c r="I109" s="594"/>
      <c r="J109" s="594"/>
      <c r="K109" s="594"/>
      <c r="L109" s="594"/>
      <c r="M109" s="594"/>
      <c r="N109" s="594"/>
      <c r="O109" s="594"/>
      <c r="P109" s="594"/>
      <c r="Q109" s="594"/>
      <c r="R109" s="594"/>
      <c r="S109" s="594"/>
      <c r="T109" s="594"/>
      <c r="U109" s="594"/>
      <c r="V109" s="594"/>
      <c r="W109" s="594"/>
      <c r="X109" s="594"/>
      <c r="Y109" s="594"/>
      <c r="Z109" s="595"/>
      <c r="AA109" s="596">
        <v>900</v>
      </c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590">
        <f>AA109/AG105</f>
        <v>25</v>
      </c>
      <c r="AV109" s="591"/>
      <c r="AW109" s="591"/>
      <c r="AX109" s="591"/>
      <c r="AY109" s="591"/>
      <c r="AZ109" s="591"/>
      <c r="BA109" s="591"/>
      <c r="BB109" s="592"/>
    </row>
    <row r="110" spans="1:57" ht="18.75" customHeight="1" x14ac:dyDescent="0.2">
      <c r="A110" s="450" t="s">
        <v>313</v>
      </c>
      <c r="B110" s="450"/>
      <c r="C110" s="450"/>
      <c r="D110" s="450"/>
      <c r="E110" s="450"/>
      <c r="F110" s="450"/>
      <c r="G110" s="450"/>
      <c r="H110" s="450"/>
      <c r="I110" s="450"/>
      <c r="J110" s="450"/>
      <c r="K110" s="450"/>
      <c r="L110" s="450"/>
      <c r="M110" s="450"/>
      <c r="N110" s="450"/>
      <c r="O110" s="450"/>
      <c r="P110" s="450"/>
      <c r="Q110" s="450"/>
      <c r="R110" s="450"/>
      <c r="S110" s="450"/>
      <c r="T110" s="450"/>
      <c r="U110" s="450"/>
      <c r="V110" s="450"/>
      <c r="W110" s="450"/>
      <c r="X110" s="450"/>
      <c r="Y110" s="450"/>
      <c r="Z110" s="451"/>
      <c r="AA110" s="596">
        <v>700</v>
      </c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590">
        <f>AA110/AG105</f>
        <v>19.444444444444443</v>
      </c>
      <c r="AV110" s="591"/>
      <c r="AW110" s="591"/>
      <c r="AX110" s="591"/>
      <c r="AY110" s="591"/>
      <c r="AZ110" s="591"/>
      <c r="BA110" s="591"/>
      <c r="BB110" s="592"/>
    </row>
    <row r="111" spans="1:57" ht="19.5" customHeight="1" thickBot="1" x14ac:dyDescent="0.25">
      <c r="A111" s="796" t="s">
        <v>195</v>
      </c>
      <c r="B111" s="594"/>
      <c r="C111" s="594"/>
      <c r="D111" s="594"/>
      <c r="E111" s="594"/>
      <c r="F111" s="594"/>
      <c r="G111" s="594"/>
      <c r="H111" s="594"/>
      <c r="I111" s="594"/>
      <c r="J111" s="594"/>
      <c r="K111" s="594"/>
      <c r="L111" s="594"/>
      <c r="M111" s="594"/>
      <c r="N111" s="594"/>
      <c r="O111" s="594"/>
      <c r="P111" s="594"/>
      <c r="Q111" s="594"/>
      <c r="R111" s="594"/>
      <c r="S111" s="594"/>
      <c r="T111" s="594"/>
      <c r="U111" s="594"/>
      <c r="V111" s="594"/>
      <c r="W111" s="594"/>
      <c r="X111" s="594"/>
      <c r="Y111" s="594"/>
      <c r="Z111" s="595"/>
      <c r="AA111" s="596">
        <v>700</v>
      </c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AA111/AG105</f>
        <v>19.444444444444443</v>
      </c>
      <c r="AV111" s="591"/>
      <c r="AW111" s="591"/>
      <c r="AX111" s="591"/>
      <c r="AY111" s="591"/>
      <c r="AZ111" s="591"/>
      <c r="BA111" s="591"/>
      <c r="BB111" s="797"/>
    </row>
    <row r="112" spans="1:57" ht="21.75" hidden="1" customHeight="1" x14ac:dyDescent="0.2">
      <c r="A112" s="796"/>
      <c r="B112" s="594"/>
      <c r="C112" s="594"/>
      <c r="D112" s="594"/>
      <c r="E112" s="594"/>
      <c r="F112" s="594"/>
      <c r="G112" s="594"/>
      <c r="H112" s="594"/>
      <c r="I112" s="594"/>
      <c r="J112" s="594"/>
      <c r="K112" s="594"/>
      <c r="L112" s="594"/>
      <c r="M112" s="594"/>
      <c r="N112" s="594"/>
      <c r="O112" s="594"/>
      <c r="P112" s="594"/>
      <c r="Q112" s="594"/>
      <c r="R112" s="594"/>
      <c r="S112" s="594"/>
      <c r="T112" s="594"/>
      <c r="U112" s="594"/>
      <c r="V112" s="594"/>
      <c r="W112" s="594"/>
      <c r="X112" s="594"/>
      <c r="Y112" s="594"/>
      <c r="Z112" s="595"/>
      <c r="AA112" s="596"/>
      <c r="AB112" s="597"/>
      <c r="AC112" s="597"/>
      <c r="AD112" s="597"/>
      <c r="AE112" s="597"/>
      <c r="AF112" s="598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AA112/AG105</f>
        <v>0</v>
      </c>
      <c r="AV112" s="591"/>
      <c r="AW112" s="591"/>
      <c r="AX112" s="591"/>
      <c r="AY112" s="591"/>
      <c r="AZ112" s="591"/>
      <c r="BA112" s="591"/>
      <c r="BB112" s="797"/>
    </row>
    <row r="113" spans="1:54" ht="19.5" hidden="1" customHeight="1" x14ac:dyDescent="0.2">
      <c r="A113" s="796"/>
      <c r="B113" s="594"/>
      <c r="C113" s="594"/>
      <c r="D113" s="594"/>
      <c r="E113" s="594"/>
      <c r="F113" s="594"/>
      <c r="G113" s="594"/>
      <c r="H113" s="594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4"/>
      <c r="Z113" s="595"/>
      <c r="AA113" s="596"/>
      <c r="AB113" s="597"/>
      <c r="AC113" s="597"/>
      <c r="AD113" s="597"/>
      <c r="AE113" s="597"/>
      <c r="AF113" s="598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AA113/AG105</f>
        <v>0</v>
      </c>
      <c r="AV113" s="591"/>
      <c r="AW113" s="591"/>
      <c r="AX113" s="591"/>
      <c r="AY113" s="591"/>
      <c r="AZ113" s="591"/>
      <c r="BA113" s="591"/>
      <c r="BB113" s="797"/>
    </row>
    <row r="114" spans="1:54" ht="20.25" hidden="1" customHeight="1" x14ac:dyDescent="0.2">
      <c r="A114" s="796"/>
      <c r="B114" s="594"/>
      <c r="C114" s="594"/>
      <c r="D114" s="594"/>
      <c r="E114" s="594"/>
      <c r="F114" s="594"/>
      <c r="G114" s="594"/>
      <c r="H114" s="594"/>
      <c r="I114" s="594"/>
      <c r="J114" s="594"/>
      <c r="K114" s="594"/>
      <c r="L114" s="594"/>
      <c r="M114" s="594"/>
      <c r="N114" s="594"/>
      <c r="O114" s="594"/>
      <c r="P114" s="594"/>
      <c r="Q114" s="594"/>
      <c r="R114" s="594"/>
      <c r="S114" s="594"/>
      <c r="T114" s="594"/>
      <c r="U114" s="594"/>
      <c r="V114" s="594"/>
      <c r="W114" s="594"/>
      <c r="X114" s="594"/>
      <c r="Y114" s="594"/>
      <c r="Z114" s="595"/>
      <c r="AA114" s="596"/>
      <c r="AB114" s="597"/>
      <c r="AC114" s="597"/>
      <c r="AD114" s="597"/>
      <c r="AE114" s="597"/>
      <c r="AF114" s="598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AA114/AG105</f>
        <v>0</v>
      </c>
      <c r="AV114" s="591"/>
      <c r="AW114" s="591"/>
      <c r="AX114" s="591"/>
      <c r="AY114" s="591"/>
      <c r="AZ114" s="591"/>
      <c r="BA114" s="591"/>
      <c r="BB114" s="797"/>
    </row>
    <row r="115" spans="1:54" ht="16.5" hidden="1" customHeight="1" x14ac:dyDescent="0.2">
      <c r="A115" s="796"/>
      <c r="B115" s="594"/>
      <c r="C115" s="594"/>
      <c r="D115" s="594"/>
      <c r="E115" s="594"/>
      <c r="F115" s="594"/>
      <c r="G115" s="594"/>
      <c r="H115" s="594"/>
      <c r="I115" s="594"/>
      <c r="J115" s="594"/>
      <c r="K115" s="594"/>
      <c r="L115" s="594"/>
      <c r="M115" s="594"/>
      <c r="N115" s="594"/>
      <c r="O115" s="594"/>
      <c r="P115" s="594"/>
      <c r="Q115" s="594"/>
      <c r="R115" s="594"/>
      <c r="S115" s="594"/>
      <c r="T115" s="594"/>
      <c r="U115" s="594"/>
      <c r="V115" s="594"/>
      <c r="W115" s="594"/>
      <c r="X115" s="594"/>
      <c r="Y115" s="594"/>
      <c r="Z115" s="595"/>
      <c r="AA115" s="596"/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AA115/AG105</f>
        <v>0</v>
      </c>
      <c r="AV115" s="591"/>
      <c r="AW115" s="591"/>
      <c r="AX115" s="591"/>
      <c r="AY115" s="591"/>
      <c r="AZ115" s="591"/>
      <c r="BA115" s="591"/>
      <c r="BB115" s="797"/>
    </row>
    <row r="116" spans="1:54" s="161" customFormat="1" ht="19.5" hidden="1" customHeight="1" x14ac:dyDescent="0.2">
      <c r="A116" s="796"/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5"/>
      <c r="AA116" s="596"/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AA116/AG105</f>
        <v>0</v>
      </c>
      <c r="AV116" s="591"/>
      <c r="AW116" s="591"/>
      <c r="AX116" s="591"/>
      <c r="AY116" s="591"/>
      <c r="AZ116" s="591"/>
      <c r="BA116" s="591"/>
      <c r="BB116" s="797"/>
    </row>
    <row r="117" spans="1:54" ht="1.5" hidden="1" customHeight="1" x14ac:dyDescent="0.2">
      <c r="A117" s="796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AA117/AG105</f>
        <v>0</v>
      </c>
      <c r="AV117" s="591"/>
      <c r="AW117" s="591"/>
      <c r="AX117" s="591"/>
      <c r="AY117" s="591"/>
      <c r="AZ117" s="591"/>
      <c r="BA117" s="591"/>
      <c r="BB117" s="797"/>
    </row>
    <row r="118" spans="1:54" s="159" customFormat="1" ht="17.25" hidden="1" customHeight="1" x14ac:dyDescent="0.2">
      <c r="A118" s="796"/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596"/>
      <c r="AB118" s="597"/>
      <c r="AC118" s="597"/>
      <c r="AD118" s="597"/>
      <c r="AE118" s="597"/>
      <c r="AF118" s="59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AA118/AG105</f>
        <v>0</v>
      </c>
      <c r="AV118" s="591"/>
      <c r="AW118" s="591"/>
      <c r="AX118" s="591"/>
      <c r="AY118" s="591"/>
      <c r="AZ118" s="591"/>
      <c r="BA118" s="591"/>
      <c r="BB118" s="797"/>
    </row>
    <row r="119" spans="1:54" ht="20.25" hidden="1" customHeight="1" x14ac:dyDescent="0.2">
      <c r="A119" s="796"/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596"/>
      <c r="AB119" s="597"/>
      <c r="AC119" s="597"/>
      <c r="AD119" s="597"/>
      <c r="AE119" s="597"/>
      <c r="AF119" s="59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AA119/AG105</f>
        <v>0</v>
      </c>
      <c r="AV119" s="591"/>
      <c r="AW119" s="591"/>
      <c r="AX119" s="591"/>
      <c r="AY119" s="591"/>
      <c r="AZ119" s="591"/>
      <c r="BA119" s="591"/>
      <c r="BB119" s="797"/>
    </row>
    <row r="120" spans="1:54" ht="18.75" hidden="1" customHeight="1" x14ac:dyDescent="0.2">
      <c r="A120" s="796"/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5"/>
      <c r="AA120" s="596"/>
      <c r="AB120" s="597"/>
      <c r="AC120" s="597"/>
      <c r="AD120" s="597"/>
      <c r="AE120" s="597"/>
      <c r="AF120" s="598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90">
        <f>AA120/AG105</f>
        <v>0</v>
      </c>
      <c r="AV120" s="591"/>
      <c r="AW120" s="591"/>
      <c r="AX120" s="591"/>
      <c r="AY120" s="591"/>
      <c r="AZ120" s="591"/>
      <c r="BA120" s="591"/>
      <c r="BB120" s="797"/>
    </row>
    <row r="121" spans="1:54" ht="37.5" hidden="1" customHeight="1" x14ac:dyDescent="0.2">
      <c r="A121" s="796"/>
      <c r="B121" s="594"/>
      <c r="C121" s="594"/>
      <c r="D121" s="594"/>
      <c r="E121" s="594"/>
      <c r="F121" s="594"/>
      <c r="G121" s="594"/>
      <c r="H121" s="594"/>
      <c r="I121" s="594"/>
      <c r="J121" s="594"/>
      <c r="K121" s="594"/>
      <c r="L121" s="594"/>
      <c r="M121" s="594"/>
      <c r="N121" s="594"/>
      <c r="O121" s="594"/>
      <c r="P121" s="594"/>
      <c r="Q121" s="594"/>
      <c r="R121" s="594"/>
      <c r="S121" s="594"/>
      <c r="T121" s="594"/>
      <c r="U121" s="594"/>
      <c r="V121" s="594"/>
      <c r="W121" s="594"/>
      <c r="X121" s="594"/>
      <c r="Y121" s="594"/>
      <c r="Z121" s="595"/>
      <c r="AA121" s="596"/>
      <c r="AB121" s="597"/>
      <c r="AC121" s="597"/>
      <c r="AD121" s="597"/>
      <c r="AE121" s="597"/>
      <c r="AF121" s="598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590">
        <f>AA121/AG105</f>
        <v>0</v>
      </c>
      <c r="AV121" s="591"/>
      <c r="AW121" s="591"/>
      <c r="AX121" s="591"/>
      <c r="AY121" s="591"/>
      <c r="AZ121" s="591"/>
      <c r="BA121" s="591"/>
      <c r="BB121" s="797"/>
    </row>
    <row r="122" spans="1:54" ht="28.5" hidden="1" customHeight="1" x14ac:dyDescent="0.2">
      <c r="A122" s="796"/>
      <c r="B122" s="594"/>
      <c r="C122" s="594"/>
      <c r="D122" s="594"/>
      <c r="E122" s="594"/>
      <c r="F122" s="594"/>
      <c r="G122" s="594"/>
      <c r="H122" s="594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4"/>
      <c r="Z122" s="595"/>
      <c r="AA122" s="596"/>
      <c r="AB122" s="597"/>
      <c r="AC122" s="597"/>
      <c r="AD122" s="597"/>
      <c r="AE122" s="597"/>
      <c r="AF122" s="598"/>
      <c r="AG122" s="572"/>
      <c r="AH122" s="573"/>
      <c r="AI122" s="573"/>
      <c r="AJ122" s="573"/>
      <c r="AK122" s="573"/>
      <c r="AL122" s="574"/>
      <c r="AM122" s="572"/>
      <c r="AN122" s="573"/>
      <c r="AO122" s="573"/>
      <c r="AP122" s="573"/>
      <c r="AQ122" s="573"/>
      <c r="AR122" s="573"/>
      <c r="AS122" s="573"/>
      <c r="AT122" s="574"/>
      <c r="AU122" s="590">
        <f>AA122/AG105</f>
        <v>0</v>
      </c>
      <c r="AV122" s="591"/>
      <c r="AW122" s="591"/>
      <c r="AX122" s="591"/>
      <c r="AY122" s="591"/>
      <c r="AZ122" s="591"/>
      <c r="BA122" s="591"/>
      <c r="BB122" s="797"/>
    </row>
    <row r="123" spans="1:54" ht="19.5" hidden="1" customHeight="1" x14ac:dyDescent="0.2">
      <c r="A123" s="796"/>
      <c r="B123" s="594"/>
      <c r="C123" s="594"/>
      <c r="D123" s="594"/>
      <c r="E123" s="594"/>
      <c r="F123" s="594"/>
      <c r="G123" s="594"/>
      <c r="H123" s="594"/>
      <c r="I123" s="594"/>
      <c r="J123" s="594"/>
      <c r="K123" s="594"/>
      <c r="L123" s="594"/>
      <c r="M123" s="594"/>
      <c r="N123" s="594"/>
      <c r="O123" s="594"/>
      <c r="P123" s="594"/>
      <c r="Q123" s="594"/>
      <c r="R123" s="594"/>
      <c r="S123" s="594"/>
      <c r="T123" s="594"/>
      <c r="U123" s="594"/>
      <c r="V123" s="594"/>
      <c r="W123" s="594"/>
      <c r="X123" s="594"/>
      <c r="Y123" s="594"/>
      <c r="Z123" s="595"/>
      <c r="AA123" s="596"/>
      <c r="AB123" s="597"/>
      <c r="AC123" s="597"/>
      <c r="AD123" s="597"/>
      <c r="AE123" s="597"/>
      <c r="AF123" s="598"/>
      <c r="AG123" s="572"/>
      <c r="AH123" s="573"/>
      <c r="AI123" s="573"/>
      <c r="AJ123" s="573"/>
      <c r="AK123" s="573"/>
      <c r="AL123" s="574"/>
      <c r="AM123" s="572"/>
      <c r="AN123" s="573"/>
      <c r="AO123" s="573"/>
      <c r="AP123" s="573"/>
      <c r="AQ123" s="573"/>
      <c r="AR123" s="573"/>
      <c r="AS123" s="573"/>
      <c r="AT123" s="574"/>
      <c r="AU123" s="590">
        <f>AA123/AG105</f>
        <v>0</v>
      </c>
      <c r="AV123" s="591"/>
      <c r="AW123" s="591"/>
      <c r="AX123" s="591"/>
      <c r="AY123" s="591"/>
      <c r="AZ123" s="591"/>
      <c r="BA123" s="591"/>
      <c r="BB123" s="797"/>
    </row>
    <row r="124" spans="1:54" ht="21" hidden="1" customHeight="1" x14ac:dyDescent="0.2">
      <c r="A124" s="600"/>
      <c r="B124" s="600"/>
      <c r="C124" s="600"/>
      <c r="D124" s="600"/>
      <c r="E124" s="600"/>
      <c r="F124" s="600"/>
      <c r="G124" s="600"/>
      <c r="H124" s="600"/>
      <c r="I124" s="600"/>
      <c r="J124" s="600"/>
      <c r="K124" s="600"/>
      <c r="L124" s="600"/>
      <c r="M124" s="600"/>
      <c r="N124" s="600"/>
      <c r="O124" s="600"/>
      <c r="P124" s="600"/>
      <c r="Q124" s="600"/>
      <c r="R124" s="600"/>
      <c r="S124" s="600"/>
      <c r="T124" s="600"/>
      <c r="U124" s="600"/>
      <c r="V124" s="600"/>
      <c r="W124" s="600"/>
      <c r="X124" s="600"/>
      <c r="Y124" s="600"/>
      <c r="Z124" s="600"/>
      <c r="AA124" s="601"/>
      <c r="AB124" s="601"/>
      <c r="AC124" s="601"/>
      <c r="AD124" s="601"/>
      <c r="AE124" s="601"/>
      <c r="AF124" s="601"/>
      <c r="AG124" s="572"/>
      <c r="AH124" s="573"/>
      <c r="AI124" s="573"/>
      <c r="AJ124" s="573"/>
      <c r="AK124" s="573"/>
      <c r="AL124" s="574"/>
      <c r="AM124" s="572"/>
      <c r="AN124" s="573"/>
      <c r="AO124" s="573"/>
      <c r="AP124" s="573"/>
      <c r="AQ124" s="573"/>
      <c r="AR124" s="573"/>
      <c r="AS124" s="573"/>
      <c r="AT124" s="574"/>
      <c r="AU124" s="602">
        <f>AA124/AG105</f>
        <v>0</v>
      </c>
      <c r="AV124" s="602"/>
      <c r="AW124" s="602"/>
      <c r="AX124" s="602"/>
      <c r="AY124" s="602"/>
      <c r="AZ124" s="602"/>
      <c r="BA124" s="602"/>
      <c r="BB124" s="602"/>
    </row>
    <row r="125" spans="1:54" ht="23.25" hidden="1" customHeight="1" thickBot="1" x14ac:dyDescent="0.25">
      <c r="A125" s="798"/>
      <c r="B125" s="798"/>
      <c r="C125" s="798"/>
      <c r="D125" s="798"/>
      <c r="E125" s="798"/>
      <c r="F125" s="798"/>
      <c r="G125" s="798"/>
      <c r="H125" s="798"/>
      <c r="I125" s="798"/>
      <c r="J125" s="798"/>
      <c r="K125" s="798"/>
      <c r="L125" s="798"/>
      <c r="M125" s="798"/>
      <c r="N125" s="798"/>
      <c r="O125" s="798"/>
      <c r="P125" s="798"/>
      <c r="Q125" s="798"/>
      <c r="R125" s="798"/>
      <c r="S125" s="798"/>
      <c r="T125" s="798"/>
      <c r="U125" s="798"/>
      <c r="V125" s="798"/>
      <c r="W125" s="798"/>
      <c r="X125" s="798"/>
      <c r="Y125" s="798"/>
      <c r="Z125" s="798"/>
      <c r="AA125" s="799"/>
      <c r="AB125" s="799"/>
      <c r="AC125" s="799"/>
      <c r="AD125" s="799"/>
      <c r="AE125" s="799"/>
      <c r="AF125" s="799"/>
      <c r="AG125" s="572"/>
      <c r="AH125" s="573"/>
      <c r="AI125" s="573"/>
      <c r="AJ125" s="573"/>
      <c r="AK125" s="573"/>
      <c r="AL125" s="574"/>
      <c r="AM125" s="572"/>
      <c r="AN125" s="573"/>
      <c r="AO125" s="573"/>
      <c r="AP125" s="573"/>
      <c r="AQ125" s="573"/>
      <c r="AR125" s="573"/>
      <c r="AS125" s="573"/>
      <c r="AT125" s="574"/>
      <c r="AU125" s="800">
        <f>AA125/AG105</f>
        <v>0</v>
      </c>
      <c r="AV125" s="800"/>
      <c r="AW125" s="800"/>
      <c r="AX125" s="800"/>
      <c r="AY125" s="800"/>
      <c r="AZ125" s="800"/>
      <c r="BA125" s="800"/>
      <c r="BB125" s="800"/>
    </row>
    <row r="126" spans="1:54" ht="16.5" customHeight="1" thickBot="1" x14ac:dyDescent="0.25">
      <c r="A126" s="545" t="s">
        <v>51</v>
      </c>
      <c r="B126" s="546"/>
      <c r="C126" s="546"/>
      <c r="D126" s="546"/>
      <c r="E126" s="546"/>
      <c r="F126" s="546"/>
      <c r="G126" s="546"/>
      <c r="H126" s="546"/>
      <c r="I126" s="546"/>
      <c r="J126" s="546"/>
      <c r="K126" s="546"/>
      <c r="L126" s="546"/>
      <c r="M126" s="546"/>
      <c r="N126" s="546"/>
      <c r="O126" s="546"/>
      <c r="P126" s="546"/>
      <c r="Q126" s="546"/>
      <c r="R126" s="546"/>
      <c r="S126" s="546"/>
      <c r="T126" s="546"/>
      <c r="U126" s="546"/>
      <c r="V126" s="546"/>
      <c r="W126" s="546"/>
      <c r="X126" s="546"/>
      <c r="Y126" s="546"/>
      <c r="Z126" s="547"/>
      <c r="AA126" s="582">
        <f>SUM(AA105:AF125)</f>
        <v>3366.3</v>
      </c>
      <c r="AB126" s="583"/>
      <c r="AC126" s="583"/>
      <c r="AD126" s="583"/>
      <c r="AE126" s="583"/>
      <c r="AF126" s="583"/>
      <c r="AG126" s="532">
        <f>AG105</f>
        <v>36</v>
      </c>
      <c r="AH126" s="533"/>
      <c r="AI126" s="533"/>
      <c r="AJ126" s="533"/>
      <c r="AK126" s="533"/>
      <c r="AL126" s="534"/>
      <c r="AM126" s="551" t="s">
        <v>17</v>
      </c>
      <c r="AN126" s="552"/>
      <c r="AO126" s="552"/>
      <c r="AP126" s="552"/>
      <c r="AQ126" s="552"/>
      <c r="AR126" s="552"/>
      <c r="AS126" s="552"/>
      <c r="AT126" s="584"/>
      <c r="AU126" s="555">
        <f>SUM(AU105:BB125)</f>
        <v>93.508333333333326</v>
      </c>
      <c r="AV126" s="555"/>
      <c r="AW126" s="555"/>
      <c r="AX126" s="555"/>
      <c r="AY126" s="555"/>
      <c r="AZ126" s="555"/>
      <c r="BA126" s="555"/>
      <c r="BB126" s="556"/>
    </row>
    <row r="127" spans="1:54" ht="12.75" customHeight="1" x14ac:dyDescent="0.2"/>
    <row r="128" spans="1:54" s="161" customFormat="1" ht="15" customHeight="1" x14ac:dyDescent="0.2">
      <c r="A128" s="159" t="s">
        <v>59</v>
      </c>
      <c r="B128" s="159"/>
      <c r="C128" s="159" t="s">
        <v>60</v>
      </c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60"/>
      <c r="AY128" s="160"/>
      <c r="AZ128" s="160"/>
      <c r="BA128" s="160"/>
      <c r="BB128" s="160"/>
    </row>
    <row r="129" spans="1:54" ht="12" customHeight="1" thickBot="1" x14ac:dyDescent="0.25"/>
    <row r="130" spans="1:54" s="159" customFormat="1" ht="45.75" customHeight="1" x14ac:dyDescent="0.2">
      <c r="A130" s="585" t="s">
        <v>54</v>
      </c>
      <c r="B130" s="586"/>
      <c r="C130" s="586"/>
      <c r="D130" s="586"/>
      <c r="E130" s="586"/>
      <c r="F130" s="586"/>
      <c r="G130" s="586"/>
      <c r="H130" s="586"/>
      <c r="I130" s="586"/>
      <c r="J130" s="586"/>
      <c r="K130" s="586"/>
      <c r="L130" s="586"/>
      <c r="M130" s="586"/>
      <c r="N130" s="586"/>
      <c r="O130" s="586"/>
      <c r="P130" s="586"/>
      <c r="Q130" s="586"/>
      <c r="R130" s="586"/>
      <c r="S130" s="586"/>
      <c r="T130" s="586"/>
      <c r="U130" s="586"/>
      <c r="V130" s="586"/>
      <c r="W130" s="586"/>
      <c r="X130" s="586"/>
      <c r="Y130" s="586"/>
      <c r="Z130" s="587"/>
      <c r="AA130" s="536" t="s">
        <v>55</v>
      </c>
      <c r="AB130" s="537"/>
      <c r="AC130" s="537"/>
      <c r="AD130" s="537"/>
      <c r="AE130" s="537"/>
      <c r="AF130" s="538"/>
      <c r="AG130" s="536" t="s">
        <v>56</v>
      </c>
      <c r="AH130" s="537"/>
      <c r="AI130" s="537"/>
      <c r="AJ130" s="537"/>
      <c r="AK130" s="537"/>
      <c r="AL130" s="538"/>
      <c r="AM130" s="588" t="s">
        <v>57</v>
      </c>
      <c r="AN130" s="586"/>
      <c r="AO130" s="586"/>
      <c r="AP130" s="586"/>
      <c r="AQ130" s="586"/>
      <c r="AR130" s="586"/>
      <c r="AS130" s="586"/>
      <c r="AT130" s="587"/>
      <c r="AU130" s="588" t="s">
        <v>43</v>
      </c>
      <c r="AV130" s="586"/>
      <c r="AW130" s="586"/>
      <c r="AX130" s="586"/>
      <c r="AY130" s="586"/>
      <c r="AZ130" s="586"/>
      <c r="BA130" s="586"/>
      <c r="BB130" s="589"/>
    </row>
    <row r="131" spans="1:54" ht="11.25" customHeight="1" thickBot="1" x14ac:dyDescent="0.25">
      <c r="A131" s="564">
        <v>1</v>
      </c>
      <c r="B131" s="475"/>
      <c r="C131" s="475"/>
      <c r="D131" s="475"/>
      <c r="E131" s="475"/>
      <c r="F131" s="475"/>
      <c r="G131" s="475"/>
      <c r="H131" s="475"/>
      <c r="I131" s="475"/>
      <c r="J131" s="475"/>
      <c r="K131" s="475"/>
      <c r="L131" s="475"/>
      <c r="M131" s="475"/>
      <c r="N131" s="475"/>
      <c r="O131" s="475"/>
      <c r="P131" s="475"/>
      <c r="Q131" s="475"/>
      <c r="R131" s="475"/>
      <c r="S131" s="475"/>
      <c r="T131" s="475"/>
      <c r="U131" s="475"/>
      <c r="V131" s="475"/>
      <c r="W131" s="475"/>
      <c r="X131" s="475"/>
      <c r="Y131" s="475"/>
      <c r="Z131" s="476"/>
      <c r="AA131" s="474">
        <v>2</v>
      </c>
      <c r="AB131" s="475"/>
      <c r="AC131" s="475"/>
      <c r="AD131" s="475"/>
      <c r="AE131" s="475"/>
      <c r="AF131" s="476"/>
      <c r="AG131" s="474">
        <v>3</v>
      </c>
      <c r="AH131" s="475"/>
      <c r="AI131" s="475"/>
      <c r="AJ131" s="475"/>
      <c r="AK131" s="475"/>
      <c r="AL131" s="476"/>
      <c r="AM131" s="474">
        <v>4</v>
      </c>
      <c r="AN131" s="475"/>
      <c r="AO131" s="475"/>
      <c r="AP131" s="475"/>
      <c r="AQ131" s="475"/>
      <c r="AR131" s="475"/>
      <c r="AS131" s="475"/>
      <c r="AT131" s="476"/>
      <c r="AU131" s="474">
        <v>5</v>
      </c>
      <c r="AV131" s="475"/>
      <c r="AW131" s="475"/>
      <c r="AX131" s="475"/>
      <c r="AY131" s="475"/>
      <c r="AZ131" s="475"/>
      <c r="BA131" s="475"/>
      <c r="BB131" s="565"/>
    </row>
    <row r="132" spans="1:54" ht="31.5" hidden="1" customHeight="1" x14ac:dyDescent="0.2">
      <c r="A132" s="566"/>
      <c r="B132" s="567"/>
      <c r="C132" s="567"/>
      <c r="D132" s="567"/>
      <c r="E132" s="567"/>
      <c r="F132" s="567"/>
      <c r="G132" s="567"/>
      <c r="H132" s="567"/>
      <c r="I132" s="567"/>
      <c r="J132" s="567"/>
      <c r="K132" s="567"/>
      <c r="L132" s="567"/>
      <c r="M132" s="567"/>
      <c r="N132" s="567"/>
      <c r="O132" s="567"/>
      <c r="P132" s="567"/>
      <c r="Q132" s="567"/>
      <c r="R132" s="567"/>
      <c r="S132" s="567"/>
      <c r="T132" s="567"/>
      <c r="U132" s="567"/>
      <c r="V132" s="567"/>
      <c r="W132" s="567"/>
      <c r="X132" s="567"/>
      <c r="Y132" s="567"/>
      <c r="Z132" s="568"/>
      <c r="AA132" s="569">
        <v>0</v>
      </c>
      <c r="AB132" s="570"/>
      <c r="AC132" s="570"/>
      <c r="AD132" s="570"/>
      <c r="AE132" s="570"/>
      <c r="AF132" s="571"/>
      <c r="AG132" s="569">
        <f>U13</f>
        <v>36</v>
      </c>
      <c r="AH132" s="570"/>
      <c r="AI132" s="570"/>
      <c r="AJ132" s="570"/>
      <c r="AK132" s="570"/>
      <c r="AL132" s="571"/>
      <c r="AM132" s="569" t="s">
        <v>61</v>
      </c>
      <c r="AN132" s="570"/>
      <c r="AO132" s="570"/>
      <c r="AP132" s="570"/>
      <c r="AQ132" s="570"/>
      <c r="AR132" s="570"/>
      <c r="AS132" s="570"/>
      <c r="AT132" s="571"/>
      <c r="AU132" s="558">
        <f>AA132/AG132</f>
        <v>0</v>
      </c>
      <c r="AV132" s="559"/>
      <c r="AW132" s="559"/>
      <c r="AX132" s="559"/>
      <c r="AY132" s="559"/>
      <c r="AZ132" s="559"/>
      <c r="BA132" s="559"/>
      <c r="BB132" s="560"/>
    </row>
    <row r="133" spans="1:54" ht="4.5" hidden="1" customHeight="1" x14ac:dyDescent="0.2">
      <c r="A133" s="561"/>
      <c r="B133" s="562"/>
      <c r="C133" s="562"/>
      <c r="D133" s="562"/>
      <c r="E133" s="562"/>
      <c r="F133" s="562"/>
      <c r="G133" s="562"/>
      <c r="H133" s="562"/>
      <c r="I133" s="562"/>
      <c r="J133" s="562"/>
      <c r="K133" s="562"/>
      <c r="L133" s="562"/>
      <c r="M133" s="562"/>
      <c r="N133" s="562"/>
      <c r="O133" s="562"/>
      <c r="P133" s="562"/>
      <c r="Q133" s="562"/>
      <c r="R133" s="562"/>
      <c r="S133" s="562"/>
      <c r="T133" s="562"/>
      <c r="U133" s="562"/>
      <c r="V133" s="562"/>
      <c r="W133" s="562"/>
      <c r="X133" s="562"/>
      <c r="Y133" s="562"/>
      <c r="Z133" s="563"/>
      <c r="AA133" s="518"/>
      <c r="AB133" s="518"/>
      <c r="AC133" s="518"/>
      <c r="AD133" s="518"/>
      <c r="AE133" s="518"/>
      <c r="AF133" s="518"/>
      <c r="AG133" s="572"/>
      <c r="AH133" s="573"/>
      <c r="AI133" s="573"/>
      <c r="AJ133" s="573"/>
      <c r="AK133" s="573"/>
      <c r="AL133" s="574"/>
      <c r="AM133" s="572"/>
      <c r="AN133" s="573"/>
      <c r="AO133" s="573"/>
      <c r="AP133" s="573"/>
      <c r="AQ133" s="573"/>
      <c r="AR133" s="573"/>
      <c r="AS133" s="573"/>
      <c r="AT133" s="574"/>
      <c r="AU133" s="558">
        <f>AA133/AG132</f>
        <v>0</v>
      </c>
      <c r="AV133" s="559"/>
      <c r="AW133" s="559"/>
      <c r="AX133" s="559"/>
      <c r="AY133" s="559"/>
      <c r="AZ133" s="559"/>
      <c r="BA133" s="559"/>
      <c r="BB133" s="560"/>
    </row>
    <row r="134" spans="1:54" ht="21" customHeight="1" x14ac:dyDescent="0.2">
      <c r="A134" s="449"/>
      <c r="B134" s="450"/>
      <c r="C134" s="450"/>
      <c r="D134" s="450"/>
      <c r="E134" s="450"/>
      <c r="F134" s="450"/>
      <c r="G134" s="450"/>
      <c r="H134" s="450"/>
      <c r="I134" s="450"/>
      <c r="J134" s="450"/>
      <c r="K134" s="450"/>
      <c r="L134" s="450"/>
      <c r="M134" s="450"/>
      <c r="N134" s="450"/>
      <c r="O134" s="450"/>
      <c r="P134" s="450"/>
      <c r="Q134" s="450"/>
      <c r="R134" s="450"/>
      <c r="S134" s="450"/>
      <c r="T134" s="450"/>
      <c r="U134" s="450"/>
      <c r="V134" s="450"/>
      <c r="W134" s="450"/>
      <c r="X134" s="450"/>
      <c r="Y134" s="450"/>
      <c r="Z134" s="451"/>
      <c r="AA134" s="557"/>
      <c r="AB134" s="557"/>
      <c r="AC134" s="557"/>
      <c r="AD134" s="557"/>
      <c r="AE134" s="557"/>
      <c r="AF134" s="557"/>
      <c r="AG134" s="572"/>
      <c r="AH134" s="573"/>
      <c r="AI134" s="573"/>
      <c r="AJ134" s="573"/>
      <c r="AK134" s="573"/>
      <c r="AL134" s="574"/>
      <c r="AM134" s="572"/>
      <c r="AN134" s="573"/>
      <c r="AO134" s="573"/>
      <c r="AP134" s="573"/>
      <c r="AQ134" s="573"/>
      <c r="AR134" s="573"/>
      <c r="AS134" s="573"/>
      <c r="AT134" s="574"/>
      <c r="AU134" s="558">
        <f>AA134/AG132</f>
        <v>0</v>
      </c>
      <c r="AV134" s="559"/>
      <c r="AW134" s="559"/>
      <c r="AX134" s="559"/>
      <c r="AY134" s="559"/>
      <c r="AZ134" s="559"/>
      <c r="BA134" s="559"/>
      <c r="BB134" s="560"/>
    </row>
    <row r="135" spans="1:54" ht="21" customHeight="1" x14ac:dyDescent="0.2">
      <c r="A135" s="449"/>
      <c r="B135" s="450"/>
      <c r="C135" s="450"/>
      <c r="D135" s="450"/>
      <c r="E135" s="450"/>
      <c r="F135" s="450"/>
      <c r="G135" s="450"/>
      <c r="H135" s="450"/>
      <c r="I135" s="450"/>
      <c r="J135" s="450"/>
      <c r="K135" s="450"/>
      <c r="L135" s="450"/>
      <c r="M135" s="450"/>
      <c r="N135" s="450"/>
      <c r="O135" s="450"/>
      <c r="P135" s="450"/>
      <c r="Q135" s="450"/>
      <c r="R135" s="450"/>
      <c r="S135" s="450"/>
      <c r="T135" s="450"/>
      <c r="U135" s="450"/>
      <c r="V135" s="450"/>
      <c r="W135" s="450"/>
      <c r="X135" s="450"/>
      <c r="Y135" s="450"/>
      <c r="Z135" s="451"/>
      <c r="AA135" s="557"/>
      <c r="AB135" s="557"/>
      <c r="AC135" s="557"/>
      <c r="AD135" s="557"/>
      <c r="AE135" s="557"/>
      <c r="AF135" s="557"/>
      <c r="AG135" s="572"/>
      <c r="AH135" s="573"/>
      <c r="AI135" s="573"/>
      <c r="AJ135" s="573"/>
      <c r="AK135" s="573"/>
      <c r="AL135" s="574"/>
      <c r="AM135" s="572"/>
      <c r="AN135" s="573"/>
      <c r="AO135" s="573"/>
      <c r="AP135" s="573"/>
      <c r="AQ135" s="573"/>
      <c r="AR135" s="573"/>
      <c r="AS135" s="573"/>
      <c r="AT135" s="574"/>
      <c r="AU135" s="558">
        <f>AA135/AG132</f>
        <v>0</v>
      </c>
      <c r="AV135" s="559"/>
      <c r="AW135" s="559"/>
      <c r="AX135" s="559"/>
      <c r="AY135" s="559"/>
      <c r="AZ135" s="559"/>
      <c r="BA135" s="559"/>
      <c r="BB135" s="560"/>
    </row>
    <row r="136" spans="1:54" ht="6" hidden="1" customHeight="1" x14ac:dyDescent="0.2">
      <c r="A136" s="449"/>
      <c r="B136" s="450"/>
      <c r="C136" s="450"/>
      <c r="D136" s="450"/>
      <c r="E136" s="450"/>
      <c r="F136" s="450"/>
      <c r="G136" s="450"/>
      <c r="H136" s="450"/>
      <c r="I136" s="450"/>
      <c r="J136" s="450"/>
      <c r="K136" s="450"/>
      <c r="L136" s="450"/>
      <c r="M136" s="450"/>
      <c r="N136" s="450"/>
      <c r="O136" s="450"/>
      <c r="P136" s="450"/>
      <c r="Q136" s="450"/>
      <c r="R136" s="450"/>
      <c r="S136" s="450"/>
      <c r="T136" s="450"/>
      <c r="U136" s="450"/>
      <c r="V136" s="450"/>
      <c r="W136" s="450"/>
      <c r="X136" s="450"/>
      <c r="Y136" s="450"/>
      <c r="Z136" s="451"/>
      <c r="AA136" s="557"/>
      <c r="AB136" s="557"/>
      <c r="AC136" s="557"/>
      <c r="AD136" s="557"/>
      <c r="AE136" s="557"/>
      <c r="AF136" s="557"/>
      <c r="AG136" s="572"/>
      <c r="AH136" s="573"/>
      <c r="AI136" s="573"/>
      <c r="AJ136" s="573"/>
      <c r="AK136" s="573"/>
      <c r="AL136" s="574"/>
      <c r="AM136" s="572"/>
      <c r="AN136" s="573"/>
      <c r="AO136" s="573"/>
      <c r="AP136" s="573"/>
      <c r="AQ136" s="573"/>
      <c r="AR136" s="573"/>
      <c r="AS136" s="573"/>
      <c r="AT136" s="574"/>
      <c r="AU136" s="558">
        <f>AA136/AG132</f>
        <v>0</v>
      </c>
      <c r="AV136" s="559"/>
      <c r="AW136" s="559"/>
      <c r="AX136" s="559"/>
      <c r="AY136" s="559"/>
      <c r="AZ136" s="559"/>
      <c r="BA136" s="559"/>
      <c r="BB136" s="560"/>
    </row>
    <row r="137" spans="1:54" ht="0.75" customHeight="1" thickBot="1" x14ac:dyDescent="0.25">
      <c r="A137" s="575"/>
      <c r="B137" s="576"/>
      <c r="C137" s="576"/>
      <c r="D137" s="576"/>
      <c r="E137" s="576"/>
      <c r="F137" s="576"/>
      <c r="G137" s="576"/>
      <c r="H137" s="576"/>
      <c r="I137" s="576"/>
      <c r="J137" s="576"/>
      <c r="K137" s="576"/>
      <c r="L137" s="576"/>
      <c r="M137" s="576"/>
      <c r="N137" s="576"/>
      <c r="O137" s="576"/>
      <c r="P137" s="576"/>
      <c r="Q137" s="576"/>
      <c r="R137" s="576"/>
      <c r="S137" s="576"/>
      <c r="T137" s="576"/>
      <c r="U137" s="576"/>
      <c r="V137" s="576"/>
      <c r="W137" s="576"/>
      <c r="X137" s="576"/>
      <c r="Y137" s="576"/>
      <c r="Z137" s="577"/>
      <c r="AA137" s="578">
        <v>0</v>
      </c>
      <c r="AB137" s="578"/>
      <c r="AC137" s="578"/>
      <c r="AD137" s="578"/>
      <c r="AE137" s="578"/>
      <c r="AF137" s="578"/>
      <c r="AG137" s="572"/>
      <c r="AH137" s="573"/>
      <c r="AI137" s="573"/>
      <c r="AJ137" s="573"/>
      <c r="AK137" s="573"/>
      <c r="AL137" s="574"/>
      <c r="AM137" s="572"/>
      <c r="AN137" s="573"/>
      <c r="AO137" s="573"/>
      <c r="AP137" s="573"/>
      <c r="AQ137" s="573"/>
      <c r="AR137" s="573"/>
      <c r="AS137" s="573"/>
      <c r="AT137" s="574"/>
      <c r="AU137" s="579">
        <f>AA137/AG132</f>
        <v>0</v>
      </c>
      <c r="AV137" s="580"/>
      <c r="AW137" s="580"/>
      <c r="AX137" s="580"/>
      <c r="AY137" s="580"/>
      <c r="AZ137" s="580"/>
      <c r="BA137" s="580"/>
      <c r="BB137" s="581"/>
    </row>
    <row r="138" spans="1:54" ht="15" customHeight="1" thickBot="1" x14ac:dyDescent="0.25">
      <c r="A138" s="545" t="s">
        <v>51</v>
      </c>
      <c r="B138" s="546"/>
      <c r="C138" s="546"/>
      <c r="D138" s="546"/>
      <c r="E138" s="546"/>
      <c r="F138" s="546"/>
      <c r="G138" s="546"/>
      <c r="H138" s="546"/>
      <c r="I138" s="546"/>
      <c r="J138" s="546"/>
      <c r="K138" s="546"/>
      <c r="L138" s="546"/>
      <c r="M138" s="546"/>
      <c r="N138" s="546"/>
      <c r="O138" s="546"/>
      <c r="P138" s="546"/>
      <c r="Q138" s="546"/>
      <c r="R138" s="546"/>
      <c r="S138" s="546"/>
      <c r="T138" s="546"/>
      <c r="U138" s="546"/>
      <c r="V138" s="546"/>
      <c r="W138" s="546"/>
      <c r="X138" s="546"/>
      <c r="Y138" s="546"/>
      <c r="Z138" s="547"/>
      <c r="AA138" s="548">
        <f>SUM(AA132:AF135)</f>
        <v>0</v>
      </c>
      <c r="AB138" s="549"/>
      <c r="AC138" s="549"/>
      <c r="AD138" s="549"/>
      <c r="AE138" s="549"/>
      <c r="AF138" s="550"/>
      <c r="AG138" s="531">
        <f>AG132</f>
        <v>36</v>
      </c>
      <c r="AH138" s="533"/>
      <c r="AI138" s="533"/>
      <c r="AJ138" s="533"/>
      <c r="AK138" s="533"/>
      <c r="AL138" s="534"/>
      <c r="AM138" s="551" t="s">
        <v>17</v>
      </c>
      <c r="AN138" s="552"/>
      <c r="AO138" s="552"/>
      <c r="AP138" s="552"/>
      <c r="AQ138" s="552"/>
      <c r="AR138" s="552"/>
      <c r="AS138" s="552"/>
      <c r="AT138" s="553"/>
      <c r="AU138" s="554">
        <f>SUM(AU132:BB137)</f>
        <v>0</v>
      </c>
      <c r="AV138" s="555"/>
      <c r="AW138" s="555"/>
      <c r="AX138" s="555"/>
      <c r="AY138" s="555"/>
      <c r="AZ138" s="555"/>
      <c r="BA138" s="555"/>
      <c r="BB138" s="556"/>
    </row>
    <row r="139" spans="1:54" s="161" customFormat="1" ht="15" customHeight="1" x14ac:dyDescent="0.2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</row>
    <row r="140" spans="1:54" ht="27" customHeight="1" x14ac:dyDescent="0.2">
      <c r="A140" s="159" t="s">
        <v>62</v>
      </c>
      <c r="B140" s="159"/>
      <c r="C140" s="159" t="s">
        <v>63</v>
      </c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159"/>
      <c r="AX140" s="160"/>
      <c r="AY140" s="160"/>
      <c r="AZ140" s="160"/>
      <c r="BA140" s="160"/>
      <c r="BB140" s="160"/>
    </row>
    <row r="141" spans="1:54" ht="21.75" customHeight="1" thickBot="1" x14ac:dyDescent="0.25"/>
    <row r="142" spans="1:54" ht="63" customHeight="1" x14ac:dyDescent="0.2">
      <c r="A142" s="499" t="s">
        <v>54</v>
      </c>
      <c r="B142" s="500"/>
      <c r="C142" s="500"/>
      <c r="D142" s="500"/>
      <c r="E142" s="500"/>
      <c r="F142" s="500"/>
      <c r="G142" s="500"/>
      <c r="H142" s="801" t="s">
        <v>64</v>
      </c>
      <c r="I142" s="801"/>
      <c r="J142" s="801"/>
      <c r="K142" s="801"/>
      <c r="L142" s="801"/>
      <c r="M142" s="801" t="s">
        <v>94</v>
      </c>
      <c r="N142" s="801"/>
      <c r="O142" s="801"/>
      <c r="P142" s="801"/>
      <c r="Q142" s="801"/>
      <c r="R142" s="535" t="s">
        <v>82</v>
      </c>
      <c r="S142" s="535"/>
      <c r="T142" s="535"/>
      <c r="U142" s="535"/>
      <c r="V142" s="535" t="s">
        <v>65</v>
      </c>
      <c r="W142" s="535"/>
      <c r="X142" s="535"/>
      <c r="Y142" s="535"/>
      <c r="Z142" s="535" t="s">
        <v>66</v>
      </c>
      <c r="AA142" s="535"/>
      <c r="AB142" s="535"/>
      <c r="AC142" s="535"/>
      <c r="AD142" s="535" t="s">
        <v>67</v>
      </c>
      <c r="AE142" s="535"/>
      <c r="AF142" s="535"/>
      <c r="AG142" s="535"/>
      <c r="AH142" s="535"/>
      <c r="AI142" s="535"/>
      <c r="AJ142" s="535"/>
      <c r="AK142" s="535"/>
      <c r="AL142" s="535"/>
      <c r="AM142" s="535"/>
      <c r="AN142" s="535"/>
      <c r="AO142" s="535"/>
      <c r="AP142" s="535"/>
      <c r="AQ142" s="801" t="s">
        <v>112</v>
      </c>
      <c r="AR142" s="801"/>
      <c r="AS142" s="801"/>
      <c r="AT142" s="801"/>
      <c r="AU142" s="802" t="s">
        <v>111</v>
      </c>
      <c r="AV142" s="803"/>
      <c r="AW142" s="803"/>
      <c r="AX142" s="804"/>
      <c r="AY142" s="802" t="s">
        <v>87</v>
      </c>
      <c r="AZ142" s="803"/>
      <c r="BA142" s="803"/>
      <c r="BB142" s="804"/>
    </row>
    <row r="143" spans="1:54" ht="71.25" customHeight="1" thickBot="1" x14ac:dyDescent="0.25">
      <c r="A143" s="805"/>
      <c r="B143" s="806"/>
      <c r="C143" s="806"/>
      <c r="D143" s="806"/>
      <c r="E143" s="806"/>
      <c r="F143" s="806"/>
      <c r="G143" s="806"/>
      <c r="H143" s="801" t="s">
        <v>68</v>
      </c>
      <c r="I143" s="801"/>
      <c r="J143" s="801"/>
      <c r="K143" s="801"/>
      <c r="L143" s="801"/>
      <c r="M143" s="801" t="s">
        <v>68</v>
      </c>
      <c r="N143" s="801"/>
      <c r="O143" s="801"/>
      <c r="P143" s="801"/>
      <c r="Q143" s="801"/>
      <c r="R143" s="801"/>
      <c r="S143" s="801"/>
      <c r="T143" s="801"/>
      <c r="U143" s="801"/>
      <c r="V143" s="801"/>
      <c r="W143" s="801"/>
      <c r="X143" s="801"/>
      <c r="Y143" s="801"/>
      <c r="Z143" s="801"/>
      <c r="AA143" s="801"/>
      <c r="AB143" s="801"/>
      <c r="AC143" s="801"/>
      <c r="AD143" s="540" t="s">
        <v>68</v>
      </c>
      <c r="AE143" s="540"/>
      <c r="AF143" s="540"/>
      <c r="AG143" s="540"/>
      <c r="AH143" s="540"/>
      <c r="AI143" s="540"/>
      <c r="AJ143" s="541" t="s">
        <v>69</v>
      </c>
      <c r="AK143" s="542"/>
      <c r="AL143" s="542"/>
      <c r="AM143" s="542"/>
      <c r="AN143" s="542"/>
      <c r="AO143" s="542"/>
      <c r="AP143" s="543"/>
      <c r="AQ143" s="801" t="s">
        <v>68</v>
      </c>
      <c r="AR143" s="801"/>
      <c r="AS143" s="801"/>
      <c r="AT143" s="801"/>
      <c r="AU143" s="801" t="s">
        <v>68</v>
      </c>
      <c r="AV143" s="801"/>
      <c r="AW143" s="801"/>
      <c r="AX143" s="801"/>
      <c r="AY143" s="801" t="s">
        <v>68</v>
      </c>
      <c r="AZ143" s="801"/>
      <c r="BA143" s="801"/>
      <c r="BB143" s="801"/>
    </row>
    <row r="144" spans="1:54" ht="22.5" customHeight="1" thickBot="1" x14ac:dyDescent="0.25">
      <c r="A144" s="640">
        <v>1</v>
      </c>
      <c r="B144" s="641"/>
      <c r="C144" s="641"/>
      <c r="D144" s="641"/>
      <c r="E144" s="641"/>
      <c r="F144" s="641"/>
      <c r="G144" s="641"/>
      <c r="H144" s="641">
        <v>2</v>
      </c>
      <c r="I144" s="641"/>
      <c r="J144" s="641"/>
      <c r="K144" s="641"/>
      <c r="L144" s="641"/>
      <c r="M144" s="641">
        <v>3</v>
      </c>
      <c r="N144" s="641"/>
      <c r="O144" s="641"/>
      <c r="P144" s="641"/>
      <c r="Q144" s="641"/>
      <c r="R144" s="641">
        <v>4</v>
      </c>
      <c r="S144" s="641"/>
      <c r="T144" s="641"/>
      <c r="U144" s="641"/>
      <c r="V144" s="641">
        <v>5</v>
      </c>
      <c r="W144" s="641"/>
      <c r="X144" s="641"/>
      <c r="Y144" s="641"/>
      <c r="Z144" s="641">
        <v>6</v>
      </c>
      <c r="AA144" s="641"/>
      <c r="AB144" s="641"/>
      <c r="AC144" s="474"/>
      <c r="AD144" s="530">
        <v>7</v>
      </c>
      <c r="AE144" s="503"/>
      <c r="AF144" s="503"/>
      <c r="AG144" s="503"/>
      <c r="AH144" s="503"/>
      <c r="AI144" s="531"/>
      <c r="AJ144" s="532">
        <v>8</v>
      </c>
      <c r="AK144" s="533"/>
      <c r="AL144" s="533"/>
      <c r="AM144" s="533"/>
      <c r="AN144" s="533"/>
      <c r="AO144" s="533"/>
      <c r="AP144" s="534"/>
      <c r="AQ144" s="641">
        <v>9</v>
      </c>
      <c r="AR144" s="641"/>
      <c r="AS144" s="641"/>
      <c r="AT144" s="641"/>
      <c r="AU144" s="641">
        <v>10</v>
      </c>
      <c r="AV144" s="641"/>
      <c r="AW144" s="641"/>
      <c r="AX144" s="641"/>
      <c r="AY144" s="641">
        <v>11</v>
      </c>
      <c r="AZ144" s="641"/>
      <c r="BA144" s="641"/>
      <c r="BB144" s="641"/>
    </row>
    <row r="145" spans="1:107" ht="24.75" customHeight="1" x14ac:dyDescent="0.2">
      <c r="A145" s="618" t="s">
        <v>70</v>
      </c>
      <c r="B145" s="619"/>
      <c r="C145" s="619"/>
      <c r="D145" s="619"/>
      <c r="E145" s="619"/>
      <c r="F145" s="619"/>
      <c r="G145" s="619"/>
      <c r="H145" s="477">
        <f>AO89/V145</f>
        <v>51.201150000000005</v>
      </c>
      <c r="I145" s="477"/>
      <c r="J145" s="477"/>
      <c r="K145" s="477"/>
      <c r="L145" s="477"/>
      <c r="M145" s="477">
        <f>H145</f>
        <v>51.201150000000005</v>
      </c>
      <c r="N145" s="477"/>
      <c r="O145" s="477"/>
      <c r="P145" s="477"/>
      <c r="Q145" s="477"/>
      <c r="R145" s="508">
        <f>U13</f>
        <v>36</v>
      </c>
      <c r="S145" s="509"/>
      <c r="T145" s="509"/>
      <c r="U145" s="510"/>
      <c r="V145" s="807">
        <f>Y17</f>
        <v>12</v>
      </c>
      <c r="W145" s="807"/>
      <c r="X145" s="807"/>
      <c r="Y145" s="807"/>
      <c r="Z145" s="807">
        <f>U17</f>
        <v>1</v>
      </c>
      <c r="AA145" s="807"/>
      <c r="AB145" s="807"/>
      <c r="AC145" s="807"/>
      <c r="AD145" s="809" t="s">
        <v>71</v>
      </c>
      <c r="AE145" s="810"/>
      <c r="AF145" s="810"/>
      <c r="AG145" s="810"/>
      <c r="AH145" s="810"/>
      <c r="AI145" s="811"/>
      <c r="AJ145" s="812"/>
      <c r="AK145" s="813"/>
      <c r="AL145" s="813"/>
      <c r="AM145" s="813"/>
      <c r="AN145" s="813"/>
      <c r="AO145" s="813"/>
      <c r="AP145" s="814"/>
      <c r="AQ145" s="477">
        <f>H145*4</f>
        <v>204.80460000000002</v>
      </c>
      <c r="AR145" s="477"/>
      <c r="AS145" s="477"/>
      <c r="AT145" s="477"/>
      <c r="AU145" s="477">
        <f>M145</f>
        <v>51.201150000000005</v>
      </c>
      <c r="AV145" s="477"/>
      <c r="AW145" s="477"/>
      <c r="AX145" s="477"/>
      <c r="AY145" s="477">
        <f>H145*R145</f>
        <v>1843.2414000000001</v>
      </c>
      <c r="AZ145" s="477"/>
      <c r="BA145" s="477"/>
      <c r="BB145" s="477"/>
    </row>
    <row r="146" spans="1:107" ht="29.25" customHeight="1" x14ac:dyDescent="0.2">
      <c r="A146" s="527" t="s">
        <v>72</v>
      </c>
      <c r="B146" s="528"/>
      <c r="C146" s="528"/>
      <c r="D146" s="528"/>
      <c r="E146" s="528"/>
      <c r="F146" s="528"/>
      <c r="G146" s="528"/>
      <c r="H146" s="529">
        <f>AV99</f>
        <v>18.256654907446602</v>
      </c>
      <c r="I146" s="529"/>
      <c r="J146" s="529"/>
      <c r="K146" s="529"/>
      <c r="L146" s="529"/>
      <c r="M146" s="477">
        <f t="shared" ref="M146:M148" si="3">H146</f>
        <v>18.256654907446602</v>
      </c>
      <c r="N146" s="477"/>
      <c r="O146" s="477"/>
      <c r="P146" s="477"/>
      <c r="Q146" s="477"/>
      <c r="R146" s="511"/>
      <c r="S146" s="512"/>
      <c r="T146" s="512"/>
      <c r="U146" s="513"/>
      <c r="V146" s="518"/>
      <c r="W146" s="518"/>
      <c r="X146" s="518"/>
      <c r="Y146" s="518"/>
      <c r="Z146" s="518"/>
      <c r="AA146" s="518"/>
      <c r="AB146" s="518"/>
      <c r="AC146" s="518"/>
      <c r="AD146" s="477" t="s">
        <v>71</v>
      </c>
      <c r="AE146" s="477"/>
      <c r="AF146" s="477"/>
      <c r="AG146" s="477"/>
      <c r="AH146" s="477"/>
      <c r="AI146" s="477"/>
      <c r="AJ146" s="478"/>
      <c r="AK146" s="479"/>
      <c r="AL146" s="479"/>
      <c r="AM146" s="479"/>
      <c r="AN146" s="479"/>
      <c r="AO146" s="479"/>
      <c r="AP146" s="480"/>
      <c r="AQ146" s="477">
        <f t="shared" ref="AQ146:AQ148" si="4">H146*4</f>
        <v>73.02661962978641</v>
      </c>
      <c r="AR146" s="477"/>
      <c r="AS146" s="477"/>
      <c r="AT146" s="477"/>
      <c r="AU146" s="477">
        <f t="shared" ref="AU146:AU148" si="5">M146</f>
        <v>18.256654907446602</v>
      </c>
      <c r="AV146" s="477"/>
      <c r="AW146" s="477"/>
      <c r="AX146" s="477"/>
      <c r="AY146" s="477">
        <f>H146*R145</f>
        <v>657.23957666807769</v>
      </c>
      <c r="AZ146" s="477"/>
      <c r="BA146" s="477"/>
      <c r="BB146" s="477"/>
    </row>
    <row r="147" spans="1:107" ht="15" customHeight="1" x14ac:dyDescent="0.2">
      <c r="A147" s="527" t="s">
        <v>73</v>
      </c>
      <c r="B147" s="528"/>
      <c r="C147" s="528"/>
      <c r="D147" s="528"/>
      <c r="E147" s="528"/>
      <c r="F147" s="528"/>
      <c r="G147" s="528"/>
      <c r="H147" s="529">
        <f>AU126</f>
        <v>93.508333333333326</v>
      </c>
      <c r="I147" s="529"/>
      <c r="J147" s="529"/>
      <c r="K147" s="529"/>
      <c r="L147" s="529"/>
      <c r="M147" s="477">
        <f t="shared" si="3"/>
        <v>93.508333333333326</v>
      </c>
      <c r="N147" s="477"/>
      <c r="O147" s="477"/>
      <c r="P147" s="477"/>
      <c r="Q147" s="477"/>
      <c r="R147" s="511"/>
      <c r="S147" s="512"/>
      <c r="T147" s="512"/>
      <c r="U147" s="513"/>
      <c r="V147" s="518"/>
      <c r="W147" s="518"/>
      <c r="X147" s="518"/>
      <c r="Y147" s="518"/>
      <c r="Z147" s="518"/>
      <c r="AA147" s="518"/>
      <c r="AB147" s="518"/>
      <c r="AC147" s="518"/>
      <c r="AD147" s="477" t="s">
        <v>71</v>
      </c>
      <c r="AE147" s="477"/>
      <c r="AF147" s="477"/>
      <c r="AG147" s="477"/>
      <c r="AH147" s="477"/>
      <c r="AI147" s="477"/>
      <c r="AJ147" s="478"/>
      <c r="AK147" s="479"/>
      <c r="AL147" s="479"/>
      <c r="AM147" s="479"/>
      <c r="AN147" s="479"/>
      <c r="AO147" s="479"/>
      <c r="AP147" s="480"/>
      <c r="AQ147" s="477">
        <f t="shared" si="4"/>
        <v>374.0333333333333</v>
      </c>
      <c r="AR147" s="477"/>
      <c r="AS147" s="477"/>
      <c r="AT147" s="477"/>
      <c r="AU147" s="477">
        <f t="shared" si="5"/>
        <v>93.508333333333326</v>
      </c>
      <c r="AV147" s="477"/>
      <c r="AW147" s="477"/>
      <c r="AX147" s="477"/>
      <c r="AY147" s="477">
        <f>H147*R145</f>
        <v>3366.2999999999997</v>
      </c>
      <c r="AZ147" s="477"/>
      <c r="BA147" s="477"/>
      <c r="BB147" s="477"/>
    </row>
    <row r="148" spans="1:107" ht="26.25" customHeight="1" thickBot="1" x14ac:dyDescent="0.25">
      <c r="A148" s="815" t="s">
        <v>74</v>
      </c>
      <c r="B148" s="816"/>
      <c r="C148" s="816"/>
      <c r="D148" s="816"/>
      <c r="E148" s="816"/>
      <c r="F148" s="816"/>
      <c r="G148" s="816"/>
      <c r="H148" s="627">
        <f>AU138</f>
        <v>0</v>
      </c>
      <c r="I148" s="627"/>
      <c r="J148" s="627"/>
      <c r="K148" s="627"/>
      <c r="L148" s="627"/>
      <c r="M148" s="477">
        <f t="shared" si="3"/>
        <v>0</v>
      </c>
      <c r="N148" s="477"/>
      <c r="O148" s="477"/>
      <c r="P148" s="477"/>
      <c r="Q148" s="477"/>
      <c r="R148" s="514"/>
      <c r="S148" s="515"/>
      <c r="T148" s="515"/>
      <c r="U148" s="516"/>
      <c r="V148" s="808"/>
      <c r="W148" s="808"/>
      <c r="X148" s="808"/>
      <c r="Y148" s="808"/>
      <c r="Z148" s="808"/>
      <c r="AA148" s="808"/>
      <c r="AB148" s="808"/>
      <c r="AC148" s="808"/>
      <c r="AD148" s="477" t="s">
        <v>71</v>
      </c>
      <c r="AE148" s="477"/>
      <c r="AF148" s="477"/>
      <c r="AG148" s="477"/>
      <c r="AH148" s="477"/>
      <c r="AI148" s="477"/>
      <c r="AJ148" s="496" t="s">
        <v>17</v>
      </c>
      <c r="AK148" s="497"/>
      <c r="AL148" s="497"/>
      <c r="AM148" s="497"/>
      <c r="AN148" s="497"/>
      <c r="AO148" s="497"/>
      <c r="AP148" s="498"/>
      <c r="AQ148" s="477">
        <f t="shared" si="4"/>
        <v>0</v>
      </c>
      <c r="AR148" s="477"/>
      <c r="AS148" s="477"/>
      <c r="AT148" s="477"/>
      <c r="AU148" s="477">
        <f t="shared" si="5"/>
        <v>0</v>
      </c>
      <c r="AV148" s="477"/>
      <c r="AW148" s="477"/>
      <c r="AX148" s="477"/>
      <c r="AY148" s="483">
        <f>H148*R145</f>
        <v>0</v>
      </c>
      <c r="AZ148" s="483"/>
      <c r="BA148" s="483"/>
      <c r="BB148" s="483"/>
    </row>
    <row r="149" spans="1:107" ht="25.5" customHeight="1" x14ac:dyDescent="0.2">
      <c r="A149" s="485" t="s">
        <v>80</v>
      </c>
      <c r="B149" s="486"/>
      <c r="C149" s="486"/>
      <c r="D149" s="486"/>
      <c r="E149" s="486"/>
      <c r="F149" s="486"/>
      <c r="G149" s="487"/>
      <c r="H149" s="488">
        <f>SUM(H145:L148)</f>
        <v>162.96613824077994</v>
      </c>
      <c r="I149" s="488"/>
      <c r="J149" s="488"/>
      <c r="K149" s="488"/>
      <c r="L149" s="488"/>
      <c r="M149" s="488">
        <f>SUM(M145:Q148)</f>
        <v>162.96613824077994</v>
      </c>
      <c r="N149" s="488"/>
      <c r="O149" s="488"/>
      <c r="P149" s="488"/>
      <c r="Q149" s="488"/>
      <c r="R149" s="489">
        <f>R145</f>
        <v>36</v>
      </c>
      <c r="S149" s="489"/>
      <c r="T149" s="489"/>
      <c r="U149" s="489"/>
      <c r="V149" s="490">
        <f>V145</f>
        <v>12</v>
      </c>
      <c r="W149" s="490"/>
      <c r="X149" s="490"/>
      <c r="Y149" s="490"/>
      <c r="Z149" s="490">
        <f>Z145</f>
        <v>1</v>
      </c>
      <c r="AA149" s="490"/>
      <c r="AB149" s="490"/>
      <c r="AC149" s="490"/>
      <c r="AD149" s="488" t="s">
        <v>17</v>
      </c>
      <c r="AE149" s="488"/>
      <c r="AF149" s="488"/>
      <c r="AG149" s="488"/>
      <c r="AH149" s="488"/>
      <c r="AI149" s="488"/>
      <c r="AJ149" s="491" t="s">
        <v>17</v>
      </c>
      <c r="AK149" s="492"/>
      <c r="AL149" s="492"/>
      <c r="AM149" s="492"/>
      <c r="AN149" s="492"/>
      <c r="AO149" s="492"/>
      <c r="AP149" s="493"/>
      <c r="AQ149" s="702">
        <f>SUM(AQ145:AT148)</f>
        <v>651.86455296311976</v>
      </c>
      <c r="AR149" s="702"/>
      <c r="AS149" s="702"/>
      <c r="AT149" s="702"/>
      <c r="AU149" s="702">
        <f>SUM(AU145:AX148)</f>
        <v>162.96613824077994</v>
      </c>
      <c r="AV149" s="702"/>
      <c r="AW149" s="702"/>
      <c r="AX149" s="702"/>
      <c r="AY149" s="702">
        <f>SUM(AY145:BB148)</f>
        <v>5866.7809766680775</v>
      </c>
      <c r="AZ149" s="702"/>
      <c r="BA149" s="702"/>
      <c r="BB149" s="702"/>
    </row>
    <row r="150" spans="1:107" ht="30.75" customHeight="1" x14ac:dyDescent="0.2">
      <c r="A150" s="817" t="s">
        <v>75</v>
      </c>
      <c r="B150" s="456"/>
      <c r="C150" s="456"/>
      <c r="D150" s="456"/>
      <c r="E150" s="456"/>
      <c r="F150" s="456"/>
      <c r="G150" s="215">
        <v>0.35</v>
      </c>
      <c r="H150" s="457">
        <f>H149*G150</f>
        <v>57.038148384272972</v>
      </c>
      <c r="I150" s="457"/>
      <c r="J150" s="457"/>
      <c r="K150" s="457"/>
      <c r="L150" s="457"/>
      <c r="M150" s="457">
        <f>M149*G150</f>
        <v>57.038148384272972</v>
      </c>
      <c r="N150" s="457"/>
      <c r="O150" s="457"/>
      <c r="P150" s="457"/>
      <c r="Q150" s="457"/>
      <c r="R150" s="818">
        <f>R145</f>
        <v>36</v>
      </c>
      <c r="S150" s="819"/>
      <c r="T150" s="819"/>
      <c r="U150" s="820"/>
      <c r="V150" s="821">
        <f>V145</f>
        <v>12</v>
      </c>
      <c r="W150" s="819"/>
      <c r="X150" s="819"/>
      <c r="Y150" s="820"/>
      <c r="Z150" s="821">
        <f>Z145</f>
        <v>1</v>
      </c>
      <c r="AA150" s="819"/>
      <c r="AB150" s="819"/>
      <c r="AC150" s="820"/>
      <c r="AD150" s="462" t="s">
        <v>17</v>
      </c>
      <c r="AE150" s="462"/>
      <c r="AF150" s="462"/>
      <c r="AG150" s="462"/>
      <c r="AH150" s="462"/>
      <c r="AI150" s="462"/>
      <c r="AJ150" s="462" t="s">
        <v>17</v>
      </c>
      <c r="AK150" s="462"/>
      <c r="AL150" s="462"/>
      <c r="AM150" s="462"/>
      <c r="AN150" s="462"/>
      <c r="AO150" s="462"/>
      <c r="AP150" s="462"/>
      <c r="AQ150" s="466">
        <f>AQ149*G150</f>
        <v>228.15259353709189</v>
      </c>
      <c r="AR150" s="466"/>
      <c r="AS150" s="466"/>
      <c r="AT150" s="466"/>
      <c r="AU150" s="466">
        <f>AU149*G150</f>
        <v>57.038148384272972</v>
      </c>
      <c r="AV150" s="466"/>
      <c r="AW150" s="466"/>
      <c r="AX150" s="466"/>
      <c r="AY150" s="466">
        <f>AY149*G150</f>
        <v>2053.373341833827</v>
      </c>
      <c r="AZ150" s="466"/>
      <c r="BA150" s="466"/>
      <c r="BB150" s="466"/>
    </row>
    <row r="151" spans="1:107" ht="30.75" customHeight="1" thickBot="1" x14ac:dyDescent="0.25">
      <c r="A151" s="824" t="s">
        <v>81</v>
      </c>
      <c r="B151" s="469"/>
      <c r="C151" s="469"/>
      <c r="D151" s="469"/>
      <c r="E151" s="469"/>
      <c r="F151" s="469"/>
      <c r="G151" s="470"/>
      <c r="H151" s="464">
        <f>H149+H150</f>
        <v>220.00428662505291</v>
      </c>
      <c r="I151" s="464"/>
      <c r="J151" s="464"/>
      <c r="K151" s="464"/>
      <c r="L151" s="464"/>
      <c r="M151" s="471">
        <f>M149+M150</f>
        <v>220.00428662505291</v>
      </c>
      <c r="N151" s="472"/>
      <c r="O151" s="472"/>
      <c r="P151" s="472"/>
      <c r="Q151" s="473"/>
      <c r="R151" s="825">
        <f>R145</f>
        <v>36</v>
      </c>
      <c r="S151" s="826"/>
      <c r="T151" s="826"/>
      <c r="U151" s="827"/>
      <c r="V151" s="828">
        <f>V145</f>
        <v>12</v>
      </c>
      <c r="W151" s="829"/>
      <c r="X151" s="829"/>
      <c r="Y151" s="830"/>
      <c r="Z151" s="828">
        <f>Z145</f>
        <v>1</v>
      </c>
      <c r="AA151" s="829"/>
      <c r="AB151" s="829"/>
      <c r="AC151" s="830"/>
      <c r="AD151" s="463" t="s">
        <v>17</v>
      </c>
      <c r="AE151" s="463"/>
      <c r="AF151" s="463"/>
      <c r="AG151" s="463"/>
      <c r="AH151" s="463"/>
      <c r="AI151" s="463"/>
      <c r="AJ151" s="463" t="s">
        <v>17</v>
      </c>
      <c r="AK151" s="463"/>
      <c r="AL151" s="463"/>
      <c r="AM151" s="463"/>
      <c r="AN151" s="463"/>
      <c r="AO151" s="463"/>
      <c r="AP151" s="463"/>
      <c r="AQ151" s="466">
        <f>AQ149+AQ150</f>
        <v>880.01714650021165</v>
      </c>
      <c r="AR151" s="466"/>
      <c r="AS151" s="466"/>
      <c r="AT151" s="466"/>
      <c r="AU151" s="466">
        <f>AU149+AU150</f>
        <v>220.00428662505291</v>
      </c>
      <c r="AV151" s="466"/>
      <c r="AW151" s="466"/>
      <c r="AX151" s="466"/>
      <c r="AY151" s="823">
        <f>AY149+AY150</f>
        <v>7920.1543185019045</v>
      </c>
      <c r="AZ151" s="823"/>
      <c r="BA151" s="823"/>
      <c r="BB151" s="823"/>
      <c r="BE151" s="216"/>
      <c r="BF151" s="216"/>
    </row>
    <row r="152" spans="1:107" ht="16.5" customHeight="1" x14ac:dyDescent="0.2">
      <c r="BC152" s="432"/>
      <c r="BD152" s="432"/>
      <c r="BE152" s="216"/>
      <c r="BF152" s="216"/>
      <c r="BG152" s="216"/>
      <c r="BH152" s="216"/>
      <c r="BI152" s="216"/>
    </row>
    <row r="153" spans="1:107" ht="12" customHeight="1" x14ac:dyDescent="0.2">
      <c r="BC153" s="432"/>
      <c r="BD153" s="432"/>
      <c r="BE153" s="216"/>
      <c r="BF153" s="216"/>
    </row>
    <row r="154" spans="1:107" ht="14.25" customHeight="1" x14ac:dyDescent="0.25">
      <c r="B154" s="452" t="s">
        <v>221</v>
      </c>
      <c r="C154" s="452"/>
      <c r="D154" s="452"/>
      <c r="E154" s="452"/>
      <c r="F154" s="452"/>
      <c r="G154" s="452"/>
      <c r="H154" s="452"/>
      <c r="I154" s="452"/>
      <c r="J154" s="452"/>
      <c r="K154" s="452"/>
      <c r="L154" s="452"/>
      <c r="M154" s="452"/>
      <c r="N154" s="452"/>
      <c r="O154" s="452"/>
      <c r="P154" s="452"/>
      <c r="Q154" s="452"/>
      <c r="R154" s="452"/>
      <c r="S154" s="452"/>
      <c r="U154" s="164"/>
      <c r="V154" s="164"/>
      <c r="W154" s="164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T154" s="100"/>
      <c r="AU154" s="218" t="s">
        <v>222</v>
      </c>
      <c r="AV154" s="218"/>
      <c r="AW154" s="218"/>
      <c r="AX154" s="218"/>
      <c r="AY154" s="218"/>
      <c r="AZ154" s="218"/>
      <c r="BC154" s="432"/>
      <c r="BD154" s="432"/>
      <c r="BE154" s="216"/>
      <c r="BF154" s="216"/>
    </row>
    <row r="155" spans="1:107" ht="8.25" customHeight="1" x14ac:dyDescent="0.2">
      <c r="B155" s="452" t="s">
        <v>78</v>
      </c>
      <c r="C155" s="452"/>
      <c r="D155" s="452"/>
      <c r="E155" s="452"/>
      <c r="F155" s="452"/>
      <c r="G155" s="452"/>
      <c r="H155" s="452"/>
      <c r="I155" s="452"/>
      <c r="J155" s="452"/>
      <c r="K155" s="452"/>
      <c r="L155" s="452"/>
      <c r="M155" s="452"/>
      <c r="N155" s="452"/>
      <c r="O155" s="452"/>
      <c r="P155" s="452"/>
      <c r="Q155" s="452"/>
      <c r="R155" s="452"/>
      <c r="S155" s="452"/>
      <c r="AM155" s="822" t="s">
        <v>311</v>
      </c>
      <c r="AN155" s="822"/>
      <c r="AO155" s="822"/>
      <c r="AP155" s="822"/>
      <c r="AQ155" s="822"/>
      <c r="AR155" s="822"/>
      <c r="AS155" s="822"/>
      <c r="AT155" s="822"/>
      <c r="AU155" s="822"/>
      <c r="AV155" s="822"/>
      <c r="AW155" s="822"/>
      <c r="AX155" s="822"/>
      <c r="AY155" s="822"/>
      <c r="AZ155" s="822"/>
      <c r="BA155" s="822"/>
      <c r="BB155" s="822"/>
      <c r="BC155" s="822"/>
    </row>
    <row r="156" spans="1:107" ht="19.5" customHeight="1" x14ac:dyDescent="0.2">
      <c r="B156" s="452"/>
      <c r="C156" s="452"/>
      <c r="D156" s="452"/>
      <c r="E156" s="452"/>
      <c r="F156" s="452"/>
      <c r="G156" s="452"/>
      <c r="H156" s="452"/>
      <c r="I156" s="452"/>
      <c r="J156" s="452"/>
      <c r="K156" s="452"/>
      <c r="L156" s="452"/>
      <c r="M156" s="452"/>
      <c r="N156" s="452"/>
      <c r="O156" s="452"/>
      <c r="P156" s="452"/>
      <c r="Q156" s="452"/>
      <c r="R156" s="452"/>
      <c r="S156" s="452"/>
      <c r="U156" s="164"/>
      <c r="V156" s="164"/>
      <c r="W156" s="164"/>
      <c r="X156" s="217"/>
      <c r="Y156" s="217"/>
      <c r="Z156" s="217"/>
      <c r="AA156" s="217"/>
      <c r="AB156" s="217"/>
      <c r="AC156" s="217"/>
      <c r="AD156" s="217"/>
      <c r="AE156" s="217"/>
      <c r="AF156" s="217"/>
      <c r="AG156" s="217"/>
      <c r="AH156" s="217"/>
      <c r="AI156" s="217"/>
      <c r="AJ156" s="217"/>
      <c r="AK156" s="217"/>
      <c r="AM156" s="822"/>
      <c r="AN156" s="822"/>
      <c r="AO156" s="822"/>
      <c r="AP156" s="822"/>
      <c r="AQ156" s="822"/>
      <c r="AR156" s="822"/>
      <c r="AS156" s="822"/>
      <c r="AT156" s="822"/>
      <c r="AU156" s="822"/>
      <c r="AV156" s="822"/>
      <c r="AW156" s="822"/>
      <c r="AX156" s="822"/>
      <c r="AY156" s="822"/>
      <c r="AZ156" s="822"/>
      <c r="BA156" s="822"/>
      <c r="BB156" s="822"/>
      <c r="BC156" s="822"/>
      <c r="BG156" s="216"/>
      <c r="CI156" s="216"/>
    </row>
    <row r="157" spans="1:107" ht="16.5" customHeight="1" x14ac:dyDescent="0.25">
      <c r="B157" s="225"/>
      <c r="C157" s="225"/>
      <c r="D157" s="225"/>
      <c r="E157" s="225"/>
      <c r="F157" s="225"/>
      <c r="G157" s="225"/>
      <c r="H157" s="225"/>
      <c r="I157" s="225"/>
      <c r="J157" s="225"/>
      <c r="K157" s="225"/>
      <c r="L157" s="225"/>
      <c r="M157" s="225"/>
      <c r="N157" s="225"/>
      <c r="O157" s="225"/>
      <c r="P157" s="225"/>
      <c r="Q157" s="225"/>
      <c r="R157" s="225"/>
      <c r="S157" s="225"/>
      <c r="U157" s="164"/>
      <c r="V157" s="164"/>
      <c r="W157" s="164"/>
      <c r="X157" s="164"/>
      <c r="Y157" s="164"/>
      <c r="Z157" s="164"/>
      <c r="AA157" s="164"/>
      <c r="AB157" s="164"/>
      <c r="AC157" s="164"/>
      <c r="AD157" s="164"/>
      <c r="AE157" s="164"/>
      <c r="AF157" s="164"/>
      <c r="AG157" s="164"/>
      <c r="AH157" s="164"/>
      <c r="AI157" s="164"/>
      <c r="AJ157" s="164"/>
      <c r="AK157" s="164"/>
      <c r="AM157" s="226"/>
      <c r="AN157" s="226"/>
      <c r="AO157" s="226"/>
      <c r="AP157" s="226"/>
      <c r="AQ157" s="226"/>
      <c r="AR157" s="226"/>
      <c r="AS157" s="226"/>
      <c r="AT157" s="226"/>
      <c r="AU157" s="226"/>
      <c r="AV157" s="226"/>
      <c r="AW157" s="226"/>
      <c r="AX157" s="226"/>
      <c r="AY157" s="226"/>
      <c r="AZ157" s="226"/>
      <c r="BA157" s="226"/>
      <c r="BB157" s="226"/>
      <c r="BC157" s="226"/>
      <c r="BG157" s="216"/>
      <c r="CI157" s="216"/>
    </row>
    <row r="158" spans="1:107" ht="15.75" hidden="1" customHeight="1" x14ac:dyDescent="0.2">
      <c r="BE158" s="432" t="s">
        <v>230</v>
      </c>
      <c r="BF158" s="432"/>
      <c r="BG158" s="432"/>
      <c r="BH158" s="432"/>
      <c r="BI158" s="432"/>
      <c r="BJ158" s="432"/>
      <c r="BK158" s="432"/>
      <c r="BL158" s="432"/>
      <c r="BM158" s="432"/>
      <c r="BN158" s="432"/>
      <c r="BO158" s="432"/>
      <c r="BP158" s="432"/>
      <c r="BQ158" s="432"/>
      <c r="BR158" s="432"/>
      <c r="BS158" s="432"/>
      <c r="BT158" s="432"/>
      <c r="BU158" s="432"/>
      <c r="BV158" s="432"/>
      <c r="BW158" s="432"/>
      <c r="BX158" s="432"/>
      <c r="BY158" s="432"/>
      <c r="BZ158" s="432"/>
      <c r="CA158" s="432"/>
      <c r="CG158" s="432" t="s">
        <v>141</v>
      </c>
      <c r="CH158" s="432"/>
      <c r="CI158" s="432"/>
      <c r="CJ158" s="432"/>
      <c r="CK158" s="432"/>
      <c r="CL158" s="432"/>
      <c r="CM158" s="432"/>
      <c r="CN158" s="432"/>
      <c r="CO158" s="432"/>
      <c r="CP158" s="432"/>
      <c r="CQ158" s="432"/>
      <c r="CR158" s="432"/>
      <c r="CS158" s="432"/>
      <c r="CT158" s="432"/>
      <c r="CU158" s="432"/>
      <c r="CV158" s="432"/>
      <c r="CW158" s="432"/>
      <c r="CX158" s="432"/>
      <c r="CY158" s="432"/>
      <c r="CZ158" s="432"/>
      <c r="DA158" s="432"/>
      <c r="DB158" s="432"/>
      <c r="DC158" s="432"/>
    </row>
    <row r="159" spans="1:107" ht="13.5" hidden="1" customHeight="1" x14ac:dyDescent="0.2">
      <c r="A159" s="219" t="s">
        <v>125</v>
      </c>
      <c r="B159" s="219"/>
      <c r="C159" s="219"/>
      <c r="D159" s="219"/>
      <c r="BE159" s="432" t="s">
        <v>126</v>
      </c>
      <c r="BF159" s="432"/>
      <c r="BG159" s="432"/>
      <c r="BH159" s="433">
        <f>200*54</f>
        <v>10800</v>
      </c>
      <c r="BI159" s="433"/>
      <c r="BJ159" s="433"/>
      <c r="BK159" s="433"/>
      <c r="BL159" s="433"/>
      <c r="BM159" s="220" t="s">
        <v>127</v>
      </c>
      <c r="BN159" s="220"/>
      <c r="BO159" s="220"/>
      <c r="BP159" s="220"/>
      <c r="BQ159" s="220"/>
      <c r="BR159" s="220"/>
      <c r="BS159" s="220"/>
      <c r="BT159" s="220"/>
      <c r="CG159" s="432" t="s">
        <v>126</v>
      </c>
      <c r="CH159" s="432"/>
      <c r="CI159" s="432"/>
      <c r="CJ159" s="433">
        <f>280*42</f>
        <v>11760</v>
      </c>
      <c r="CK159" s="433"/>
      <c r="CL159" s="433"/>
      <c r="CM159" s="433"/>
      <c r="CN159" s="433"/>
      <c r="CO159" s="220" t="s">
        <v>127</v>
      </c>
      <c r="CP159" s="220"/>
      <c r="CQ159" s="220"/>
      <c r="CR159" s="220"/>
      <c r="CS159" s="220"/>
      <c r="CT159" s="220"/>
      <c r="CU159" s="220"/>
      <c r="CV159" s="220"/>
    </row>
    <row r="160" spans="1:107" ht="16.5" hidden="1" customHeight="1" x14ac:dyDescent="0.2">
      <c r="A160" s="221"/>
      <c r="B160" s="221"/>
      <c r="C160" s="221"/>
      <c r="D160" s="221"/>
      <c r="E160" s="221"/>
      <c r="F160" s="221"/>
      <c r="G160" s="221">
        <v>220</v>
      </c>
      <c r="H160" s="221"/>
      <c r="I160" s="221"/>
      <c r="J160" s="221"/>
      <c r="K160" s="221"/>
      <c r="L160" s="221"/>
      <c r="M160" s="221"/>
      <c r="N160" s="221"/>
      <c r="BE160" s="434">
        <v>0.6</v>
      </c>
      <c r="BF160" s="432"/>
      <c r="BG160" s="432"/>
      <c r="BH160" s="216">
        <f>BH159*BE160</f>
        <v>6480</v>
      </c>
      <c r="BI160" s="432" t="s">
        <v>128</v>
      </c>
      <c r="BJ160" s="432"/>
      <c r="BK160" s="432"/>
      <c r="BL160" s="432"/>
      <c r="BM160" s="432"/>
      <c r="BN160" s="432" t="s">
        <v>129</v>
      </c>
      <c r="BO160" s="432"/>
      <c r="BP160" s="432"/>
      <c r="BQ160" s="432"/>
      <c r="BR160" s="432"/>
      <c r="BS160" s="432"/>
      <c r="BT160" s="432"/>
      <c r="CG160" s="434">
        <v>0.6</v>
      </c>
      <c r="CH160" s="432"/>
      <c r="CI160" s="432"/>
      <c r="CJ160" s="216">
        <f>CJ159*CG160</f>
        <v>7056</v>
      </c>
      <c r="CK160" s="432" t="s">
        <v>128</v>
      </c>
      <c r="CL160" s="432"/>
      <c r="CM160" s="432"/>
      <c r="CN160" s="432"/>
      <c r="CO160" s="432"/>
      <c r="CP160" s="432" t="s">
        <v>129</v>
      </c>
      <c r="CQ160" s="432"/>
      <c r="CR160" s="432"/>
      <c r="CS160" s="432"/>
      <c r="CT160" s="432"/>
      <c r="CU160" s="432"/>
      <c r="CV160" s="432"/>
    </row>
    <row r="161" spans="1:107" ht="27.75" hidden="1" customHeight="1" x14ac:dyDescent="0.25">
      <c r="A161" s="222"/>
      <c r="B161" s="222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22"/>
      <c r="AD161" s="222"/>
      <c r="AE161" s="222"/>
      <c r="AF161" s="222"/>
      <c r="AG161" s="222"/>
      <c r="AH161" s="222"/>
      <c r="AI161" s="222"/>
      <c r="AJ161" s="222"/>
      <c r="AK161" s="222"/>
      <c r="AL161" s="222"/>
      <c r="AM161" s="222"/>
      <c r="AN161" s="222"/>
      <c r="AO161" s="222"/>
      <c r="AP161" s="222"/>
      <c r="AQ161" s="222"/>
      <c r="AR161" s="222"/>
      <c r="AS161" s="222"/>
      <c r="BE161" s="432">
        <v>211</v>
      </c>
      <c r="BF161" s="432"/>
      <c r="BG161" s="432"/>
      <c r="BH161" s="216">
        <f>BH160-BH162</f>
        <v>4976.9585253456225</v>
      </c>
      <c r="BI161" s="435">
        <f>BH161*0.1</f>
        <v>497.69585253456228</v>
      </c>
      <c r="BJ161" s="435"/>
      <c r="BK161" s="435"/>
      <c r="BL161" s="435"/>
      <c r="BM161" s="435"/>
      <c r="BN161" s="435">
        <f>BH161-BI161</f>
        <v>4479.2626728110599</v>
      </c>
      <c r="BO161" s="432"/>
      <c r="BP161" s="432"/>
      <c r="BQ161" s="432"/>
      <c r="BR161" s="432"/>
      <c r="BS161" s="432"/>
      <c r="BT161" s="432"/>
      <c r="CG161" s="432">
        <v>211</v>
      </c>
      <c r="CH161" s="432"/>
      <c r="CI161" s="432"/>
      <c r="CJ161" s="216">
        <f>CJ160-CJ162</f>
        <v>5419.3548387096771</v>
      </c>
      <c r="CK161" s="435">
        <f>CJ161*0.1</f>
        <v>541.93548387096769</v>
      </c>
      <c r="CL161" s="435"/>
      <c r="CM161" s="435"/>
      <c r="CN161" s="435"/>
      <c r="CO161" s="435"/>
      <c r="CP161" s="435">
        <f>CJ161-CK161</f>
        <v>4877.4193548387093</v>
      </c>
      <c r="CQ161" s="432"/>
      <c r="CR161" s="432"/>
      <c r="CS161" s="432"/>
      <c r="CT161" s="432"/>
      <c r="CU161" s="432"/>
      <c r="CV161" s="432"/>
    </row>
    <row r="162" spans="1:107" ht="17.25" hidden="1" customHeight="1" x14ac:dyDescent="0.2">
      <c r="BE162" s="432">
        <v>213</v>
      </c>
      <c r="BF162" s="432"/>
      <c r="BG162" s="432"/>
      <c r="BH162" s="216">
        <f>BH160*30.2/130.2</f>
        <v>1503.0414746543779</v>
      </c>
      <c r="BI162" s="435">
        <f>BI161*30.2%</f>
        <v>150.30414746543781</v>
      </c>
      <c r="BJ162" s="435"/>
      <c r="BK162" s="435"/>
      <c r="BL162" s="435"/>
      <c r="BM162" s="435"/>
      <c r="BN162" s="435">
        <f>BN161*30.2%</f>
        <v>1352.7373271889401</v>
      </c>
      <c r="BO162" s="435"/>
      <c r="BP162" s="435"/>
      <c r="BQ162" s="435"/>
      <c r="BR162" s="435"/>
      <c r="BS162" s="435"/>
      <c r="BT162" s="435"/>
      <c r="CG162" s="432">
        <v>213</v>
      </c>
      <c r="CH162" s="432"/>
      <c r="CI162" s="432"/>
      <c r="CJ162" s="216">
        <f>CJ160*30.2/130.2</f>
        <v>1636.6451612903227</v>
      </c>
      <c r="CK162" s="435">
        <f>CK161*30.2%</f>
        <v>163.66451612903225</v>
      </c>
      <c r="CL162" s="435"/>
      <c r="CM162" s="435"/>
      <c r="CN162" s="435"/>
      <c r="CO162" s="435"/>
      <c r="CP162" s="435">
        <f>CP161*30.2%</f>
        <v>1472.9806451612901</v>
      </c>
      <c r="CQ162" s="435"/>
      <c r="CR162" s="435"/>
      <c r="CS162" s="435"/>
      <c r="CT162" s="435"/>
      <c r="CU162" s="435"/>
      <c r="CV162" s="435"/>
    </row>
    <row r="163" spans="1:107" ht="8.25" hidden="1" customHeight="1" x14ac:dyDescent="0.2"/>
    <row r="164" spans="1:107" ht="8.25" hidden="1" customHeight="1" x14ac:dyDescent="0.2"/>
    <row r="165" spans="1:107" ht="8.25" hidden="1" customHeight="1" x14ac:dyDescent="0.2">
      <c r="Z165" s="223"/>
      <c r="AA165" s="223"/>
      <c r="AB165" s="223"/>
      <c r="AC165" s="223"/>
      <c r="AD165" s="223"/>
      <c r="AE165" s="223"/>
      <c r="AF165" s="223"/>
      <c r="AG165" s="223"/>
    </row>
    <row r="166" spans="1:107" ht="0.75" hidden="1" customHeight="1" x14ac:dyDescent="0.2">
      <c r="BE166" s="432" t="s">
        <v>238</v>
      </c>
      <c r="BF166" s="432"/>
      <c r="BG166" s="432"/>
      <c r="BH166" s="432"/>
      <c r="BI166" s="432"/>
      <c r="BJ166" s="432"/>
      <c r="BK166" s="432"/>
      <c r="BL166" s="432"/>
      <c r="BM166" s="432"/>
      <c r="BN166" s="432"/>
      <c r="BO166" s="432"/>
      <c r="BP166" s="432"/>
      <c r="BQ166" s="432"/>
      <c r="BR166" s="432"/>
      <c r="BS166" s="432"/>
      <c r="BT166" s="432"/>
      <c r="BU166" s="432"/>
      <c r="BV166" s="432"/>
      <c r="BW166" s="432"/>
      <c r="BX166" s="432"/>
      <c r="BY166" s="432"/>
      <c r="BZ166" s="432"/>
      <c r="CA166" s="432"/>
      <c r="CG166" s="432" t="s">
        <v>142</v>
      </c>
      <c r="CH166" s="432"/>
      <c r="CI166" s="432"/>
      <c r="CJ166" s="432"/>
      <c r="CK166" s="432"/>
      <c r="CL166" s="432"/>
      <c r="CM166" s="432"/>
      <c r="CN166" s="432"/>
      <c r="CO166" s="432"/>
      <c r="CP166" s="432"/>
      <c r="CQ166" s="432"/>
      <c r="CR166" s="432"/>
      <c r="CS166" s="432"/>
      <c r="CT166" s="432"/>
      <c r="CU166" s="432"/>
      <c r="CV166" s="432"/>
      <c r="CW166" s="432"/>
      <c r="CX166" s="432"/>
      <c r="CY166" s="432"/>
      <c r="CZ166" s="432"/>
      <c r="DA166" s="432"/>
      <c r="DB166" s="432"/>
      <c r="DC166" s="432"/>
    </row>
    <row r="167" spans="1:107" ht="23.25" hidden="1" customHeight="1" x14ac:dyDescent="0.2">
      <c r="BE167" s="432" t="s">
        <v>126</v>
      </c>
      <c r="BF167" s="432"/>
      <c r="BG167" s="432"/>
      <c r="BH167" s="433">
        <f>200*22</f>
        <v>4400</v>
      </c>
      <c r="BI167" s="433"/>
      <c r="BJ167" s="433"/>
      <c r="BK167" s="433"/>
      <c r="BL167" s="433"/>
      <c r="BM167" s="220" t="s">
        <v>127</v>
      </c>
      <c r="BN167" s="220"/>
      <c r="BO167" s="220"/>
      <c r="BP167" s="220"/>
      <c r="BQ167" s="220"/>
      <c r="BR167" s="220"/>
      <c r="BS167" s="220"/>
      <c r="BT167" s="220"/>
      <c r="CG167" s="432" t="s">
        <v>126</v>
      </c>
      <c r="CH167" s="432"/>
      <c r="CI167" s="432"/>
      <c r="CJ167" s="433">
        <f>280*99</f>
        <v>27720</v>
      </c>
      <c r="CK167" s="433"/>
      <c r="CL167" s="433"/>
      <c r="CM167" s="433"/>
      <c r="CN167" s="433"/>
      <c r="CO167" s="220" t="s">
        <v>127</v>
      </c>
      <c r="CP167" s="220"/>
      <c r="CQ167" s="220"/>
      <c r="CR167" s="220"/>
      <c r="CS167" s="220"/>
      <c r="CT167" s="220"/>
      <c r="CU167" s="220"/>
      <c r="CV167" s="220"/>
    </row>
    <row r="168" spans="1:107" ht="27" hidden="1" customHeight="1" x14ac:dyDescent="0.2">
      <c r="BE168" s="434">
        <v>0.6</v>
      </c>
      <c r="BF168" s="432"/>
      <c r="BG168" s="432"/>
      <c r="BH168" s="216">
        <f>BH167*BE168</f>
        <v>2640</v>
      </c>
      <c r="BI168" s="432" t="s">
        <v>128</v>
      </c>
      <c r="BJ168" s="432"/>
      <c r="BK168" s="432"/>
      <c r="BL168" s="432"/>
      <c r="BM168" s="432"/>
      <c r="BN168" s="432" t="s">
        <v>129</v>
      </c>
      <c r="BO168" s="432"/>
      <c r="BP168" s="432"/>
      <c r="BQ168" s="432"/>
      <c r="BR168" s="432"/>
      <c r="BS168" s="432"/>
      <c r="BT168" s="432"/>
      <c r="CG168" s="434">
        <v>0.6</v>
      </c>
      <c r="CH168" s="432"/>
      <c r="CI168" s="432"/>
      <c r="CJ168" s="216">
        <f>CJ167*CG168</f>
        <v>16632</v>
      </c>
      <c r="CK168" s="432" t="s">
        <v>128</v>
      </c>
      <c r="CL168" s="432"/>
      <c r="CM168" s="432"/>
      <c r="CN168" s="432"/>
      <c r="CO168" s="432"/>
      <c r="CP168" s="432" t="s">
        <v>129</v>
      </c>
      <c r="CQ168" s="432"/>
      <c r="CR168" s="432"/>
      <c r="CS168" s="432"/>
      <c r="CT168" s="432"/>
      <c r="CU168" s="432"/>
      <c r="CV168" s="432"/>
    </row>
    <row r="169" spans="1:107" ht="21" hidden="1" customHeight="1" x14ac:dyDescent="0.2">
      <c r="BE169" s="432">
        <v>211</v>
      </c>
      <c r="BF169" s="432"/>
      <c r="BG169" s="432"/>
      <c r="BH169" s="216">
        <f>BH168-BH170</f>
        <v>2027.6497695852534</v>
      </c>
      <c r="BI169" s="435">
        <f>BH169*0.1</f>
        <v>202.76497695852535</v>
      </c>
      <c r="BJ169" s="435"/>
      <c r="BK169" s="435"/>
      <c r="BL169" s="435"/>
      <c r="BM169" s="435"/>
      <c r="BN169" s="435">
        <f>BH169-BI169</f>
        <v>1824.8847926267281</v>
      </c>
      <c r="BO169" s="432"/>
      <c r="BP169" s="432"/>
      <c r="BQ169" s="432"/>
      <c r="BR169" s="432"/>
      <c r="BS169" s="432"/>
      <c r="BT169" s="432"/>
      <c r="CG169" s="432">
        <v>211</v>
      </c>
      <c r="CH169" s="432"/>
      <c r="CI169" s="432"/>
      <c r="CJ169" s="216">
        <f>CJ168-CJ170</f>
        <v>12774.193548387097</v>
      </c>
      <c r="CK169" s="435">
        <f>CJ169*0.1</f>
        <v>1277.4193548387098</v>
      </c>
      <c r="CL169" s="435"/>
      <c r="CM169" s="435"/>
      <c r="CN169" s="435"/>
      <c r="CO169" s="435"/>
      <c r="CP169" s="435">
        <f>CJ169-CK169</f>
        <v>11496.774193548386</v>
      </c>
      <c r="CQ169" s="432"/>
      <c r="CR169" s="432"/>
      <c r="CS169" s="432"/>
      <c r="CT169" s="432"/>
      <c r="CU169" s="432"/>
      <c r="CV169" s="432"/>
    </row>
    <row r="170" spans="1:107" ht="20.25" hidden="1" customHeight="1" x14ac:dyDescent="0.2">
      <c r="BE170" s="432">
        <v>213</v>
      </c>
      <c r="BF170" s="432"/>
      <c r="BG170" s="432"/>
      <c r="BH170" s="216">
        <f>BH168*30.2/130.2</f>
        <v>612.35023041474665</v>
      </c>
      <c r="BI170" s="435">
        <f>BI169*30.2%</f>
        <v>61.235023041474655</v>
      </c>
      <c r="BJ170" s="435"/>
      <c r="BK170" s="435"/>
      <c r="BL170" s="435"/>
      <c r="BM170" s="435"/>
      <c r="BN170" s="435">
        <f>BN169*30.2%</f>
        <v>551.11520737327191</v>
      </c>
      <c r="BO170" s="435"/>
      <c r="BP170" s="435"/>
      <c r="BQ170" s="435"/>
      <c r="BR170" s="435"/>
      <c r="BS170" s="435"/>
      <c r="BT170" s="435"/>
      <c r="CG170" s="432">
        <v>213</v>
      </c>
      <c r="CH170" s="432"/>
      <c r="CI170" s="432"/>
      <c r="CJ170" s="216">
        <f>CJ168*30.2/130.2</f>
        <v>3857.8064516129034</v>
      </c>
      <c r="CK170" s="435">
        <f>CK169*30.2%</f>
        <v>385.78064516129035</v>
      </c>
      <c r="CL170" s="435"/>
      <c r="CM170" s="435"/>
      <c r="CN170" s="435"/>
      <c r="CO170" s="435"/>
      <c r="CP170" s="435">
        <f>CP169*30.2%</f>
        <v>3472.0258064516124</v>
      </c>
      <c r="CQ170" s="435"/>
      <c r="CR170" s="435"/>
      <c r="CS170" s="435"/>
      <c r="CT170" s="435"/>
      <c r="CU170" s="435"/>
      <c r="CV170" s="435"/>
    </row>
    <row r="171" spans="1:107" ht="8.25" hidden="1" customHeight="1" x14ac:dyDescent="0.2"/>
    <row r="172" spans="1:107" ht="8.25" hidden="1" customHeight="1" x14ac:dyDescent="0.2"/>
    <row r="173" spans="1:107" ht="8.25" hidden="1" customHeight="1" x14ac:dyDescent="0.2"/>
    <row r="174" spans="1:107" ht="23.25" hidden="1" customHeight="1" x14ac:dyDescent="0.2">
      <c r="BE174" s="432" t="s">
        <v>242</v>
      </c>
      <c r="BF174" s="432"/>
      <c r="BG174" s="432"/>
      <c r="BH174" s="432"/>
      <c r="BI174" s="432"/>
      <c r="BJ174" s="432"/>
      <c r="BK174" s="432"/>
      <c r="BL174" s="432"/>
      <c r="BM174" s="432"/>
      <c r="BN174" s="432"/>
      <c r="BO174" s="432"/>
      <c r="BP174" s="432"/>
      <c r="BQ174" s="432"/>
      <c r="BR174" s="432"/>
      <c r="BS174" s="432"/>
      <c r="BT174" s="432"/>
      <c r="BU174" s="432"/>
      <c r="BV174" s="432"/>
      <c r="BW174" s="432"/>
      <c r="BX174" s="432"/>
      <c r="BY174" s="432"/>
      <c r="BZ174" s="432"/>
      <c r="CA174" s="432"/>
      <c r="CG174" s="432" t="s">
        <v>151</v>
      </c>
      <c r="CH174" s="432"/>
      <c r="CI174" s="432"/>
      <c r="CJ174" s="432"/>
      <c r="CK174" s="432"/>
      <c r="CL174" s="432"/>
      <c r="CM174" s="432"/>
      <c r="CN174" s="432"/>
      <c r="CO174" s="432"/>
      <c r="CP174" s="432"/>
      <c r="CQ174" s="432"/>
      <c r="CR174" s="432"/>
      <c r="CS174" s="432"/>
      <c r="CT174" s="432"/>
      <c r="CU174" s="432"/>
      <c r="CV174" s="432"/>
      <c r="CW174" s="432"/>
      <c r="CX174" s="432"/>
      <c r="CY174" s="432"/>
      <c r="CZ174" s="432"/>
      <c r="DA174" s="432"/>
      <c r="DB174" s="432"/>
      <c r="DC174" s="432"/>
    </row>
    <row r="175" spans="1:107" ht="21" hidden="1" customHeight="1" x14ac:dyDescent="0.2">
      <c r="BE175" s="432" t="s">
        <v>126</v>
      </c>
      <c r="BF175" s="432"/>
      <c r="BG175" s="432"/>
      <c r="BH175" s="433">
        <f>200*57</f>
        <v>11400</v>
      </c>
      <c r="BI175" s="433"/>
      <c r="BJ175" s="433"/>
      <c r="BK175" s="433"/>
      <c r="BL175" s="433"/>
      <c r="BM175" s="220" t="s">
        <v>127</v>
      </c>
      <c r="BN175" s="220"/>
      <c r="BO175" s="220"/>
      <c r="BP175" s="220"/>
      <c r="BQ175" s="220"/>
      <c r="BR175" s="220"/>
      <c r="BS175" s="220"/>
      <c r="BT175" s="220"/>
      <c r="CG175" s="432" t="s">
        <v>126</v>
      </c>
      <c r="CH175" s="432"/>
      <c r="CI175" s="432"/>
      <c r="CJ175" s="433">
        <f>280*67</f>
        <v>18760</v>
      </c>
      <c r="CK175" s="433"/>
      <c r="CL175" s="433"/>
      <c r="CM175" s="433"/>
      <c r="CN175" s="433"/>
      <c r="CO175" s="220" t="s">
        <v>127</v>
      </c>
      <c r="CP175" s="220"/>
      <c r="CQ175" s="220"/>
      <c r="CR175" s="220"/>
      <c r="CS175" s="220"/>
      <c r="CT175" s="220"/>
      <c r="CU175" s="220"/>
      <c r="CV175" s="220"/>
    </row>
    <row r="176" spans="1:107" ht="26.25" hidden="1" customHeight="1" x14ac:dyDescent="0.2">
      <c r="BE176" s="434">
        <v>0.6</v>
      </c>
      <c r="BF176" s="432"/>
      <c r="BG176" s="432"/>
      <c r="BH176" s="216">
        <f>BH175*BE176</f>
        <v>6840</v>
      </c>
      <c r="BI176" s="432" t="s">
        <v>128</v>
      </c>
      <c r="BJ176" s="432"/>
      <c r="BK176" s="432"/>
      <c r="BL176" s="432"/>
      <c r="BM176" s="432"/>
      <c r="BN176" s="432" t="s">
        <v>129</v>
      </c>
      <c r="BO176" s="432"/>
      <c r="BP176" s="432"/>
      <c r="BQ176" s="432"/>
      <c r="BR176" s="432"/>
      <c r="BS176" s="432"/>
      <c r="BT176" s="432"/>
      <c r="CG176" s="434">
        <v>0.6</v>
      </c>
      <c r="CH176" s="432"/>
      <c r="CI176" s="432"/>
      <c r="CJ176" s="216">
        <f>CJ175*CG176</f>
        <v>11256</v>
      </c>
      <c r="CK176" s="432" t="s">
        <v>128</v>
      </c>
      <c r="CL176" s="432"/>
      <c r="CM176" s="432"/>
      <c r="CN176" s="432"/>
      <c r="CO176" s="432"/>
      <c r="CP176" s="432" t="s">
        <v>129</v>
      </c>
      <c r="CQ176" s="432"/>
      <c r="CR176" s="432"/>
      <c r="CS176" s="432"/>
      <c r="CT176" s="432"/>
      <c r="CU176" s="432"/>
      <c r="CV176" s="432"/>
    </row>
    <row r="177" spans="57:107" ht="22.5" hidden="1" customHeight="1" x14ac:dyDescent="0.2">
      <c r="BE177" s="432">
        <v>211</v>
      </c>
      <c r="BF177" s="432"/>
      <c r="BG177" s="432"/>
      <c r="BH177" s="216">
        <f>BH176-BH178</f>
        <v>5253.4562211981565</v>
      </c>
      <c r="BI177" s="435">
        <f>BH177*0.1</f>
        <v>525.34562211981563</v>
      </c>
      <c r="BJ177" s="435"/>
      <c r="BK177" s="435"/>
      <c r="BL177" s="435"/>
      <c r="BM177" s="435"/>
      <c r="BN177" s="435">
        <f>BH177-BI177</f>
        <v>4728.1105990783408</v>
      </c>
      <c r="BO177" s="432"/>
      <c r="BP177" s="432"/>
      <c r="BQ177" s="432"/>
      <c r="BR177" s="432"/>
      <c r="BS177" s="432"/>
      <c r="BT177" s="432"/>
      <c r="CG177" s="432">
        <v>211</v>
      </c>
      <c r="CH177" s="432"/>
      <c r="CI177" s="432"/>
      <c r="CJ177" s="216">
        <f>CJ176-CJ178</f>
        <v>8645.1612903225796</v>
      </c>
      <c r="CK177" s="435">
        <f>CJ177*0.1</f>
        <v>864.51612903225805</v>
      </c>
      <c r="CL177" s="435"/>
      <c r="CM177" s="435"/>
      <c r="CN177" s="435"/>
      <c r="CO177" s="435"/>
      <c r="CP177" s="435">
        <f>CJ177-CK177</f>
        <v>7780.645161290322</v>
      </c>
      <c r="CQ177" s="432"/>
      <c r="CR177" s="432"/>
      <c r="CS177" s="432"/>
      <c r="CT177" s="432"/>
      <c r="CU177" s="432"/>
      <c r="CV177" s="432"/>
    </row>
    <row r="178" spans="57:107" ht="24" hidden="1" customHeight="1" x14ac:dyDescent="0.2">
      <c r="BE178" s="432">
        <v>213</v>
      </c>
      <c r="BF178" s="432"/>
      <c r="BG178" s="432"/>
      <c r="BH178" s="216">
        <f>BH176*30.2/130.2</f>
        <v>1586.5437788018435</v>
      </c>
      <c r="BI178" s="435">
        <f>BI177*30.2%</f>
        <v>158.65437788018431</v>
      </c>
      <c r="BJ178" s="435"/>
      <c r="BK178" s="435"/>
      <c r="BL178" s="435"/>
      <c r="BM178" s="435"/>
      <c r="BN178" s="435">
        <f>BN177*30.2%</f>
        <v>1427.8894009216588</v>
      </c>
      <c r="BO178" s="435"/>
      <c r="BP178" s="435"/>
      <c r="BQ178" s="435"/>
      <c r="BR178" s="435"/>
      <c r="BS178" s="435"/>
      <c r="BT178" s="435"/>
      <c r="CG178" s="432">
        <v>213</v>
      </c>
      <c r="CH178" s="432"/>
      <c r="CI178" s="432"/>
      <c r="CJ178" s="216">
        <f>CJ176*30.2/130.2</f>
        <v>2610.8387096774195</v>
      </c>
      <c r="CK178" s="435">
        <f>CK177*30.2%</f>
        <v>261.08387096774192</v>
      </c>
      <c r="CL178" s="435"/>
      <c r="CM178" s="435"/>
      <c r="CN178" s="435"/>
      <c r="CO178" s="435"/>
      <c r="CP178" s="435">
        <f>CP177*30.2%</f>
        <v>2349.7548387096772</v>
      </c>
      <c r="CQ178" s="435"/>
      <c r="CR178" s="435"/>
      <c r="CS178" s="435"/>
      <c r="CT178" s="435"/>
      <c r="CU178" s="435"/>
      <c r="CV178" s="435"/>
    </row>
    <row r="179" spans="57:107" ht="8.25" hidden="1" customHeight="1" x14ac:dyDescent="0.2"/>
    <row r="180" spans="57:107" ht="8.25" hidden="1" customHeight="1" x14ac:dyDescent="0.2"/>
    <row r="181" spans="57:107" ht="8.25" hidden="1" customHeight="1" x14ac:dyDescent="0.2"/>
    <row r="182" spans="57:107" ht="22.5" hidden="1" customHeight="1" x14ac:dyDescent="0.2">
      <c r="BE182" s="432" t="s">
        <v>158</v>
      </c>
      <c r="BF182" s="432"/>
      <c r="BG182" s="432"/>
      <c r="BH182" s="432"/>
      <c r="BI182" s="432"/>
      <c r="BJ182" s="432"/>
      <c r="BK182" s="432"/>
      <c r="BL182" s="432"/>
      <c r="BM182" s="432"/>
      <c r="BN182" s="432"/>
      <c r="BO182" s="432"/>
      <c r="BP182" s="432"/>
      <c r="BQ182" s="432"/>
      <c r="BR182" s="432"/>
      <c r="BS182" s="432"/>
      <c r="BT182" s="432"/>
      <c r="BU182" s="432"/>
      <c r="BV182" s="432"/>
      <c r="BW182" s="432"/>
      <c r="BX182" s="432"/>
      <c r="BY182" s="432"/>
      <c r="BZ182" s="432"/>
      <c r="CA182" s="432"/>
      <c r="CG182" s="432" t="s">
        <v>159</v>
      </c>
      <c r="CH182" s="432"/>
      <c r="CI182" s="432"/>
      <c r="CJ182" s="432"/>
      <c r="CK182" s="432"/>
      <c r="CL182" s="432"/>
      <c r="CM182" s="432"/>
      <c r="CN182" s="432"/>
      <c r="CO182" s="432"/>
      <c r="CP182" s="432"/>
      <c r="CQ182" s="432"/>
      <c r="CR182" s="432"/>
      <c r="CS182" s="432"/>
      <c r="CT182" s="432"/>
      <c r="CU182" s="432"/>
      <c r="CV182" s="432"/>
      <c r="CW182" s="432"/>
      <c r="CX182" s="432"/>
      <c r="CY182" s="432"/>
      <c r="CZ182" s="432"/>
      <c r="DA182" s="432"/>
      <c r="DB182" s="432"/>
      <c r="DC182" s="432"/>
    </row>
    <row r="183" spans="57:107" ht="19.5" hidden="1" customHeight="1" x14ac:dyDescent="0.2">
      <c r="BE183" s="432" t="s">
        <v>126</v>
      </c>
      <c r="BF183" s="432"/>
      <c r="BG183" s="432"/>
      <c r="BH183" s="433">
        <f>280*21</f>
        <v>5880</v>
      </c>
      <c r="BI183" s="433"/>
      <c r="BJ183" s="433"/>
      <c r="BK183" s="433"/>
      <c r="BL183" s="433"/>
      <c r="BM183" s="220" t="s">
        <v>127</v>
      </c>
      <c r="BN183" s="220"/>
      <c r="BO183" s="220"/>
      <c r="BP183" s="220"/>
      <c r="BQ183" s="220"/>
      <c r="BR183" s="220"/>
      <c r="BS183" s="220"/>
      <c r="BT183" s="220"/>
      <c r="CG183" s="432" t="s">
        <v>126</v>
      </c>
      <c r="CH183" s="432"/>
      <c r="CI183" s="432"/>
      <c r="CJ183" s="433">
        <f>280*13</f>
        <v>3640</v>
      </c>
      <c r="CK183" s="433"/>
      <c r="CL183" s="433"/>
      <c r="CM183" s="433"/>
      <c r="CN183" s="433"/>
      <c r="CO183" s="220" t="s">
        <v>127</v>
      </c>
      <c r="CP183" s="220"/>
      <c r="CQ183" s="220"/>
      <c r="CR183" s="220"/>
      <c r="CS183" s="220"/>
      <c r="CT183" s="220"/>
      <c r="CU183" s="220"/>
      <c r="CV183" s="220"/>
    </row>
    <row r="184" spans="57:107" ht="21.75" hidden="1" customHeight="1" x14ac:dyDescent="0.2">
      <c r="BE184" s="434">
        <v>0.6</v>
      </c>
      <c r="BF184" s="432"/>
      <c r="BG184" s="432"/>
      <c r="BH184" s="216">
        <f>BH183*BE184</f>
        <v>3528</v>
      </c>
      <c r="BI184" s="432" t="s">
        <v>128</v>
      </c>
      <c r="BJ184" s="432"/>
      <c r="BK184" s="432"/>
      <c r="BL184" s="432"/>
      <c r="BM184" s="432"/>
      <c r="BN184" s="432" t="s">
        <v>129</v>
      </c>
      <c r="BO184" s="432"/>
      <c r="BP184" s="432"/>
      <c r="BQ184" s="432"/>
      <c r="BR184" s="432"/>
      <c r="BS184" s="432"/>
      <c r="BT184" s="432"/>
      <c r="CG184" s="434">
        <v>0.6</v>
      </c>
      <c r="CH184" s="432"/>
      <c r="CI184" s="432"/>
      <c r="CJ184" s="216">
        <f>CJ183*CG184</f>
        <v>2184</v>
      </c>
      <c r="CK184" s="432" t="s">
        <v>128</v>
      </c>
      <c r="CL184" s="432"/>
      <c r="CM184" s="432"/>
      <c r="CN184" s="432"/>
      <c r="CO184" s="432"/>
      <c r="CP184" s="432" t="s">
        <v>129</v>
      </c>
      <c r="CQ184" s="432"/>
      <c r="CR184" s="432"/>
      <c r="CS184" s="432"/>
      <c r="CT184" s="432"/>
      <c r="CU184" s="432"/>
      <c r="CV184" s="432"/>
    </row>
    <row r="185" spans="57:107" ht="15" hidden="1" customHeight="1" x14ac:dyDescent="0.2">
      <c r="BE185" s="432">
        <v>211</v>
      </c>
      <c r="BF185" s="432"/>
      <c r="BG185" s="432"/>
      <c r="BH185" s="216">
        <f>BH184-BH186</f>
        <v>2709.6774193548385</v>
      </c>
      <c r="BI185" s="435">
        <f>BH185*0.1</f>
        <v>270.96774193548384</v>
      </c>
      <c r="BJ185" s="435"/>
      <c r="BK185" s="435"/>
      <c r="BL185" s="435"/>
      <c r="BM185" s="435"/>
      <c r="BN185" s="435">
        <f>BH185-BI185</f>
        <v>2438.7096774193546</v>
      </c>
      <c r="BO185" s="432"/>
      <c r="BP185" s="432"/>
      <c r="BQ185" s="432"/>
      <c r="BR185" s="432"/>
      <c r="BS185" s="432"/>
      <c r="BT185" s="432"/>
      <c r="CG185" s="432">
        <v>211</v>
      </c>
      <c r="CH185" s="432"/>
      <c r="CI185" s="432"/>
      <c r="CJ185" s="216">
        <f>CJ184-CJ186</f>
        <v>1677.4193548387098</v>
      </c>
      <c r="CK185" s="435">
        <f>CJ185*0.1</f>
        <v>167.74193548387098</v>
      </c>
      <c r="CL185" s="435"/>
      <c r="CM185" s="435"/>
      <c r="CN185" s="435"/>
      <c r="CO185" s="435"/>
      <c r="CP185" s="435">
        <f>CJ185-CK185</f>
        <v>1509.6774193548388</v>
      </c>
      <c r="CQ185" s="432"/>
      <c r="CR185" s="432"/>
      <c r="CS185" s="432"/>
      <c r="CT185" s="432"/>
      <c r="CU185" s="432"/>
      <c r="CV185" s="432"/>
    </row>
    <row r="186" spans="57:107" ht="21" hidden="1" customHeight="1" x14ac:dyDescent="0.2">
      <c r="BE186" s="432">
        <v>213</v>
      </c>
      <c r="BF186" s="432"/>
      <c r="BG186" s="432"/>
      <c r="BH186" s="216">
        <f>BH184*30.2/130.2</f>
        <v>818.32258064516134</v>
      </c>
      <c r="BI186" s="435">
        <f>BI185*30.2%</f>
        <v>81.832258064516125</v>
      </c>
      <c r="BJ186" s="435"/>
      <c r="BK186" s="435"/>
      <c r="BL186" s="435"/>
      <c r="BM186" s="435"/>
      <c r="BN186" s="435">
        <f>BN185*30.2%</f>
        <v>736.49032258064506</v>
      </c>
      <c r="BO186" s="435"/>
      <c r="BP186" s="435"/>
      <c r="BQ186" s="435"/>
      <c r="BR186" s="435"/>
      <c r="BS186" s="435"/>
      <c r="BT186" s="435"/>
      <c r="CG186" s="432">
        <v>213</v>
      </c>
      <c r="CH186" s="432"/>
      <c r="CI186" s="432"/>
      <c r="CJ186" s="216">
        <f>CJ184*30.2/130.2</f>
        <v>506.58064516129036</v>
      </c>
      <c r="CK186" s="435">
        <f>CK185*30.2%</f>
        <v>50.658064516129031</v>
      </c>
      <c r="CL186" s="435"/>
      <c r="CM186" s="435"/>
      <c r="CN186" s="435"/>
      <c r="CO186" s="435"/>
      <c r="CP186" s="435">
        <f>CP185*30.2%</f>
        <v>455.9225806451613</v>
      </c>
      <c r="CQ186" s="435"/>
      <c r="CR186" s="435"/>
      <c r="CS186" s="435"/>
      <c r="CT186" s="435"/>
      <c r="CU186" s="435"/>
      <c r="CV186" s="435"/>
    </row>
    <row r="187" spans="57:107" ht="8.25" hidden="1" customHeight="1" x14ac:dyDescent="0.2"/>
    <row r="188" spans="57:107" ht="8.25" hidden="1" customHeight="1" x14ac:dyDescent="0.2"/>
    <row r="189" spans="57:107" ht="18.75" hidden="1" customHeight="1" x14ac:dyDescent="0.2">
      <c r="BE189" s="432"/>
      <c r="BF189" s="432"/>
      <c r="BG189" s="432"/>
      <c r="BH189" s="432"/>
      <c r="BI189" s="432"/>
      <c r="BJ189" s="432"/>
      <c r="BK189" s="432"/>
      <c r="BL189" s="432"/>
      <c r="BM189" s="432"/>
      <c r="BN189" s="432"/>
      <c r="BO189" s="432"/>
      <c r="BP189" s="432"/>
      <c r="BQ189" s="432"/>
      <c r="BR189" s="432"/>
      <c r="BS189" s="432"/>
      <c r="BT189" s="432"/>
      <c r="BU189" s="432"/>
      <c r="BV189" s="432"/>
      <c r="BW189" s="432"/>
      <c r="BX189" s="432"/>
      <c r="BY189" s="432"/>
      <c r="BZ189" s="432"/>
      <c r="CA189" s="432"/>
    </row>
    <row r="190" spans="57:107" ht="13.5" hidden="1" customHeight="1" x14ac:dyDescent="0.2">
      <c r="BE190" s="432" t="s">
        <v>160</v>
      </c>
      <c r="BF190" s="432"/>
      <c r="BG190" s="432"/>
      <c r="BH190" s="432"/>
      <c r="BI190" s="432"/>
      <c r="BJ190" s="432"/>
      <c r="BK190" s="432"/>
      <c r="BL190" s="432"/>
      <c r="BM190" s="432"/>
      <c r="BN190" s="432"/>
      <c r="BO190" s="432"/>
      <c r="BP190" s="432"/>
      <c r="BQ190" s="432"/>
      <c r="BR190" s="432"/>
      <c r="BS190" s="432"/>
      <c r="BT190" s="432"/>
      <c r="BU190" s="432"/>
      <c r="BV190" s="432"/>
      <c r="BW190" s="432"/>
      <c r="BX190" s="432"/>
      <c r="BY190" s="432"/>
      <c r="BZ190" s="432"/>
      <c r="CA190" s="432"/>
      <c r="CG190" s="432" t="s">
        <v>161</v>
      </c>
      <c r="CH190" s="432"/>
      <c r="CI190" s="432"/>
      <c r="CJ190" s="432"/>
      <c r="CK190" s="432"/>
      <c r="CL190" s="432"/>
      <c r="CM190" s="432"/>
      <c r="CN190" s="432"/>
      <c r="CO190" s="432"/>
      <c r="CP190" s="432"/>
      <c r="CQ190" s="432"/>
      <c r="CR190" s="432"/>
      <c r="CS190" s="432"/>
      <c r="CT190" s="432"/>
      <c r="CU190" s="432"/>
      <c r="CV190" s="432"/>
      <c r="CW190" s="432"/>
      <c r="CX190" s="432"/>
      <c r="CY190" s="432"/>
      <c r="CZ190" s="432"/>
      <c r="DA190" s="432"/>
      <c r="DB190" s="432"/>
      <c r="DC190" s="432"/>
    </row>
    <row r="191" spans="57:107" ht="19.5" hidden="1" customHeight="1" x14ac:dyDescent="0.2">
      <c r="BE191" s="432" t="s">
        <v>126</v>
      </c>
      <c r="BF191" s="432"/>
      <c r="BG191" s="432"/>
      <c r="BH191" s="433">
        <f>280*39</f>
        <v>10920</v>
      </c>
      <c r="BI191" s="433"/>
      <c r="BJ191" s="433"/>
      <c r="BK191" s="433"/>
      <c r="BL191" s="433"/>
      <c r="BM191" s="220" t="s">
        <v>127</v>
      </c>
      <c r="BN191" s="220"/>
      <c r="BO191" s="220"/>
      <c r="BP191" s="220"/>
      <c r="BQ191" s="220"/>
      <c r="BR191" s="220"/>
      <c r="BS191" s="220"/>
      <c r="BT191" s="220"/>
      <c r="CG191" s="432" t="s">
        <v>126</v>
      </c>
      <c r="CH191" s="432"/>
      <c r="CI191" s="432"/>
      <c r="CJ191" s="433">
        <f>280*8</f>
        <v>2240</v>
      </c>
      <c r="CK191" s="433"/>
      <c r="CL191" s="433"/>
      <c r="CM191" s="433"/>
      <c r="CN191" s="433"/>
      <c r="CO191" s="220" t="s">
        <v>127</v>
      </c>
      <c r="CP191" s="220"/>
      <c r="CQ191" s="220"/>
      <c r="CR191" s="220"/>
      <c r="CS191" s="220"/>
      <c r="CT191" s="220"/>
      <c r="CU191" s="220"/>
      <c r="CV191" s="220"/>
    </row>
    <row r="192" spans="57:107" ht="21.75" hidden="1" customHeight="1" x14ac:dyDescent="0.2">
      <c r="BE192" s="434">
        <v>0.6</v>
      </c>
      <c r="BF192" s="432"/>
      <c r="BG192" s="432"/>
      <c r="BH192" s="216">
        <f>BH191*BE192</f>
        <v>6552</v>
      </c>
      <c r="BI192" s="432" t="s">
        <v>128</v>
      </c>
      <c r="BJ192" s="432"/>
      <c r="BK192" s="432"/>
      <c r="BL192" s="432"/>
      <c r="BM192" s="432"/>
      <c r="BN192" s="432" t="s">
        <v>129</v>
      </c>
      <c r="BO192" s="432"/>
      <c r="BP192" s="432"/>
      <c r="BQ192" s="432"/>
      <c r="BR192" s="432"/>
      <c r="BS192" s="432"/>
      <c r="BT192" s="432"/>
      <c r="CG192" s="434">
        <v>0.6</v>
      </c>
      <c r="CH192" s="432"/>
      <c r="CI192" s="432"/>
      <c r="CJ192" s="216">
        <f>CJ191*CG192</f>
        <v>1344</v>
      </c>
      <c r="CK192" s="432" t="s">
        <v>128</v>
      </c>
      <c r="CL192" s="432"/>
      <c r="CM192" s="432"/>
      <c r="CN192" s="432"/>
      <c r="CO192" s="432"/>
      <c r="CP192" s="432" t="s">
        <v>129</v>
      </c>
      <c r="CQ192" s="432"/>
      <c r="CR192" s="432"/>
      <c r="CS192" s="432"/>
      <c r="CT192" s="432"/>
      <c r="CU192" s="432"/>
      <c r="CV192" s="432"/>
    </row>
    <row r="193" spans="57:100" ht="15" hidden="1" customHeight="1" x14ac:dyDescent="0.2">
      <c r="BE193" s="432">
        <v>211</v>
      </c>
      <c r="BF193" s="432"/>
      <c r="BG193" s="432"/>
      <c r="BH193" s="216">
        <f>BH192-BH194</f>
        <v>5032.2580645161288</v>
      </c>
      <c r="BI193" s="435">
        <f>BH193*0.1</f>
        <v>503.22580645161293</v>
      </c>
      <c r="BJ193" s="435"/>
      <c r="BK193" s="435"/>
      <c r="BL193" s="435"/>
      <c r="BM193" s="435"/>
      <c r="BN193" s="435">
        <f>BH193-BI193</f>
        <v>4529.0322580645161</v>
      </c>
      <c r="BO193" s="432"/>
      <c r="BP193" s="432"/>
      <c r="BQ193" s="432"/>
      <c r="BR193" s="432"/>
      <c r="BS193" s="432"/>
      <c r="BT193" s="432"/>
      <c r="CG193" s="432">
        <v>211</v>
      </c>
      <c r="CH193" s="432"/>
      <c r="CI193" s="432"/>
      <c r="CJ193" s="216">
        <f>CJ192-CJ194</f>
        <v>1032.258064516129</v>
      </c>
      <c r="CK193" s="435">
        <f>CJ193*0.1</f>
        <v>103.22580645161291</v>
      </c>
      <c r="CL193" s="435"/>
      <c r="CM193" s="435"/>
      <c r="CN193" s="435"/>
      <c r="CO193" s="435"/>
      <c r="CP193" s="435">
        <f>CJ193-CK193</f>
        <v>929.0322580645161</v>
      </c>
      <c r="CQ193" s="432"/>
      <c r="CR193" s="432"/>
      <c r="CS193" s="432"/>
      <c r="CT193" s="432"/>
      <c r="CU193" s="432"/>
      <c r="CV193" s="432"/>
    </row>
    <row r="194" spans="57:100" ht="21" hidden="1" customHeight="1" x14ac:dyDescent="0.2">
      <c r="BE194" s="432">
        <v>213</v>
      </c>
      <c r="BF194" s="432"/>
      <c r="BG194" s="432"/>
      <c r="BH194" s="216">
        <f>BH192*30.2/130.2</f>
        <v>1519.741935483871</v>
      </c>
      <c r="BI194" s="435">
        <f>BI193*30.2%</f>
        <v>151.97419354838709</v>
      </c>
      <c r="BJ194" s="435"/>
      <c r="BK194" s="435"/>
      <c r="BL194" s="435"/>
      <c r="BM194" s="435"/>
      <c r="BN194" s="435">
        <f>BN193*30.2%</f>
        <v>1367.7677419354839</v>
      </c>
      <c r="BO194" s="435"/>
      <c r="BP194" s="435"/>
      <c r="BQ194" s="435"/>
      <c r="BR194" s="435"/>
      <c r="BS194" s="435"/>
      <c r="BT194" s="435"/>
      <c r="CG194" s="432">
        <v>213</v>
      </c>
      <c r="CH194" s="432"/>
      <c r="CI194" s="432"/>
      <c r="CJ194" s="216">
        <f>CJ192*30.2/130.2</f>
        <v>311.74193548387098</v>
      </c>
      <c r="CK194" s="435">
        <f>CK193*30.2%</f>
        <v>31.174193548387098</v>
      </c>
      <c r="CL194" s="435"/>
      <c r="CM194" s="435"/>
      <c r="CN194" s="435"/>
      <c r="CO194" s="435"/>
      <c r="CP194" s="435">
        <f>CP193*30.2%</f>
        <v>280.56774193548387</v>
      </c>
      <c r="CQ194" s="435"/>
      <c r="CR194" s="435"/>
      <c r="CS194" s="435"/>
      <c r="CT194" s="435"/>
      <c r="CU194" s="435"/>
      <c r="CV194" s="435"/>
    </row>
    <row r="195" spans="57:100" ht="8.25" hidden="1" customHeight="1" x14ac:dyDescent="0.2"/>
    <row r="196" spans="57:100" ht="8.25" hidden="1" customHeight="1" x14ac:dyDescent="0.2"/>
    <row r="197" spans="57:100" ht="17.25" hidden="1" customHeight="1" x14ac:dyDescent="0.2">
      <c r="BE197" s="432" t="s">
        <v>130</v>
      </c>
      <c r="BF197" s="432"/>
      <c r="BG197" s="432"/>
      <c r="BH197" s="432"/>
      <c r="BI197" s="432"/>
      <c r="BJ197" s="432"/>
      <c r="BK197" s="432"/>
      <c r="BL197" s="432"/>
      <c r="BM197" s="432"/>
      <c r="BN197" s="432"/>
      <c r="BO197" s="432"/>
      <c r="BP197" s="432"/>
      <c r="BQ197" s="432"/>
      <c r="BR197" s="432"/>
      <c r="BS197" s="432"/>
      <c r="BT197" s="432"/>
      <c r="BU197" s="432"/>
      <c r="BV197" s="432"/>
      <c r="BW197" s="432"/>
      <c r="BX197" s="432"/>
      <c r="BY197" s="432"/>
      <c r="BZ197" s="432"/>
      <c r="CA197" s="432"/>
    </row>
    <row r="198" spans="57:100" ht="18" hidden="1" customHeight="1" x14ac:dyDescent="0.2">
      <c r="BE198" s="432" t="s">
        <v>126</v>
      </c>
      <c r="BF198" s="432"/>
      <c r="BG198" s="432"/>
      <c r="BH198" s="433">
        <f>230*107</f>
        <v>24610</v>
      </c>
      <c r="BI198" s="433"/>
      <c r="BJ198" s="433"/>
      <c r="BK198" s="433"/>
      <c r="BL198" s="433"/>
      <c r="BM198" s="220" t="s">
        <v>127</v>
      </c>
      <c r="BN198" s="220"/>
      <c r="BO198" s="220"/>
      <c r="BP198" s="220"/>
      <c r="BQ198" s="220"/>
      <c r="BR198" s="220"/>
      <c r="BS198" s="220"/>
      <c r="BT198" s="220"/>
    </row>
    <row r="199" spans="57:100" ht="14.25" hidden="1" customHeight="1" x14ac:dyDescent="0.2">
      <c r="BE199" s="434">
        <v>0.6</v>
      </c>
      <c r="BF199" s="432"/>
      <c r="BG199" s="432"/>
      <c r="BH199" s="216">
        <f>BH198*BE199</f>
        <v>14766</v>
      </c>
      <c r="BI199" s="432" t="s">
        <v>128</v>
      </c>
      <c r="BJ199" s="432"/>
      <c r="BK199" s="432"/>
      <c r="BL199" s="432"/>
      <c r="BM199" s="432"/>
      <c r="BN199" s="432" t="s">
        <v>129</v>
      </c>
      <c r="BO199" s="432"/>
      <c r="BP199" s="432"/>
      <c r="BQ199" s="432"/>
      <c r="BR199" s="432"/>
      <c r="BS199" s="432"/>
      <c r="BT199" s="432"/>
    </row>
    <row r="200" spans="57:100" ht="12.75" hidden="1" customHeight="1" x14ac:dyDescent="0.2">
      <c r="BE200" s="432">
        <v>211</v>
      </c>
      <c r="BF200" s="432"/>
      <c r="BG200" s="432"/>
      <c r="BH200" s="216">
        <f>BH199-BH201</f>
        <v>11341.013824884792</v>
      </c>
      <c r="BI200" s="435">
        <f>BH200*0.1</f>
        <v>1134.1013824884792</v>
      </c>
      <c r="BJ200" s="435"/>
      <c r="BK200" s="435"/>
      <c r="BL200" s="435"/>
      <c r="BM200" s="435"/>
      <c r="BN200" s="435">
        <f>BH200-BI200</f>
        <v>10206.912442396313</v>
      </c>
      <c r="BO200" s="432"/>
      <c r="BP200" s="432"/>
      <c r="BQ200" s="432"/>
      <c r="BR200" s="432"/>
      <c r="BS200" s="432"/>
      <c r="BT200" s="432"/>
    </row>
    <row r="201" spans="57:100" ht="14.25" hidden="1" customHeight="1" x14ac:dyDescent="0.2">
      <c r="BE201" s="432">
        <v>213</v>
      </c>
      <c r="BF201" s="432"/>
      <c r="BG201" s="432"/>
      <c r="BH201" s="216">
        <f>BH199*30.2/130.2</f>
        <v>3424.986175115208</v>
      </c>
      <c r="BI201" s="435">
        <f>BI200*30.2%</f>
        <v>342.49861751152071</v>
      </c>
      <c r="BJ201" s="435"/>
      <c r="BK201" s="435"/>
      <c r="BL201" s="435"/>
      <c r="BM201" s="435"/>
      <c r="BN201" s="435">
        <f>BN200*30.2%</f>
        <v>3082.4875576036866</v>
      </c>
      <c r="BO201" s="435"/>
      <c r="BP201" s="435"/>
      <c r="BQ201" s="435"/>
      <c r="BR201" s="435"/>
      <c r="BS201" s="435"/>
      <c r="BT201" s="435"/>
    </row>
    <row r="202" spans="57:100" ht="8.25" hidden="1" customHeight="1" x14ac:dyDescent="0.2"/>
    <row r="203" spans="57:100" ht="8.25" hidden="1" customHeight="1" x14ac:dyDescent="0.2"/>
    <row r="204" spans="57:100" ht="8.25" hidden="1" customHeight="1" x14ac:dyDescent="0.2"/>
    <row r="205" spans="57:100" ht="16.5" hidden="1" customHeight="1" x14ac:dyDescent="0.2">
      <c r="BE205" s="432" t="s">
        <v>133</v>
      </c>
      <c r="BF205" s="432"/>
      <c r="BG205" s="432"/>
      <c r="BH205" s="432"/>
      <c r="BI205" s="432"/>
      <c r="BJ205" s="432"/>
      <c r="BK205" s="432"/>
      <c r="BL205" s="432"/>
      <c r="BM205" s="432"/>
      <c r="BN205" s="432"/>
      <c r="BO205" s="432"/>
      <c r="BP205" s="432"/>
      <c r="BQ205" s="432"/>
      <c r="BR205" s="432"/>
      <c r="BS205" s="432"/>
      <c r="BT205" s="432"/>
      <c r="BU205" s="432"/>
      <c r="BV205" s="432"/>
      <c r="BW205" s="432"/>
      <c r="BX205" s="432"/>
      <c r="BY205" s="432"/>
      <c r="BZ205" s="432"/>
      <c r="CA205" s="432"/>
    </row>
    <row r="206" spans="57:100" ht="18" hidden="1" customHeight="1" x14ac:dyDescent="0.2">
      <c r="BE206" s="432" t="s">
        <v>126</v>
      </c>
      <c r="BF206" s="432"/>
      <c r="BG206" s="432"/>
      <c r="BH206" s="433">
        <f>230*57</f>
        <v>13110</v>
      </c>
      <c r="BI206" s="433"/>
      <c r="BJ206" s="433"/>
      <c r="BK206" s="433"/>
      <c r="BL206" s="433"/>
      <c r="BM206" s="220" t="s">
        <v>127</v>
      </c>
      <c r="BN206" s="220"/>
      <c r="BO206" s="220"/>
      <c r="BP206" s="220"/>
      <c r="BQ206" s="220"/>
      <c r="BR206" s="220"/>
      <c r="BS206" s="220"/>
      <c r="BT206" s="220"/>
    </row>
    <row r="207" spans="57:100" ht="12.75" hidden="1" customHeight="1" x14ac:dyDescent="0.2">
      <c r="BE207" s="434">
        <v>0.6</v>
      </c>
      <c r="BF207" s="432"/>
      <c r="BG207" s="432"/>
      <c r="BH207" s="216">
        <f>BH206*BE207</f>
        <v>7866</v>
      </c>
      <c r="BI207" s="432" t="s">
        <v>128</v>
      </c>
      <c r="BJ207" s="432"/>
      <c r="BK207" s="432"/>
      <c r="BL207" s="432"/>
      <c r="BM207" s="432"/>
      <c r="BN207" s="432" t="s">
        <v>129</v>
      </c>
      <c r="BO207" s="432"/>
      <c r="BP207" s="432"/>
      <c r="BQ207" s="432"/>
      <c r="BR207" s="432"/>
      <c r="BS207" s="432"/>
      <c r="BT207" s="432"/>
    </row>
    <row r="208" spans="57:100" ht="15" hidden="1" customHeight="1" x14ac:dyDescent="0.2">
      <c r="BE208" s="432">
        <v>211</v>
      </c>
      <c r="BF208" s="432"/>
      <c r="BG208" s="432"/>
      <c r="BH208" s="216">
        <f>BH207-BH209</f>
        <v>6041.4746543778801</v>
      </c>
      <c r="BI208" s="435">
        <f>BH208*0.1</f>
        <v>604.14746543778801</v>
      </c>
      <c r="BJ208" s="435"/>
      <c r="BK208" s="435"/>
      <c r="BL208" s="435"/>
      <c r="BM208" s="435"/>
      <c r="BN208" s="435">
        <f>BH208-BI208</f>
        <v>5437.3271889400921</v>
      </c>
      <c r="BO208" s="432"/>
      <c r="BP208" s="432"/>
      <c r="BQ208" s="432"/>
      <c r="BR208" s="432"/>
      <c r="BS208" s="432"/>
      <c r="BT208" s="432"/>
    </row>
    <row r="209" spans="57:107" ht="19.5" hidden="1" customHeight="1" x14ac:dyDescent="0.2">
      <c r="BE209" s="432">
        <v>213</v>
      </c>
      <c r="BF209" s="432"/>
      <c r="BG209" s="432"/>
      <c r="BH209" s="216">
        <f>BH207*30.2/130.2</f>
        <v>1824.5253456221199</v>
      </c>
      <c r="BI209" s="435">
        <f>BI208*30.2%</f>
        <v>182.45253456221198</v>
      </c>
      <c r="BJ209" s="435"/>
      <c r="BK209" s="435"/>
      <c r="BL209" s="435"/>
      <c r="BM209" s="435"/>
      <c r="BN209" s="435">
        <f>BN208*30.2%</f>
        <v>1642.0728110599077</v>
      </c>
      <c r="BO209" s="435"/>
      <c r="BP209" s="435"/>
      <c r="BQ209" s="435"/>
      <c r="BR209" s="435"/>
      <c r="BS209" s="435"/>
      <c r="BT209" s="435"/>
    </row>
    <row r="210" spans="57:107" ht="22.5" hidden="1" customHeight="1" x14ac:dyDescent="0.2">
      <c r="BE210" s="432" t="s">
        <v>171</v>
      </c>
      <c r="BF210" s="432"/>
      <c r="BG210" s="432"/>
      <c r="BH210" s="432"/>
      <c r="BI210" s="432"/>
      <c r="BJ210" s="432"/>
      <c r="BK210" s="432"/>
      <c r="BL210" s="432"/>
      <c r="BM210" s="432"/>
      <c r="BN210" s="432"/>
      <c r="BO210" s="432"/>
      <c r="BP210" s="432"/>
      <c r="BQ210" s="432"/>
      <c r="BR210" s="432"/>
      <c r="BS210" s="432"/>
      <c r="BT210" s="432"/>
      <c r="BU210" s="432"/>
      <c r="BV210" s="432"/>
      <c r="BW210" s="432"/>
      <c r="BX210" s="432"/>
      <c r="BY210" s="432"/>
      <c r="BZ210" s="432"/>
      <c r="CA210" s="432"/>
      <c r="CG210" s="432" t="s">
        <v>172</v>
      </c>
      <c r="CH210" s="432"/>
      <c r="CI210" s="432"/>
      <c r="CJ210" s="432"/>
      <c r="CK210" s="432"/>
      <c r="CL210" s="432"/>
      <c r="CM210" s="432"/>
      <c r="CN210" s="432"/>
      <c r="CO210" s="432"/>
      <c r="CP210" s="432"/>
      <c r="CQ210" s="432"/>
      <c r="CR210" s="432"/>
      <c r="CS210" s="432"/>
      <c r="CT210" s="432"/>
      <c r="CU210" s="432"/>
      <c r="CV210" s="432"/>
      <c r="CW210" s="432"/>
      <c r="CX210" s="432"/>
      <c r="CY210" s="432"/>
      <c r="CZ210" s="432"/>
      <c r="DA210" s="432"/>
      <c r="DB210" s="432"/>
      <c r="DC210" s="432"/>
    </row>
    <row r="211" spans="57:107" ht="19.5" hidden="1" customHeight="1" x14ac:dyDescent="0.2">
      <c r="BE211" s="432" t="s">
        <v>126</v>
      </c>
      <c r="BF211" s="432"/>
      <c r="BG211" s="432"/>
      <c r="BH211" s="433">
        <f>280*52</f>
        <v>14560</v>
      </c>
      <c r="BI211" s="433"/>
      <c r="BJ211" s="433"/>
      <c r="BK211" s="433"/>
      <c r="BL211" s="433"/>
      <c r="BM211" s="220" t="s">
        <v>127</v>
      </c>
      <c r="BN211" s="220"/>
      <c r="BO211" s="220"/>
      <c r="BP211" s="220"/>
      <c r="BQ211" s="220"/>
      <c r="BR211" s="220"/>
      <c r="BS211" s="220"/>
      <c r="BT211" s="220"/>
      <c r="CG211" s="432" t="s">
        <v>126</v>
      </c>
      <c r="CH211" s="432"/>
      <c r="CI211" s="432"/>
      <c r="CJ211" s="433">
        <f>280*19</f>
        <v>5320</v>
      </c>
      <c r="CK211" s="433"/>
      <c r="CL211" s="433"/>
      <c r="CM211" s="433"/>
      <c r="CN211" s="433"/>
      <c r="CO211" s="220" t="s">
        <v>127</v>
      </c>
      <c r="CP211" s="220"/>
      <c r="CQ211" s="220"/>
      <c r="CR211" s="220"/>
      <c r="CS211" s="220"/>
      <c r="CT211" s="220"/>
      <c r="CU211" s="220"/>
      <c r="CV211" s="220"/>
    </row>
    <row r="212" spans="57:107" ht="19.5" hidden="1" customHeight="1" x14ac:dyDescent="0.2">
      <c r="BE212" s="434">
        <v>0.6</v>
      </c>
      <c r="BF212" s="432"/>
      <c r="BG212" s="432"/>
      <c r="BH212" s="216">
        <f>BH211*BE212</f>
        <v>8736</v>
      </c>
      <c r="BI212" s="432" t="s">
        <v>128</v>
      </c>
      <c r="BJ212" s="432"/>
      <c r="BK212" s="432"/>
      <c r="BL212" s="432"/>
      <c r="BM212" s="432"/>
      <c r="BN212" s="432" t="s">
        <v>129</v>
      </c>
      <c r="BO212" s="432"/>
      <c r="BP212" s="432"/>
      <c r="BQ212" s="432"/>
      <c r="BR212" s="432"/>
      <c r="BS212" s="432"/>
      <c r="BT212" s="432"/>
      <c r="CG212" s="434">
        <v>0.6</v>
      </c>
      <c r="CH212" s="432"/>
      <c r="CI212" s="432"/>
      <c r="CJ212" s="216">
        <f>CJ211*CG212</f>
        <v>3192</v>
      </c>
      <c r="CK212" s="432" t="s">
        <v>128</v>
      </c>
      <c r="CL212" s="432"/>
      <c r="CM212" s="432"/>
      <c r="CN212" s="432"/>
      <c r="CO212" s="432"/>
      <c r="CP212" s="432" t="s">
        <v>129</v>
      </c>
      <c r="CQ212" s="432"/>
      <c r="CR212" s="432"/>
      <c r="CS212" s="432"/>
      <c r="CT212" s="432"/>
      <c r="CU212" s="432"/>
      <c r="CV212" s="432"/>
    </row>
    <row r="213" spans="57:107" ht="21.75" hidden="1" customHeight="1" x14ac:dyDescent="0.2">
      <c r="BE213" s="432">
        <v>211</v>
      </c>
      <c r="BF213" s="432"/>
      <c r="BG213" s="432"/>
      <c r="BH213" s="216">
        <f>BH212-BH214</f>
        <v>6709.677419354839</v>
      </c>
      <c r="BI213" s="435">
        <f>BH213*0.1</f>
        <v>670.9677419354839</v>
      </c>
      <c r="BJ213" s="435"/>
      <c r="BK213" s="435"/>
      <c r="BL213" s="435"/>
      <c r="BM213" s="435"/>
      <c r="BN213" s="435">
        <f>BH213-BI213</f>
        <v>6038.7096774193551</v>
      </c>
      <c r="BO213" s="432"/>
      <c r="BP213" s="432"/>
      <c r="BQ213" s="432"/>
      <c r="BR213" s="432"/>
      <c r="BS213" s="432"/>
      <c r="BT213" s="432"/>
      <c r="CG213" s="432">
        <v>211</v>
      </c>
      <c r="CH213" s="432"/>
      <c r="CI213" s="432"/>
      <c r="CJ213" s="216">
        <f>CJ212-CJ214</f>
        <v>2451.6129032258063</v>
      </c>
      <c r="CK213" s="435">
        <f>CJ213*0.1</f>
        <v>245.16129032258064</v>
      </c>
      <c r="CL213" s="435"/>
      <c r="CM213" s="435"/>
      <c r="CN213" s="435"/>
      <c r="CO213" s="435"/>
      <c r="CP213" s="435">
        <f>CJ213-CK213</f>
        <v>2206.4516129032259</v>
      </c>
      <c r="CQ213" s="432"/>
      <c r="CR213" s="432"/>
      <c r="CS213" s="432"/>
      <c r="CT213" s="432"/>
      <c r="CU213" s="432"/>
      <c r="CV213" s="432"/>
    </row>
    <row r="214" spans="57:107" ht="21.75" hidden="1" customHeight="1" x14ac:dyDescent="0.2">
      <c r="BE214" s="432">
        <v>213</v>
      </c>
      <c r="BF214" s="432"/>
      <c r="BG214" s="432"/>
      <c r="BH214" s="216">
        <f>BH212*30.2/130.2</f>
        <v>2026.3225806451615</v>
      </c>
      <c r="BI214" s="435">
        <f>BI213*30.2%</f>
        <v>202.63225806451612</v>
      </c>
      <c r="BJ214" s="435"/>
      <c r="BK214" s="435"/>
      <c r="BL214" s="435"/>
      <c r="BM214" s="435"/>
      <c r="BN214" s="435">
        <f>BN213*30.2%</f>
        <v>1823.6903225806452</v>
      </c>
      <c r="BO214" s="435"/>
      <c r="BP214" s="435"/>
      <c r="BQ214" s="435"/>
      <c r="BR214" s="435"/>
      <c r="BS214" s="435"/>
      <c r="BT214" s="435"/>
      <c r="CG214" s="432">
        <v>213</v>
      </c>
      <c r="CH214" s="432"/>
      <c r="CI214" s="432"/>
      <c r="CJ214" s="216">
        <f>CJ212*30.2/130.2</f>
        <v>740.38709677419354</v>
      </c>
      <c r="CK214" s="435">
        <f>CK213*30.2%</f>
        <v>74.038709677419348</v>
      </c>
      <c r="CL214" s="435"/>
      <c r="CM214" s="435"/>
      <c r="CN214" s="435"/>
      <c r="CO214" s="435"/>
      <c r="CP214" s="435">
        <f>CP213*30.2%</f>
        <v>666.34838709677422</v>
      </c>
      <c r="CQ214" s="435"/>
      <c r="CR214" s="435"/>
      <c r="CS214" s="435"/>
      <c r="CT214" s="435"/>
      <c r="CU214" s="435"/>
      <c r="CV214" s="435"/>
    </row>
    <row r="215" spans="57:107" ht="8.25" hidden="1" customHeight="1" x14ac:dyDescent="0.2"/>
    <row r="216" spans="57:107" ht="8.25" hidden="1" customHeight="1" x14ac:dyDescent="0.2"/>
    <row r="217" spans="57:107" ht="8.25" hidden="1" customHeight="1" x14ac:dyDescent="0.2"/>
    <row r="218" spans="57:107" ht="1.5" hidden="1" customHeight="1" x14ac:dyDescent="0.2">
      <c r="BE218" s="432" t="s">
        <v>182</v>
      </c>
      <c r="BF218" s="432"/>
      <c r="BG218" s="432"/>
      <c r="BH218" s="432"/>
      <c r="BI218" s="432"/>
      <c r="BJ218" s="432"/>
      <c r="BK218" s="432"/>
      <c r="BL218" s="432"/>
      <c r="BM218" s="432"/>
      <c r="BN218" s="432"/>
      <c r="BO218" s="432"/>
      <c r="BP218" s="432"/>
      <c r="BQ218" s="432"/>
      <c r="BR218" s="432"/>
      <c r="BS218" s="432"/>
      <c r="BT218" s="432"/>
      <c r="BU218" s="432"/>
      <c r="BV218" s="432"/>
      <c r="BW218" s="432"/>
      <c r="BX218" s="432"/>
      <c r="BY218" s="432"/>
      <c r="BZ218" s="432"/>
      <c r="CA218" s="432"/>
      <c r="CG218" s="432" t="s">
        <v>181</v>
      </c>
      <c r="CH218" s="432"/>
      <c r="CI218" s="432"/>
      <c r="CJ218" s="432"/>
      <c r="CK218" s="432"/>
      <c r="CL218" s="432"/>
      <c r="CM218" s="432"/>
      <c r="CN218" s="432"/>
      <c r="CO218" s="432"/>
      <c r="CP218" s="432"/>
      <c r="CQ218" s="432"/>
      <c r="CR218" s="432"/>
      <c r="CS218" s="432"/>
      <c r="CT218" s="432"/>
      <c r="CU218" s="432"/>
      <c r="CV218" s="432"/>
      <c r="CW218" s="432"/>
      <c r="CX218" s="432"/>
      <c r="CY218" s="432"/>
      <c r="CZ218" s="432"/>
      <c r="DA218" s="432"/>
      <c r="DB218" s="432"/>
      <c r="DC218" s="432"/>
    </row>
    <row r="219" spans="57:107" ht="18" hidden="1" customHeight="1" x14ac:dyDescent="0.2">
      <c r="BE219" s="432" t="s">
        <v>126</v>
      </c>
      <c r="BF219" s="432"/>
      <c r="BG219" s="432"/>
      <c r="BH219" s="433">
        <f>280*49</f>
        <v>13720</v>
      </c>
      <c r="BI219" s="433"/>
      <c r="BJ219" s="433"/>
      <c r="BK219" s="433"/>
      <c r="BL219" s="433"/>
      <c r="BM219" s="220" t="s">
        <v>127</v>
      </c>
      <c r="BN219" s="220"/>
      <c r="BO219" s="220"/>
      <c r="BP219" s="220"/>
      <c r="BQ219" s="220"/>
      <c r="BR219" s="220"/>
      <c r="BS219" s="220"/>
      <c r="BT219" s="220"/>
      <c r="CG219" s="432" t="s">
        <v>126</v>
      </c>
      <c r="CH219" s="432"/>
      <c r="CI219" s="432"/>
      <c r="CJ219" s="433">
        <f>280*104</f>
        <v>29120</v>
      </c>
      <c r="CK219" s="433"/>
      <c r="CL219" s="433"/>
      <c r="CM219" s="433"/>
      <c r="CN219" s="433"/>
      <c r="CO219" s="220" t="s">
        <v>127</v>
      </c>
      <c r="CP219" s="220"/>
      <c r="CQ219" s="220"/>
      <c r="CR219" s="220"/>
      <c r="CS219" s="220"/>
      <c r="CT219" s="220"/>
      <c r="CU219" s="220"/>
      <c r="CV219" s="220"/>
    </row>
    <row r="220" spans="57:107" ht="13.5" hidden="1" customHeight="1" x14ac:dyDescent="0.2">
      <c r="BE220" s="434">
        <v>0.6</v>
      </c>
      <c r="BF220" s="432"/>
      <c r="BG220" s="432"/>
      <c r="BH220" s="216">
        <f>BH219*BE220</f>
        <v>8232</v>
      </c>
      <c r="BI220" s="432" t="s">
        <v>128</v>
      </c>
      <c r="BJ220" s="432"/>
      <c r="BK220" s="432"/>
      <c r="BL220" s="432"/>
      <c r="BM220" s="432"/>
      <c r="BN220" s="432" t="s">
        <v>129</v>
      </c>
      <c r="BO220" s="432"/>
      <c r="BP220" s="432"/>
      <c r="BQ220" s="432"/>
      <c r="BR220" s="432"/>
      <c r="BS220" s="432"/>
      <c r="BT220" s="432"/>
      <c r="CG220" s="434">
        <v>0.6</v>
      </c>
      <c r="CH220" s="432"/>
      <c r="CI220" s="432"/>
      <c r="CJ220" s="216">
        <f>CJ219*CG220</f>
        <v>17472</v>
      </c>
      <c r="CK220" s="432" t="s">
        <v>128</v>
      </c>
      <c r="CL220" s="432"/>
      <c r="CM220" s="432"/>
      <c r="CN220" s="432"/>
      <c r="CO220" s="432"/>
      <c r="CP220" s="432" t="s">
        <v>129</v>
      </c>
      <c r="CQ220" s="432"/>
      <c r="CR220" s="432"/>
      <c r="CS220" s="432"/>
      <c r="CT220" s="432"/>
      <c r="CU220" s="432"/>
      <c r="CV220" s="432"/>
    </row>
    <row r="221" spans="57:107" ht="18" hidden="1" customHeight="1" x14ac:dyDescent="0.2">
      <c r="BE221" s="432">
        <v>211</v>
      </c>
      <c r="BF221" s="432"/>
      <c r="BG221" s="432"/>
      <c r="BH221" s="216">
        <f>BH220-BH222</f>
        <v>6322.5806451612898</v>
      </c>
      <c r="BI221" s="435">
        <f>BH221*0.1</f>
        <v>632.25806451612902</v>
      </c>
      <c r="BJ221" s="435"/>
      <c r="BK221" s="435"/>
      <c r="BL221" s="435"/>
      <c r="BM221" s="435"/>
      <c r="BN221" s="435">
        <f>BH221-BI221</f>
        <v>5690.322580645161</v>
      </c>
      <c r="BO221" s="432"/>
      <c r="BP221" s="432"/>
      <c r="BQ221" s="432"/>
      <c r="BR221" s="432"/>
      <c r="BS221" s="432"/>
      <c r="BT221" s="432"/>
      <c r="CG221" s="432">
        <v>211</v>
      </c>
      <c r="CH221" s="432"/>
      <c r="CI221" s="432"/>
      <c r="CJ221" s="216">
        <f>CJ220-CJ222</f>
        <v>13419.354838709678</v>
      </c>
      <c r="CK221" s="435">
        <f>CJ221*0.1</f>
        <v>1341.9354838709678</v>
      </c>
      <c r="CL221" s="435"/>
      <c r="CM221" s="435"/>
      <c r="CN221" s="435"/>
      <c r="CO221" s="435"/>
      <c r="CP221" s="435">
        <f>CJ221-CK221</f>
        <v>12077.41935483871</v>
      </c>
      <c r="CQ221" s="432"/>
      <c r="CR221" s="432"/>
      <c r="CS221" s="432"/>
      <c r="CT221" s="432"/>
      <c r="CU221" s="432"/>
      <c r="CV221" s="432"/>
    </row>
    <row r="222" spans="57:107" ht="15" hidden="1" customHeight="1" x14ac:dyDescent="0.2">
      <c r="BE222" s="432">
        <v>213</v>
      </c>
      <c r="BF222" s="432"/>
      <c r="BG222" s="432"/>
      <c r="BH222" s="216">
        <f>BH220*30.2/130.2</f>
        <v>1909.4193548387098</v>
      </c>
      <c r="BI222" s="435">
        <f>BI221*30.2%</f>
        <v>190.94193548387096</v>
      </c>
      <c r="BJ222" s="435"/>
      <c r="BK222" s="435"/>
      <c r="BL222" s="435"/>
      <c r="BM222" s="435"/>
      <c r="BN222" s="435">
        <f>BN221*30.2%</f>
        <v>1718.4774193548385</v>
      </c>
      <c r="BO222" s="435"/>
      <c r="BP222" s="435"/>
      <c r="BQ222" s="435"/>
      <c r="BR222" s="435"/>
      <c r="BS222" s="435"/>
      <c r="BT222" s="435"/>
      <c r="CG222" s="432">
        <v>213</v>
      </c>
      <c r="CH222" s="432"/>
      <c r="CI222" s="432"/>
      <c r="CJ222" s="216">
        <f>CJ220*30.2/130.2</f>
        <v>4052.6451612903229</v>
      </c>
      <c r="CK222" s="435">
        <f>CK221*30.2%</f>
        <v>405.26451612903224</v>
      </c>
      <c r="CL222" s="435"/>
      <c r="CM222" s="435"/>
      <c r="CN222" s="435"/>
      <c r="CO222" s="435"/>
      <c r="CP222" s="435">
        <f>CP221*30.2%</f>
        <v>3647.3806451612904</v>
      </c>
      <c r="CQ222" s="435"/>
      <c r="CR222" s="435"/>
      <c r="CS222" s="435"/>
      <c r="CT222" s="435"/>
      <c r="CU222" s="435"/>
      <c r="CV222" s="435"/>
    </row>
    <row r="223" spans="57:107" ht="8.25" hidden="1" customHeight="1" x14ac:dyDescent="0.2"/>
    <row r="224" spans="57:107" ht="8.25" hidden="1" customHeight="1" x14ac:dyDescent="0.2"/>
    <row r="225" spans="57:107" ht="8.25" hidden="1" customHeight="1" x14ac:dyDescent="0.2"/>
    <row r="226" spans="57:107" ht="21.75" hidden="1" customHeight="1" x14ac:dyDescent="0.2">
      <c r="BE226" s="432" t="s">
        <v>189</v>
      </c>
      <c r="BF226" s="432"/>
      <c r="BG226" s="432"/>
      <c r="BH226" s="432"/>
      <c r="BI226" s="432"/>
      <c r="BJ226" s="432"/>
      <c r="BK226" s="432"/>
      <c r="BL226" s="432"/>
      <c r="BM226" s="432"/>
      <c r="BN226" s="432"/>
      <c r="BO226" s="432"/>
      <c r="BP226" s="432"/>
      <c r="BQ226" s="432"/>
      <c r="BR226" s="432"/>
      <c r="BS226" s="432"/>
      <c r="BT226" s="432"/>
      <c r="BU226" s="432"/>
      <c r="BV226" s="432"/>
      <c r="BW226" s="432"/>
      <c r="BX226" s="432"/>
      <c r="BY226" s="432"/>
      <c r="BZ226" s="432"/>
      <c r="CA226" s="432"/>
      <c r="CG226" s="432" t="s">
        <v>190</v>
      </c>
      <c r="CH226" s="432"/>
      <c r="CI226" s="432"/>
      <c r="CJ226" s="432"/>
      <c r="CK226" s="432"/>
      <c r="CL226" s="432"/>
      <c r="CM226" s="432"/>
      <c r="CN226" s="432"/>
      <c r="CO226" s="432"/>
      <c r="CP226" s="432"/>
      <c r="CQ226" s="432"/>
      <c r="CR226" s="432"/>
      <c r="CS226" s="432"/>
      <c r="CT226" s="432"/>
      <c r="CU226" s="432"/>
      <c r="CV226" s="432"/>
      <c r="CW226" s="432"/>
      <c r="CX226" s="432"/>
      <c r="CY226" s="432"/>
      <c r="CZ226" s="432"/>
      <c r="DA226" s="432"/>
      <c r="DB226" s="432"/>
      <c r="DC226" s="432"/>
    </row>
    <row r="227" spans="57:107" ht="18" hidden="1" customHeight="1" x14ac:dyDescent="0.2">
      <c r="BE227" s="432" t="s">
        <v>126</v>
      </c>
      <c r="BF227" s="432"/>
      <c r="BG227" s="432"/>
      <c r="BH227" s="433">
        <f>280*62</f>
        <v>17360</v>
      </c>
      <c r="BI227" s="433"/>
      <c r="BJ227" s="433"/>
      <c r="BK227" s="433"/>
      <c r="BL227" s="433"/>
      <c r="BM227" s="220" t="s">
        <v>127</v>
      </c>
      <c r="BN227" s="220"/>
      <c r="BO227" s="220"/>
      <c r="BP227" s="220"/>
      <c r="BQ227" s="220"/>
      <c r="BR227" s="220"/>
      <c r="BS227" s="220"/>
      <c r="BT227" s="220"/>
      <c r="CG227" s="432" t="s">
        <v>126</v>
      </c>
      <c r="CH227" s="432"/>
      <c r="CI227" s="432"/>
      <c r="CJ227" s="433">
        <f>280*5</f>
        <v>1400</v>
      </c>
      <c r="CK227" s="433"/>
      <c r="CL227" s="433"/>
      <c r="CM227" s="433"/>
      <c r="CN227" s="433"/>
      <c r="CO227" s="220" t="s">
        <v>127</v>
      </c>
      <c r="CP227" s="220"/>
      <c r="CQ227" s="220"/>
      <c r="CR227" s="220"/>
      <c r="CS227" s="220"/>
      <c r="CT227" s="220"/>
      <c r="CU227" s="220"/>
      <c r="CV227" s="220"/>
    </row>
    <row r="228" spans="57:107" ht="16.5" hidden="1" customHeight="1" x14ac:dyDescent="0.2">
      <c r="BE228" s="434">
        <v>0.6</v>
      </c>
      <c r="BF228" s="432"/>
      <c r="BG228" s="432"/>
      <c r="BH228" s="216">
        <f>BH227*BE228</f>
        <v>10416</v>
      </c>
      <c r="BI228" s="432" t="s">
        <v>128</v>
      </c>
      <c r="BJ228" s="432"/>
      <c r="BK228" s="432"/>
      <c r="BL228" s="432"/>
      <c r="BM228" s="432"/>
      <c r="BN228" s="432" t="s">
        <v>129</v>
      </c>
      <c r="BO228" s="432"/>
      <c r="BP228" s="432"/>
      <c r="BQ228" s="432"/>
      <c r="BR228" s="432"/>
      <c r="BS228" s="432"/>
      <c r="BT228" s="432"/>
      <c r="CG228" s="434">
        <v>0.6</v>
      </c>
      <c r="CH228" s="432"/>
      <c r="CI228" s="432"/>
      <c r="CJ228" s="216">
        <f>CJ227*CG228</f>
        <v>840</v>
      </c>
      <c r="CK228" s="432" t="s">
        <v>128</v>
      </c>
      <c r="CL228" s="432"/>
      <c r="CM228" s="432"/>
      <c r="CN228" s="432"/>
      <c r="CO228" s="432"/>
      <c r="CP228" s="432" t="s">
        <v>129</v>
      </c>
      <c r="CQ228" s="432"/>
      <c r="CR228" s="432"/>
      <c r="CS228" s="432"/>
      <c r="CT228" s="432"/>
      <c r="CU228" s="432"/>
      <c r="CV228" s="432"/>
    </row>
    <row r="229" spans="57:107" ht="14.25" hidden="1" customHeight="1" x14ac:dyDescent="0.2">
      <c r="BE229" s="432">
        <v>211</v>
      </c>
      <c r="BF229" s="432"/>
      <c r="BG229" s="432"/>
      <c r="BH229" s="216">
        <f>BH228-BH230</f>
        <v>8000</v>
      </c>
      <c r="BI229" s="435">
        <f>BH229*0.1</f>
        <v>800</v>
      </c>
      <c r="BJ229" s="435"/>
      <c r="BK229" s="435"/>
      <c r="BL229" s="435"/>
      <c r="BM229" s="435"/>
      <c r="BN229" s="435">
        <f>BH229-BI229</f>
        <v>7200</v>
      </c>
      <c r="BO229" s="432"/>
      <c r="BP229" s="432"/>
      <c r="BQ229" s="432"/>
      <c r="BR229" s="432"/>
      <c r="BS229" s="432"/>
      <c r="BT229" s="432"/>
      <c r="CG229" s="432">
        <v>211</v>
      </c>
      <c r="CH229" s="432"/>
      <c r="CI229" s="432"/>
      <c r="CJ229" s="216">
        <f>CJ228-CJ230</f>
        <v>645.16129032258061</v>
      </c>
      <c r="CK229" s="435">
        <f>CJ229*0.1</f>
        <v>64.516129032258064</v>
      </c>
      <c r="CL229" s="435"/>
      <c r="CM229" s="435"/>
      <c r="CN229" s="435"/>
      <c r="CO229" s="435"/>
      <c r="CP229" s="435">
        <f>CJ229-CK229</f>
        <v>580.64516129032256</v>
      </c>
      <c r="CQ229" s="432"/>
      <c r="CR229" s="432"/>
      <c r="CS229" s="432"/>
      <c r="CT229" s="432"/>
      <c r="CU229" s="432"/>
      <c r="CV229" s="432"/>
    </row>
    <row r="230" spans="57:107" ht="15" hidden="1" customHeight="1" x14ac:dyDescent="0.2">
      <c r="BE230" s="432">
        <v>213</v>
      </c>
      <c r="BF230" s="432"/>
      <c r="BG230" s="432"/>
      <c r="BH230" s="216">
        <f>BH228*30.2/130.2</f>
        <v>2416.0000000000005</v>
      </c>
      <c r="BI230" s="435">
        <f>BI229*30.2%</f>
        <v>241.6</v>
      </c>
      <c r="BJ230" s="435"/>
      <c r="BK230" s="435"/>
      <c r="BL230" s="435"/>
      <c r="BM230" s="435"/>
      <c r="BN230" s="435">
        <f>BN229*30.2%</f>
        <v>2174.4</v>
      </c>
      <c r="BO230" s="435"/>
      <c r="BP230" s="435"/>
      <c r="BQ230" s="435"/>
      <c r="BR230" s="435"/>
      <c r="BS230" s="435"/>
      <c r="BT230" s="435"/>
      <c r="CG230" s="432">
        <v>213</v>
      </c>
      <c r="CH230" s="432"/>
      <c r="CI230" s="432"/>
      <c r="CJ230" s="216">
        <f>CJ228*30.2/130.2</f>
        <v>194.83870967741936</v>
      </c>
      <c r="CK230" s="435">
        <f>CK229*30.2%</f>
        <v>19.483870967741936</v>
      </c>
      <c r="CL230" s="435"/>
      <c r="CM230" s="435"/>
      <c r="CN230" s="435"/>
      <c r="CO230" s="435"/>
      <c r="CP230" s="435">
        <f>CP229*30.2%</f>
        <v>175.35483870967741</v>
      </c>
      <c r="CQ230" s="435"/>
      <c r="CR230" s="435"/>
      <c r="CS230" s="435"/>
      <c r="CT230" s="435"/>
      <c r="CU230" s="435"/>
      <c r="CV230" s="435"/>
    </row>
    <row r="231" spans="57:107" ht="8.25" hidden="1" customHeight="1" x14ac:dyDescent="0.2"/>
    <row r="232" spans="57:107" ht="8.25" hidden="1" customHeight="1" x14ac:dyDescent="0.2"/>
    <row r="233" spans="57:107" ht="17.25" hidden="1" customHeight="1" x14ac:dyDescent="0.2">
      <c r="BE233" s="432" t="s">
        <v>271</v>
      </c>
      <c r="BF233" s="432"/>
      <c r="BG233" s="432"/>
      <c r="BH233" s="432"/>
      <c r="BI233" s="432"/>
      <c r="BJ233" s="432"/>
      <c r="BK233" s="432"/>
      <c r="BL233" s="432"/>
      <c r="BM233" s="432"/>
      <c r="BN233" s="432"/>
      <c r="BO233" s="432"/>
      <c r="BP233" s="432"/>
      <c r="BQ233" s="432"/>
      <c r="BR233" s="432"/>
      <c r="BS233" s="432"/>
      <c r="BT233" s="432"/>
      <c r="BU233" s="432"/>
      <c r="BV233" s="432"/>
      <c r="BW233" s="432"/>
      <c r="BX233" s="432"/>
      <c r="BY233" s="432"/>
      <c r="BZ233" s="432"/>
      <c r="CA233" s="432"/>
    </row>
    <row r="234" spans="57:107" ht="21" hidden="1" customHeight="1" x14ac:dyDescent="0.2">
      <c r="BE234" s="432" t="s">
        <v>126</v>
      </c>
      <c r="BF234" s="432"/>
      <c r="BG234" s="432"/>
      <c r="BH234" s="433">
        <f>200*26</f>
        <v>5200</v>
      </c>
      <c r="BI234" s="433"/>
      <c r="BJ234" s="433"/>
      <c r="BK234" s="433"/>
      <c r="BL234" s="433"/>
      <c r="BM234" s="220" t="s">
        <v>127</v>
      </c>
      <c r="BN234" s="220"/>
      <c r="BO234" s="220"/>
      <c r="BP234" s="220"/>
      <c r="BQ234" s="220"/>
      <c r="BR234" s="220"/>
      <c r="BS234" s="220"/>
      <c r="BT234" s="220"/>
    </row>
    <row r="235" spans="57:107" ht="20.25" hidden="1" customHeight="1" x14ac:dyDescent="0.2">
      <c r="BE235" s="434">
        <v>0.6</v>
      </c>
      <c r="BF235" s="432"/>
      <c r="BG235" s="432"/>
      <c r="BH235" s="216">
        <f>BH234*BE235</f>
        <v>3120</v>
      </c>
      <c r="BI235" s="432" t="s">
        <v>128</v>
      </c>
      <c r="BJ235" s="432"/>
      <c r="BK235" s="432"/>
      <c r="BL235" s="432"/>
      <c r="BM235" s="432"/>
      <c r="BN235" s="432" t="s">
        <v>129</v>
      </c>
      <c r="BO235" s="432"/>
      <c r="BP235" s="432"/>
      <c r="BQ235" s="432"/>
      <c r="BR235" s="432"/>
      <c r="BS235" s="432"/>
      <c r="BT235" s="432"/>
    </row>
    <row r="236" spans="57:107" ht="15.75" hidden="1" customHeight="1" x14ac:dyDescent="0.2">
      <c r="BE236" s="432">
        <v>211</v>
      </c>
      <c r="BF236" s="432"/>
      <c r="BG236" s="432"/>
      <c r="BH236" s="216">
        <f>BH235-BH237</f>
        <v>2396.3133640552996</v>
      </c>
      <c r="BI236" s="435">
        <f>BH236*0.1</f>
        <v>239.63133640552996</v>
      </c>
      <c r="BJ236" s="435"/>
      <c r="BK236" s="435"/>
      <c r="BL236" s="435"/>
      <c r="BM236" s="435"/>
      <c r="BN236" s="435">
        <f>BH236-BI236</f>
        <v>2156.6820276497697</v>
      </c>
      <c r="BO236" s="432"/>
      <c r="BP236" s="432"/>
      <c r="BQ236" s="432"/>
      <c r="BR236" s="432"/>
      <c r="BS236" s="432"/>
      <c r="BT236" s="432"/>
    </row>
    <row r="237" spans="57:107" ht="16.5" hidden="1" customHeight="1" x14ac:dyDescent="0.2">
      <c r="BE237" s="432">
        <v>213</v>
      </c>
      <c r="BF237" s="432"/>
      <c r="BG237" s="432"/>
      <c r="BH237" s="216">
        <f>BH235*30.2/130.2</f>
        <v>723.68663594470047</v>
      </c>
      <c r="BI237" s="435">
        <f>BI236*30.2%</f>
        <v>72.36866359447005</v>
      </c>
      <c r="BJ237" s="435"/>
      <c r="BK237" s="435"/>
      <c r="BL237" s="435"/>
      <c r="BM237" s="435"/>
      <c r="BN237" s="435">
        <f>BN236*30.2%</f>
        <v>651.31797235023043</v>
      </c>
      <c r="BO237" s="435"/>
      <c r="BP237" s="435"/>
      <c r="BQ237" s="435"/>
      <c r="BR237" s="435"/>
      <c r="BS237" s="435"/>
      <c r="BT237" s="435"/>
    </row>
    <row r="238" spans="57:107" ht="8.25" hidden="1" customHeight="1" x14ac:dyDescent="0.2"/>
    <row r="239" spans="57:107" ht="8.25" hidden="1" customHeight="1" x14ac:dyDescent="0.2"/>
    <row r="240" spans="57:107" ht="14.25" hidden="1" customHeight="1" x14ac:dyDescent="0.2">
      <c r="BE240" s="432" t="s">
        <v>279</v>
      </c>
      <c r="BF240" s="432"/>
      <c r="BG240" s="432"/>
      <c r="BH240" s="432"/>
      <c r="BI240" s="432"/>
      <c r="BJ240" s="432"/>
      <c r="BK240" s="432"/>
      <c r="BL240" s="432"/>
      <c r="BM240" s="432"/>
      <c r="BN240" s="432"/>
      <c r="BO240" s="432"/>
      <c r="BP240" s="432"/>
      <c r="BQ240" s="432"/>
      <c r="BR240" s="432"/>
      <c r="BS240" s="432"/>
      <c r="BT240" s="432"/>
      <c r="BU240" s="432"/>
      <c r="BV240" s="432"/>
      <c r="BW240" s="432"/>
      <c r="BX240" s="432"/>
      <c r="BY240" s="432"/>
      <c r="BZ240" s="432"/>
      <c r="CA240" s="432"/>
    </row>
    <row r="241" spans="57:79" ht="15" hidden="1" customHeight="1" x14ac:dyDescent="0.2">
      <c r="BE241" s="432" t="s">
        <v>126</v>
      </c>
      <c r="BF241" s="432"/>
      <c r="BG241" s="432"/>
      <c r="BH241" s="433">
        <f>200*9</f>
        <v>1800</v>
      </c>
      <c r="BI241" s="433"/>
      <c r="BJ241" s="433"/>
      <c r="BK241" s="433"/>
      <c r="BL241" s="433"/>
      <c r="BM241" s="220" t="s">
        <v>127</v>
      </c>
      <c r="BN241" s="220"/>
      <c r="BO241" s="220"/>
      <c r="BP241" s="220"/>
      <c r="BQ241" s="220"/>
      <c r="BR241" s="220"/>
      <c r="BS241" s="220"/>
      <c r="BT241" s="220"/>
    </row>
    <row r="242" spans="57:79" ht="15" hidden="1" customHeight="1" x14ac:dyDescent="0.2">
      <c r="BE242" s="434">
        <v>0.6</v>
      </c>
      <c r="BF242" s="432"/>
      <c r="BG242" s="432"/>
      <c r="BH242" s="216">
        <f>BH241*BE242</f>
        <v>1080</v>
      </c>
      <c r="BI242" s="432" t="s">
        <v>128</v>
      </c>
      <c r="BJ242" s="432"/>
      <c r="BK242" s="432"/>
      <c r="BL242" s="432"/>
      <c r="BM242" s="432"/>
      <c r="BN242" s="432" t="s">
        <v>129</v>
      </c>
      <c r="BO242" s="432"/>
      <c r="BP242" s="432"/>
      <c r="BQ242" s="432"/>
      <c r="BR242" s="432"/>
      <c r="BS242" s="432"/>
      <c r="BT242" s="432"/>
    </row>
    <row r="243" spans="57:79" ht="15" hidden="1" customHeight="1" x14ac:dyDescent="0.2">
      <c r="BE243" s="432">
        <v>211</v>
      </c>
      <c r="BF243" s="432"/>
      <c r="BG243" s="432"/>
      <c r="BH243" s="216">
        <f>BH242-BH244</f>
        <v>829.49308755760364</v>
      </c>
      <c r="BI243" s="435">
        <f>BH243*0.1</f>
        <v>82.94930875576037</v>
      </c>
      <c r="BJ243" s="435"/>
      <c r="BK243" s="435"/>
      <c r="BL243" s="435"/>
      <c r="BM243" s="435"/>
      <c r="BN243" s="435">
        <f>BH243-BI243</f>
        <v>746.54377880184325</v>
      </c>
      <c r="BO243" s="432"/>
      <c r="BP243" s="432"/>
      <c r="BQ243" s="432"/>
      <c r="BR243" s="432"/>
      <c r="BS243" s="432"/>
      <c r="BT243" s="432"/>
    </row>
    <row r="244" spans="57:79" ht="15" hidden="1" customHeight="1" x14ac:dyDescent="0.2">
      <c r="BE244" s="432">
        <v>213</v>
      </c>
      <c r="BF244" s="432"/>
      <c r="BG244" s="432"/>
      <c r="BH244" s="216">
        <f>BH242*30.2/130.2</f>
        <v>250.50691244239633</v>
      </c>
      <c r="BI244" s="435">
        <f>BI243*30.2%</f>
        <v>25.05069124423963</v>
      </c>
      <c r="BJ244" s="435"/>
      <c r="BK244" s="435"/>
      <c r="BL244" s="435"/>
      <c r="BM244" s="435"/>
      <c r="BN244" s="435">
        <f>BN243*30.2%</f>
        <v>225.45622119815664</v>
      </c>
      <c r="BO244" s="435"/>
      <c r="BP244" s="435"/>
      <c r="BQ244" s="435"/>
      <c r="BR244" s="435"/>
      <c r="BS244" s="435"/>
      <c r="BT244" s="435"/>
    </row>
    <row r="245" spans="57:79" ht="15" hidden="1" customHeight="1" x14ac:dyDescent="0.2"/>
    <row r="246" spans="57:79" ht="8.25" hidden="1" customHeight="1" x14ac:dyDescent="0.2"/>
    <row r="247" spans="57:79" ht="15" hidden="1" customHeight="1" x14ac:dyDescent="0.2">
      <c r="BE247" s="432" t="s">
        <v>289</v>
      </c>
      <c r="BF247" s="432"/>
      <c r="BG247" s="432"/>
      <c r="BH247" s="432"/>
      <c r="BI247" s="432"/>
      <c r="BJ247" s="432"/>
      <c r="BK247" s="432"/>
      <c r="BL247" s="432"/>
      <c r="BM247" s="432"/>
      <c r="BN247" s="432"/>
      <c r="BO247" s="432"/>
      <c r="BP247" s="432"/>
      <c r="BQ247" s="432"/>
      <c r="BR247" s="432"/>
      <c r="BS247" s="432"/>
      <c r="BT247" s="432"/>
      <c r="BU247" s="432"/>
      <c r="BV247" s="432"/>
      <c r="BW247" s="432"/>
      <c r="BX247" s="432"/>
      <c r="BY247" s="432"/>
      <c r="BZ247" s="432"/>
      <c r="CA247" s="432"/>
    </row>
    <row r="248" spans="57:79" ht="15" hidden="1" customHeight="1" x14ac:dyDescent="0.2">
      <c r="BE248" s="432" t="s">
        <v>126</v>
      </c>
      <c r="BF248" s="432"/>
      <c r="BG248" s="432"/>
      <c r="BH248" s="433">
        <f>200*35</f>
        <v>7000</v>
      </c>
      <c r="BI248" s="433"/>
      <c r="BJ248" s="433"/>
      <c r="BK248" s="433"/>
      <c r="BL248" s="433"/>
      <c r="BM248" s="220" t="s">
        <v>127</v>
      </c>
      <c r="BN248" s="220"/>
      <c r="BO248" s="220"/>
      <c r="BP248" s="220"/>
      <c r="BQ248" s="220"/>
      <c r="BR248" s="220"/>
      <c r="BS248" s="220"/>
      <c r="BT248" s="220"/>
    </row>
    <row r="249" spans="57:79" ht="15" hidden="1" customHeight="1" x14ac:dyDescent="0.2">
      <c r="BE249" s="434">
        <v>0.6</v>
      </c>
      <c r="BF249" s="432"/>
      <c r="BG249" s="432"/>
      <c r="BH249" s="216">
        <f>BH248*BE249</f>
        <v>4200</v>
      </c>
      <c r="BI249" s="432" t="s">
        <v>128</v>
      </c>
      <c r="BJ249" s="432"/>
      <c r="BK249" s="432"/>
      <c r="BL249" s="432"/>
      <c r="BM249" s="432"/>
      <c r="BN249" s="432" t="s">
        <v>129</v>
      </c>
      <c r="BO249" s="432"/>
      <c r="BP249" s="432"/>
      <c r="BQ249" s="432"/>
      <c r="BR249" s="432"/>
      <c r="BS249" s="432"/>
      <c r="BT249" s="432"/>
    </row>
    <row r="250" spans="57:79" ht="15" hidden="1" customHeight="1" x14ac:dyDescent="0.2">
      <c r="BE250" s="432">
        <v>211</v>
      </c>
      <c r="BF250" s="432"/>
      <c r="BG250" s="432"/>
      <c r="BH250" s="216">
        <f>BH249-BH251</f>
        <v>3225.8064516129034</v>
      </c>
      <c r="BI250" s="435">
        <f>BH250*0.1</f>
        <v>322.58064516129036</v>
      </c>
      <c r="BJ250" s="435"/>
      <c r="BK250" s="435"/>
      <c r="BL250" s="435"/>
      <c r="BM250" s="435"/>
      <c r="BN250" s="435">
        <f>BH250-BI250</f>
        <v>2903.2258064516132</v>
      </c>
      <c r="BO250" s="432"/>
      <c r="BP250" s="432"/>
      <c r="BQ250" s="432"/>
      <c r="BR250" s="432"/>
      <c r="BS250" s="432"/>
      <c r="BT250" s="432"/>
    </row>
    <row r="251" spans="57:79" ht="15" hidden="1" customHeight="1" x14ac:dyDescent="0.2">
      <c r="BE251" s="432">
        <v>213</v>
      </c>
      <c r="BF251" s="432"/>
      <c r="BG251" s="432"/>
      <c r="BH251" s="216">
        <f>BH249*30.2/130.2</f>
        <v>974.19354838709683</v>
      </c>
      <c r="BI251" s="435">
        <f>BI250*30.2%</f>
        <v>97.41935483870968</v>
      </c>
      <c r="BJ251" s="435"/>
      <c r="BK251" s="435"/>
      <c r="BL251" s="435"/>
      <c r="BM251" s="435"/>
      <c r="BN251" s="435">
        <f>BN250*30.2%</f>
        <v>876.77419354838719</v>
      </c>
      <c r="BO251" s="435"/>
      <c r="BP251" s="435"/>
      <c r="BQ251" s="435"/>
      <c r="BR251" s="435"/>
      <c r="BS251" s="435"/>
      <c r="BT251" s="435"/>
    </row>
    <row r="252" spans="57:79" ht="15" hidden="1" customHeight="1" x14ac:dyDescent="0.2"/>
    <row r="253" spans="57:79" ht="8.25" hidden="1" customHeight="1" x14ac:dyDescent="0.2"/>
    <row r="254" spans="57:79" ht="15.75" hidden="1" customHeight="1" x14ac:dyDescent="0.2">
      <c r="BE254" s="432" t="s">
        <v>293</v>
      </c>
      <c r="BF254" s="432"/>
      <c r="BG254" s="432"/>
      <c r="BH254" s="432"/>
      <c r="BI254" s="432"/>
      <c r="BJ254" s="432"/>
      <c r="BK254" s="432"/>
      <c r="BL254" s="432"/>
      <c r="BM254" s="432"/>
      <c r="BN254" s="432"/>
      <c r="BO254" s="432"/>
      <c r="BP254" s="432"/>
      <c r="BQ254" s="432"/>
      <c r="BR254" s="432"/>
      <c r="BS254" s="432"/>
      <c r="BT254" s="432"/>
      <c r="BU254" s="432"/>
      <c r="BV254" s="432"/>
      <c r="BW254" s="432"/>
      <c r="BX254" s="432"/>
      <c r="BY254" s="432"/>
      <c r="BZ254" s="432"/>
      <c r="CA254" s="432"/>
    </row>
    <row r="255" spans="57:79" ht="15.75" hidden="1" customHeight="1" x14ac:dyDescent="0.2">
      <c r="BE255" s="432" t="s">
        <v>126</v>
      </c>
      <c r="BF255" s="432"/>
      <c r="BG255" s="432"/>
      <c r="BH255" s="433">
        <f>200*35</f>
        <v>7000</v>
      </c>
      <c r="BI255" s="433"/>
      <c r="BJ255" s="433"/>
      <c r="BK255" s="433"/>
      <c r="BL255" s="433"/>
      <c r="BM255" s="220" t="s">
        <v>127</v>
      </c>
      <c r="BN255" s="220"/>
      <c r="BO255" s="220"/>
      <c r="BP255" s="220"/>
      <c r="BQ255" s="220"/>
      <c r="BR255" s="220"/>
      <c r="BS255" s="220"/>
      <c r="BT255" s="220"/>
    </row>
    <row r="256" spans="57:79" ht="15.75" hidden="1" customHeight="1" x14ac:dyDescent="0.2">
      <c r="BE256" s="434">
        <v>0.6</v>
      </c>
      <c r="BF256" s="432"/>
      <c r="BG256" s="432"/>
      <c r="BH256" s="216">
        <f>BH255*BE256</f>
        <v>4200</v>
      </c>
      <c r="BI256" s="432" t="s">
        <v>128</v>
      </c>
      <c r="BJ256" s="432"/>
      <c r="BK256" s="432"/>
      <c r="BL256" s="432"/>
      <c r="BM256" s="432"/>
      <c r="BN256" s="432" t="s">
        <v>129</v>
      </c>
      <c r="BO256" s="432"/>
      <c r="BP256" s="432"/>
      <c r="BQ256" s="432"/>
      <c r="BR256" s="432"/>
      <c r="BS256" s="432"/>
      <c r="BT256" s="432"/>
    </row>
    <row r="257" spans="57:79" ht="15.75" hidden="1" customHeight="1" x14ac:dyDescent="0.2">
      <c r="BE257" s="432">
        <v>211</v>
      </c>
      <c r="BF257" s="432"/>
      <c r="BG257" s="432"/>
      <c r="BH257" s="216">
        <f>BH256-BH258</f>
        <v>3225.8064516129034</v>
      </c>
      <c r="BI257" s="435">
        <f>BH257*0.1</f>
        <v>322.58064516129036</v>
      </c>
      <c r="BJ257" s="435"/>
      <c r="BK257" s="435"/>
      <c r="BL257" s="435"/>
      <c r="BM257" s="435"/>
      <c r="BN257" s="435">
        <f>BH257-BI257</f>
        <v>2903.2258064516132</v>
      </c>
      <c r="BO257" s="432"/>
      <c r="BP257" s="432"/>
      <c r="BQ257" s="432"/>
      <c r="BR257" s="432"/>
      <c r="BS257" s="432"/>
      <c r="BT257" s="432"/>
    </row>
    <row r="258" spans="57:79" ht="15.75" hidden="1" customHeight="1" x14ac:dyDescent="0.2">
      <c r="BE258" s="432">
        <v>213</v>
      </c>
      <c r="BF258" s="432"/>
      <c r="BG258" s="432"/>
      <c r="BH258" s="216">
        <f>BH256*30.2/130.2</f>
        <v>974.19354838709683</v>
      </c>
      <c r="BI258" s="435">
        <f>BI257*30.2%</f>
        <v>97.41935483870968</v>
      </c>
      <c r="BJ258" s="435"/>
      <c r="BK258" s="435"/>
      <c r="BL258" s="435"/>
      <c r="BM258" s="435"/>
      <c r="BN258" s="435">
        <f>BN257*30.2%</f>
        <v>876.77419354838719</v>
      </c>
      <c r="BO258" s="435"/>
      <c r="BP258" s="435"/>
      <c r="BQ258" s="435"/>
      <c r="BR258" s="435"/>
      <c r="BS258" s="435"/>
      <c r="BT258" s="435"/>
    </row>
    <row r="259" spans="57:79" ht="15.75" hidden="1" customHeight="1" x14ac:dyDescent="0.2"/>
    <row r="260" spans="57:79" ht="8.25" hidden="1" customHeight="1" x14ac:dyDescent="0.2"/>
    <row r="261" spans="57:79" ht="15" customHeight="1" x14ac:dyDescent="0.2">
      <c r="BE261" s="432" t="s">
        <v>411</v>
      </c>
      <c r="BF261" s="432"/>
      <c r="BG261" s="432"/>
      <c r="BH261" s="432"/>
      <c r="BI261" s="432"/>
      <c r="BJ261" s="432"/>
      <c r="BK261" s="432"/>
      <c r="BL261" s="432"/>
      <c r="BM261" s="432"/>
      <c r="BN261" s="432"/>
      <c r="BO261" s="432"/>
      <c r="BP261" s="432"/>
      <c r="BQ261" s="432"/>
      <c r="BR261" s="432"/>
      <c r="BS261" s="432"/>
      <c r="BT261" s="432"/>
      <c r="BU261" s="432"/>
      <c r="BV261" s="432"/>
      <c r="BW261" s="432"/>
      <c r="BX261" s="432"/>
      <c r="BY261" s="432"/>
      <c r="BZ261" s="432"/>
      <c r="CA261" s="432"/>
    </row>
    <row r="262" spans="57:79" ht="15" customHeight="1" x14ac:dyDescent="0.2">
      <c r="BE262" s="432" t="s">
        <v>126</v>
      </c>
      <c r="BF262" s="432"/>
      <c r="BG262" s="432"/>
      <c r="BH262" s="433">
        <f>220*8</f>
        <v>1760</v>
      </c>
      <c r="BI262" s="433"/>
      <c r="BJ262" s="433"/>
      <c r="BK262" s="433"/>
      <c r="BL262" s="433"/>
      <c r="BM262" s="220" t="s">
        <v>127</v>
      </c>
      <c r="BN262" s="220"/>
      <c r="BO262" s="220"/>
      <c r="BP262" s="220"/>
      <c r="BQ262" s="220"/>
      <c r="BR262" s="220"/>
      <c r="BS262" s="220"/>
      <c r="BT262" s="220"/>
    </row>
    <row r="263" spans="57:79" ht="15" customHeight="1" x14ac:dyDescent="0.2">
      <c r="BE263" s="434">
        <v>0.6</v>
      </c>
      <c r="BF263" s="432"/>
      <c r="BG263" s="432"/>
      <c r="BH263" s="216">
        <f>BH262*BE263</f>
        <v>1056</v>
      </c>
      <c r="BI263" s="432" t="s">
        <v>128</v>
      </c>
      <c r="BJ263" s="432"/>
      <c r="BK263" s="432"/>
      <c r="BL263" s="432"/>
      <c r="BM263" s="432"/>
      <c r="BN263" s="432" t="s">
        <v>129</v>
      </c>
      <c r="BO263" s="432"/>
      <c r="BP263" s="432"/>
      <c r="BQ263" s="432"/>
      <c r="BR263" s="432"/>
      <c r="BS263" s="432"/>
      <c r="BT263" s="432"/>
    </row>
    <row r="264" spans="57:79" ht="15" customHeight="1" x14ac:dyDescent="0.2">
      <c r="BE264" s="432">
        <v>211</v>
      </c>
      <c r="BF264" s="432"/>
      <c r="BG264" s="432"/>
      <c r="BH264" s="216">
        <f>BH263-BH265</f>
        <v>811.0599078341013</v>
      </c>
      <c r="BI264" s="435">
        <f>BH264*0.1</f>
        <v>81.105990783410135</v>
      </c>
      <c r="BJ264" s="435"/>
      <c r="BK264" s="435"/>
      <c r="BL264" s="435"/>
      <c r="BM264" s="435"/>
      <c r="BN264" s="436">
        <f>BH264-BI264</f>
        <v>729.95391705069119</v>
      </c>
      <c r="BO264" s="445"/>
      <c r="BP264" s="445"/>
      <c r="BQ264" s="445"/>
      <c r="BR264" s="445"/>
      <c r="BS264" s="445"/>
      <c r="BT264" s="445"/>
    </row>
    <row r="265" spans="57:79" ht="15" customHeight="1" x14ac:dyDescent="0.2">
      <c r="BE265" s="432">
        <v>213</v>
      </c>
      <c r="BF265" s="432"/>
      <c r="BG265" s="432"/>
      <c r="BH265" s="216">
        <f>BH263*30.2/130.2</f>
        <v>244.94009216589865</v>
      </c>
      <c r="BI265" s="435">
        <f>BI264*30.2%</f>
        <v>24.494009216589859</v>
      </c>
      <c r="BJ265" s="435"/>
      <c r="BK265" s="435"/>
      <c r="BL265" s="435"/>
      <c r="BM265" s="435"/>
      <c r="BN265" s="435">
        <f>BN264*30.2%</f>
        <v>220.44608294930873</v>
      </c>
      <c r="BO265" s="435"/>
      <c r="BP265" s="435"/>
      <c r="BQ265" s="435"/>
      <c r="BR265" s="435"/>
      <c r="BS265" s="435"/>
      <c r="BT265" s="435"/>
    </row>
    <row r="266" spans="57:79" ht="15" customHeight="1" x14ac:dyDescent="0.2"/>
    <row r="268" spans="57:79" ht="12" x14ac:dyDescent="0.2"/>
    <row r="269" spans="57:79" ht="12" x14ac:dyDescent="0.2">
      <c r="BE269" s="432" t="s">
        <v>343</v>
      </c>
      <c r="BF269" s="432"/>
      <c r="BG269" s="432"/>
      <c r="BH269" s="432"/>
      <c r="BI269" s="432"/>
      <c r="BJ269" s="432"/>
      <c r="BK269" s="432"/>
      <c r="BL269" s="432"/>
      <c r="BM269" s="432"/>
      <c r="BN269" s="432"/>
      <c r="BO269" s="432"/>
      <c r="BP269" s="432"/>
      <c r="BQ269" s="432"/>
      <c r="BR269" s="432"/>
      <c r="BS269" s="432"/>
      <c r="BT269" s="432"/>
      <c r="BU269" s="432"/>
      <c r="BV269" s="432"/>
      <c r="BW269" s="432"/>
      <c r="BX269" s="432"/>
      <c r="BY269" s="432"/>
      <c r="BZ269" s="432"/>
      <c r="CA269" s="432"/>
    </row>
    <row r="270" spans="57:79" ht="12" x14ac:dyDescent="0.2">
      <c r="BE270" s="432" t="s">
        <v>126</v>
      </c>
      <c r="BF270" s="432"/>
      <c r="BG270" s="432"/>
      <c r="BH270" s="433">
        <f>220*24</f>
        <v>5280</v>
      </c>
      <c r="BI270" s="433"/>
      <c r="BJ270" s="433"/>
      <c r="BK270" s="433"/>
      <c r="BL270" s="433"/>
      <c r="BM270" s="228" t="s">
        <v>127</v>
      </c>
      <c r="BN270" s="228"/>
      <c r="BO270" s="228"/>
      <c r="BP270" s="228"/>
      <c r="BQ270" s="228"/>
      <c r="BR270" s="228"/>
      <c r="BS270" s="228"/>
      <c r="BT270" s="228"/>
    </row>
    <row r="271" spans="57:79" ht="12" x14ac:dyDescent="0.2">
      <c r="BE271" s="434">
        <v>0.6</v>
      </c>
      <c r="BF271" s="432"/>
      <c r="BG271" s="432"/>
      <c r="BH271" s="216">
        <f>BH270*BE271</f>
        <v>3168</v>
      </c>
      <c r="BI271" s="432" t="s">
        <v>128</v>
      </c>
      <c r="BJ271" s="432"/>
      <c r="BK271" s="432"/>
      <c r="BL271" s="432"/>
      <c r="BM271" s="432"/>
      <c r="BN271" s="432" t="s">
        <v>129</v>
      </c>
      <c r="BO271" s="432"/>
      <c r="BP271" s="432"/>
      <c r="BQ271" s="432"/>
      <c r="BR271" s="432"/>
      <c r="BS271" s="432"/>
      <c r="BT271" s="432"/>
    </row>
    <row r="272" spans="57:79" ht="12" x14ac:dyDescent="0.2">
      <c r="BE272" s="432">
        <v>211</v>
      </c>
      <c r="BF272" s="432"/>
      <c r="BG272" s="432"/>
      <c r="BH272" s="216">
        <f>BH271-BH273</f>
        <v>2433.1797235023041</v>
      </c>
      <c r="BI272" s="435">
        <f>BH272*0.1</f>
        <v>243.31797235023043</v>
      </c>
      <c r="BJ272" s="435"/>
      <c r="BK272" s="435"/>
      <c r="BL272" s="435"/>
      <c r="BM272" s="435"/>
      <c r="BN272" s="436">
        <f>BH272-BI272</f>
        <v>2189.8617511520738</v>
      </c>
      <c r="BO272" s="445"/>
      <c r="BP272" s="445"/>
      <c r="BQ272" s="445"/>
      <c r="BR272" s="445"/>
      <c r="BS272" s="445"/>
      <c r="BT272" s="445"/>
    </row>
    <row r="273" spans="57:99" ht="12" x14ac:dyDescent="0.2">
      <c r="BE273" s="432">
        <v>213</v>
      </c>
      <c r="BF273" s="432"/>
      <c r="BG273" s="432"/>
      <c r="BH273" s="216">
        <f>BH271*30.2/130.2</f>
        <v>734.82027649769589</v>
      </c>
      <c r="BI273" s="435">
        <f>BI272*30.2%</f>
        <v>73.482027649769591</v>
      </c>
      <c r="BJ273" s="435"/>
      <c r="BK273" s="435"/>
      <c r="BL273" s="435"/>
      <c r="BM273" s="435"/>
      <c r="BN273" s="435">
        <f>BN272*30.2%</f>
        <v>661.33824884792625</v>
      </c>
      <c r="BO273" s="435"/>
      <c r="BP273" s="435"/>
      <c r="BQ273" s="435"/>
      <c r="BR273" s="435"/>
      <c r="BS273" s="435"/>
      <c r="BT273" s="435"/>
    </row>
    <row r="276" spans="57:99" ht="12" x14ac:dyDescent="0.2">
      <c r="BE276" s="432" t="s">
        <v>383</v>
      </c>
      <c r="BF276" s="432"/>
      <c r="BG276" s="432"/>
      <c r="BH276" s="432"/>
      <c r="BI276" s="432"/>
      <c r="BJ276" s="432"/>
      <c r="BK276" s="432"/>
      <c r="BL276" s="432"/>
      <c r="BM276" s="432"/>
      <c r="BN276" s="432"/>
      <c r="BO276" s="432"/>
      <c r="BP276" s="432"/>
      <c r="BQ276" s="432"/>
      <c r="BR276" s="432"/>
      <c r="BS276" s="432"/>
      <c r="BT276" s="432"/>
      <c r="BU276" s="432"/>
      <c r="BV276" s="432"/>
      <c r="BW276" s="432"/>
      <c r="BX276" s="432"/>
      <c r="BY276" s="432"/>
      <c r="BZ276" s="432"/>
      <c r="CA276" s="432"/>
    </row>
    <row r="277" spans="57:99" ht="15" x14ac:dyDescent="0.25">
      <c r="BE277" s="432" t="s">
        <v>126</v>
      </c>
      <c r="BF277" s="432"/>
      <c r="BG277" s="432"/>
      <c r="BH277" s="433">
        <f>220*24</f>
        <v>5280</v>
      </c>
      <c r="BI277" s="433"/>
      <c r="BJ277" s="433"/>
      <c r="BK277" s="433"/>
      <c r="BL277" s="433"/>
      <c r="BM277" s="240" t="s">
        <v>127</v>
      </c>
      <c r="BN277" s="240"/>
      <c r="BO277" s="240"/>
      <c r="BP277" s="240"/>
      <c r="BQ277" s="240"/>
      <c r="BR277" s="240"/>
      <c r="BS277" s="240"/>
      <c r="BT277" s="240"/>
      <c r="CG277" s="432" t="s">
        <v>368</v>
      </c>
      <c r="CH277" s="443"/>
      <c r="CI277" s="443"/>
      <c r="CJ277" s="443"/>
      <c r="CK277" s="443"/>
      <c r="CL277" s="443"/>
      <c r="CO277" s="432" t="s">
        <v>366</v>
      </c>
      <c r="CP277" s="443"/>
      <c r="CQ277" s="443"/>
      <c r="CR277" s="443"/>
      <c r="CS277" s="443"/>
      <c r="CT277" s="443"/>
      <c r="CU277" s="443"/>
    </row>
    <row r="278" spans="57:99" ht="15" x14ac:dyDescent="0.25">
      <c r="BE278" s="434">
        <v>0.6</v>
      </c>
      <c r="BF278" s="432"/>
      <c r="BG278" s="432"/>
      <c r="BH278" s="216">
        <f>BH277*BE278</f>
        <v>3168</v>
      </c>
      <c r="BI278" s="432" t="s">
        <v>128</v>
      </c>
      <c r="BJ278" s="432"/>
      <c r="BK278" s="432"/>
      <c r="BL278" s="432"/>
      <c r="BM278" s="432"/>
      <c r="BN278" s="432" t="s">
        <v>129</v>
      </c>
      <c r="BO278" s="432"/>
      <c r="BP278" s="432"/>
      <c r="BQ278" s="432"/>
      <c r="BR278" s="432"/>
      <c r="BS278" s="432"/>
      <c r="BT278" s="432"/>
      <c r="CG278" s="437">
        <f>BI279*15/20</f>
        <v>364.97695852534565</v>
      </c>
      <c r="CH278" s="446"/>
      <c r="CI278" s="446"/>
      <c r="CJ278" s="446"/>
      <c r="CK278" s="446"/>
      <c r="CL278" s="446"/>
      <c r="CM278" s="241"/>
      <c r="CN278" s="241"/>
      <c r="CO278" s="437">
        <f>BI279*5/20</f>
        <v>121.6589861751152</v>
      </c>
      <c r="CP278" s="446"/>
      <c r="CQ278" s="446"/>
      <c r="CR278" s="446"/>
      <c r="CS278" s="446"/>
      <c r="CT278" s="446"/>
      <c r="CU278" s="446"/>
    </row>
    <row r="279" spans="57:99" ht="12" x14ac:dyDescent="0.2">
      <c r="BE279" s="432">
        <v>211</v>
      </c>
      <c r="BF279" s="432"/>
      <c r="BG279" s="432"/>
      <c r="BH279" s="216">
        <f>BH278-BH280</f>
        <v>2433.1797235023041</v>
      </c>
      <c r="BI279" s="435">
        <f>BH279*0.2</f>
        <v>486.63594470046087</v>
      </c>
      <c r="BJ279" s="435"/>
      <c r="BK279" s="435"/>
      <c r="BL279" s="435"/>
      <c r="BM279" s="435"/>
      <c r="BN279" s="436">
        <f>BH279-BI279</f>
        <v>1946.5437788018432</v>
      </c>
      <c r="BO279" s="445"/>
      <c r="BP279" s="445"/>
      <c r="BQ279" s="445"/>
      <c r="BR279" s="445"/>
      <c r="BS279" s="445"/>
      <c r="BT279" s="445"/>
    </row>
    <row r="280" spans="57:99" ht="12" x14ac:dyDescent="0.2">
      <c r="BE280" s="432">
        <v>213</v>
      </c>
      <c r="BF280" s="432"/>
      <c r="BG280" s="432"/>
      <c r="BH280" s="216">
        <f>BH278*30.2/130.2</f>
        <v>734.82027649769589</v>
      </c>
      <c r="BI280" s="435">
        <f>BI279*30.2%</f>
        <v>146.96405529953918</v>
      </c>
      <c r="BJ280" s="435"/>
      <c r="BK280" s="435"/>
      <c r="BL280" s="435"/>
      <c r="BM280" s="435"/>
      <c r="BN280" s="435">
        <f>BN279*30.2%</f>
        <v>587.85622119815662</v>
      </c>
      <c r="BO280" s="435"/>
      <c r="BP280" s="435"/>
      <c r="BQ280" s="435"/>
      <c r="BR280" s="435"/>
      <c r="BS280" s="435"/>
      <c r="BT280" s="435"/>
    </row>
    <row r="281" spans="57:99" ht="12" x14ac:dyDescent="0.2">
      <c r="CJ281" s="236"/>
    </row>
    <row r="282" spans="57:99" ht="12" x14ac:dyDescent="0.2"/>
    <row r="283" spans="57:99" ht="12" x14ac:dyDescent="0.2">
      <c r="BE283" s="432" t="s">
        <v>395</v>
      </c>
      <c r="BF283" s="432"/>
      <c r="BG283" s="432"/>
      <c r="BH283" s="432"/>
      <c r="BI283" s="432"/>
      <c r="BJ283" s="432"/>
      <c r="BK283" s="432"/>
      <c r="BL283" s="432"/>
      <c r="BM283" s="432"/>
      <c r="BN283" s="432"/>
      <c r="BO283" s="432"/>
      <c r="BP283" s="432"/>
      <c r="BQ283" s="432"/>
      <c r="BR283" s="432"/>
      <c r="BS283" s="432"/>
      <c r="BT283" s="432"/>
      <c r="BU283" s="432"/>
      <c r="BV283" s="432"/>
      <c r="BW283" s="432"/>
      <c r="BX283" s="432"/>
      <c r="BY283" s="432"/>
      <c r="BZ283" s="432"/>
      <c r="CA283" s="432"/>
    </row>
    <row r="284" spans="57:99" ht="15" x14ac:dyDescent="0.25">
      <c r="BE284" s="432" t="s">
        <v>126</v>
      </c>
      <c r="BF284" s="432"/>
      <c r="BG284" s="432"/>
      <c r="BH284" s="433">
        <f>220*48</f>
        <v>10560</v>
      </c>
      <c r="BI284" s="433"/>
      <c r="BJ284" s="433"/>
      <c r="BK284" s="433"/>
      <c r="BL284" s="433"/>
      <c r="BM284" s="244" t="s">
        <v>127</v>
      </c>
      <c r="BN284" s="244"/>
      <c r="BO284" s="244"/>
      <c r="BP284" s="244"/>
      <c r="BQ284" s="244"/>
      <c r="BR284" s="244"/>
      <c r="BS284" s="244"/>
      <c r="BT284" s="244"/>
      <c r="CG284" s="432" t="s">
        <v>368</v>
      </c>
      <c r="CH284" s="443"/>
      <c r="CI284" s="443"/>
      <c r="CJ284" s="443"/>
      <c r="CK284" s="443"/>
      <c r="CL284" s="443"/>
      <c r="CO284" s="432" t="s">
        <v>366</v>
      </c>
      <c r="CP284" s="443"/>
      <c r="CQ284" s="443"/>
      <c r="CR284" s="443"/>
      <c r="CS284" s="443"/>
      <c r="CT284" s="443"/>
      <c r="CU284" s="443"/>
    </row>
    <row r="285" spans="57:99" ht="15" x14ac:dyDescent="0.25">
      <c r="BE285" s="434">
        <v>0.6</v>
      </c>
      <c r="BF285" s="432"/>
      <c r="BG285" s="432"/>
      <c r="BH285" s="216">
        <f>BH284*BE285</f>
        <v>6336</v>
      </c>
      <c r="BI285" s="432" t="s">
        <v>128</v>
      </c>
      <c r="BJ285" s="432"/>
      <c r="BK285" s="432"/>
      <c r="BL285" s="432"/>
      <c r="BM285" s="432"/>
      <c r="BN285" s="432" t="s">
        <v>129</v>
      </c>
      <c r="BO285" s="432"/>
      <c r="BP285" s="432"/>
      <c r="BQ285" s="432"/>
      <c r="BR285" s="432"/>
      <c r="BS285" s="432"/>
      <c r="BT285" s="432"/>
      <c r="CG285" s="437">
        <f>BI286*15/20</f>
        <v>729.9539170506913</v>
      </c>
      <c r="CH285" s="446"/>
      <c r="CI285" s="446"/>
      <c r="CJ285" s="446"/>
      <c r="CK285" s="446"/>
      <c r="CL285" s="446"/>
      <c r="CM285" s="245"/>
      <c r="CN285" s="245"/>
      <c r="CO285" s="437">
        <f>BI286*5/20</f>
        <v>243.31797235023041</v>
      </c>
      <c r="CP285" s="446"/>
      <c r="CQ285" s="446"/>
      <c r="CR285" s="446"/>
      <c r="CS285" s="446"/>
      <c r="CT285" s="446"/>
      <c r="CU285" s="446"/>
    </row>
    <row r="286" spans="57:99" ht="12" x14ac:dyDescent="0.2">
      <c r="BE286" s="432">
        <v>211</v>
      </c>
      <c r="BF286" s="432"/>
      <c r="BG286" s="432"/>
      <c r="BH286" s="216">
        <f>BH285-BH287</f>
        <v>4866.3594470046082</v>
      </c>
      <c r="BI286" s="435">
        <f>BH286*0.2</f>
        <v>973.27188940092174</v>
      </c>
      <c r="BJ286" s="435"/>
      <c r="BK286" s="435"/>
      <c r="BL286" s="435"/>
      <c r="BM286" s="435"/>
      <c r="BN286" s="436">
        <f>BH286-BI286</f>
        <v>3893.0875576036865</v>
      </c>
      <c r="BO286" s="445"/>
      <c r="BP286" s="445"/>
      <c r="BQ286" s="445"/>
      <c r="BR286" s="445"/>
      <c r="BS286" s="445"/>
      <c r="BT286" s="445"/>
    </row>
    <row r="287" spans="57:99" ht="12" x14ac:dyDescent="0.2">
      <c r="BE287" s="432">
        <v>213</v>
      </c>
      <c r="BF287" s="432"/>
      <c r="BG287" s="432"/>
      <c r="BH287" s="216">
        <f>BH285*30.2/130.2</f>
        <v>1469.6405529953918</v>
      </c>
      <c r="BI287" s="435">
        <f>BI286*30.2%</f>
        <v>293.92811059907837</v>
      </c>
      <c r="BJ287" s="435"/>
      <c r="BK287" s="435"/>
      <c r="BL287" s="435"/>
      <c r="BM287" s="435"/>
      <c r="BN287" s="435">
        <f>BN286*30.2%</f>
        <v>1175.7124423963132</v>
      </c>
      <c r="BO287" s="435"/>
      <c r="BP287" s="435"/>
      <c r="BQ287" s="435"/>
      <c r="BR287" s="435"/>
      <c r="BS287" s="435"/>
      <c r="BT287" s="435"/>
    </row>
    <row r="288" spans="57:99" ht="8.25" customHeight="1" x14ac:dyDescent="0.2">
      <c r="CJ288" s="236"/>
    </row>
    <row r="291" spans="57:99" ht="12" x14ac:dyDescent="0.2">
      <c r="BE291" s="432" t="s">
        <v>405</v>
      </c>
      <c r="BF291" s="432"/>
      <c r="BG291" s="432"/>
      <c r="BH291" s="432"/>
      <c r="BI291" s="432"/>
      <c r="BJ291" s="432"/>
      <c r="BK291" s="432"/>
      <c r="BL291" s="432"/>
      <c r="BM291" s="432"/>
      <c r="BN291" s="432"/>
      <c r="BO291" s="432"/>
      <c r="BP291" s="432"/>
      <c r="BQ291" s="432"/>
      <c r="BR291" s="432"/>
      <c r="BS291" s="432"/>
      <c r="BT291" s="432"/>
      <c r="BU291" s="432"/>
      <c r="BV291" s="432"/>
      <c r="BW291" s="432"/>
      <c r="BX291" s="432"/>
      <c r="BY291" s="432"/>
      <c r="BZ291" s="432"/>
      <c r="CA291" s="432"/>
    </row>
    <row r="292" spans="57:99" ht="15" x14ac:dyDescent="0.25">
      <c r="BE292" s="432" t="s">
        <v>126</v>
      </c>
      <c r="BF292" s="432"/>
      <c r="BG292" s="432"/>
      <c r="BH292" s="433">
        <f>220*8</f>
        <v>1760</v>
      </c>
      <c r="BI292" s="433"/>
      <c r="BJ292" s="433"/>
      <c r="BK292" s="433"/>
      <c r="BL292" s="433"/>
      <c r="BM292" s="247" t="s">
        <v>127</v>
      </c>
      <c r="BN292" s="247"/>
      <c r="BO292" s="247"/>
      <c r="BP292" s="247"/>
      <c r="BQ292" s="247"/>
      <c r="BR292" s="247"/>
      <c r="BS292" s="247"/>
      <c r="BT292" s="247"/>
      <c r="CG292" s="432" t="s">
        <v>368</v>
      </c>
      <c r="CH292" s="443"/>
      <c r="CI292" s="443"/>
      <c r="CJ292" s="443"/>
      <c r="CK292" s="443"/>
      <c r="CL292" s="443"/>
      <c r="CO292" s="432" t="s">
        <v>366</v>
      </c>
      <c r="CP292" s="443"/>
      <c r="CQ292" s="443"/>
      <c r="CR292" s="443"/>
      <c r="CS292" s="443"/>
      <c r="CT292" s="443"/>
      <c r="CU292" s="443"/>
    </row>
    <row r="293" spans="57:99" ht="15" x14ac:dyDescent="0.25">
      <c r="BE293" s="434">
        <v>0.6</v>
      </c>
      <c r="BF293" s="432"/>
      <c r="BG293" s="432"/>
      <c r="BH293" s="216">
        <f>BH292*BE293</f>
        <v>1056</v>
      </c>
      <c r="BI293" s="432" t="s">
        <v>128</v>
      </c>
      <c r="BJ293" s="432"/>
      <c r="BK293" s="432"/>
      <c r="BL293" s="432"/>
      <c r="BM293" s="432"/>
      <c r="BN293" s="432" t="s">
        <v>129</v>
      </c>
      <c r="BO293" s="432"/>
      <c r="BP293" s="432"/>
      <c r="BQ293" s="432"/>
      <c r="BR293" s="432"/>
      <c r="BS293" s="432"/>
      <c r="BT293" s="432"/>
      <c r="CG293" s="437">
        <f>BI294*15/20</f>
        <v>121.6589861751152</v>
      </c>
      <c r="CH293" s="446"/>
      <c r="CI293" s="446"/>
      <c r="CJ293" s="446"/>
      <c r="CK293" s="446"/>
      <c r="CL293" s="446"/>
      <c r="CM293" s="248"/>
      <c r="CN293" s="248"/>
      <c r="CO293" s="437">
        <f>BI294*5/20</f>
        <v>40.552995391705068</v>
      </c>
      <c r="CP293" s="446"/>
      <c r="CQ293" s="446"/>
      <c r="CR293" s="446"/>
      <c r="CS293" s="446"/>
      <c r="CT293" s="446"/>
      <c r="CU293" s="446"/>
    </row>
    <row r="294" spans="57:99" ht="12" x14ac:dyDescent="0.2">
      <c r="BE294" s="432">
        <v>211</v>
      </c>
      <c r="BF294" s="432"/>
      <c r="BG294" s="432"/>
      <c r="BH294" s="216">
        <f>BH293-BH295</f>
        <v>811.0599078341013</v>
      </c>
      <c r="BI294" s="435">
        <f>BH294*0.2</f>
        <v>162.21198156682027</v>
      </c>
      <c r="BJ294" s="435"/>
      <c r="BK294" s="435"/>
      <c r="BL294" s="435"/>
      <c r="BM294" s="435"/>
      <c r="BN294" s="436">
        <f>BH294-BI294</f>
        <v>648.84792626728108</v>
      </c>
      <c r="BO294" s="445"/>
      <c r="BP294" s="445"/>
      <c r="BQ294" s="445"/>
      <c r="BR294" s="445"/>
      <c r="BS294" s="445"/>
      <c r="BT294" s="445"/>
    </row>
    <row r="295" spans="57:99" ht="12" x14ac:dyDescent="0.2">
      <c r="BE295" s="432">
        <v>213</v>
      </c>
      <c r="BF295" s="432"/>
      <c r="BG295" s="432"/>
      <c r="BH295" s="216">
        <f>BH293*30.2/130.2</f>
        <v>244.94009216589865</v>
      </c>
      <c r="BI295" s="435">
        <f>BI294*30.2%</f>
        <v>48.988018433179718</v>
      </c>
      <c r="BJ295" s="435"/>
      <c r="BK295" s="435"/>
      <c r="BL295" s="435"/>
      <c r="BM295" s="435"/>
      <c r="BN295" s="435">
        <f>BN294*30.2%</f>
        <v>195.95207373271887</v>
      </c>
      <c r="BO295" s="435"/>
      <c r="BP295" s="435"/>
      <c r="BQ295" s="435"/>
      <c r="BR295" s="435"/>
      <c r="BS295" s="435"/>
      <c r="BT295" s="435"/>
    </row>
    <row r="303" spans="57:99" ht="12" x14ac:dyDescent="0.2">
      <c r="BF303" s="252">
        <f>BI264+BI272+CO278+CO285+CO293</f>
        <v>729.95391705069119</v>
      </c>
    </row>
    <row r="306" spans="57:99" ht="12" x14ac:dyDescent="0.2">
      <c r="BE306" s="432" t="s">
        <v>416</v>
      </c>
      <c r="BF306" s="432"/>
      <c r="BG306" s="432"/>
      <c r="BH306" s="432"/>
      <c r="BI306" s="432"/>
      <c r="BJ306" s="432"/>
      <c r="BK306" s="432"/>
      <c r="BL306" s="432"/>
      <c r="BM306" s="432"/>
      <c r="BN306" s="432"/>
      <c r="BO306" s="432"/>
      <c r="BP306" s="432"/>
      <c r="BQ306" s="432"/>
      <c r="BR306" s="432"/>
      <c r="BS306" s="432"/>
      <c r="BT306" s="432"/>
      <c r="BU306" s="432"/>
      <c r="BV306" s="432"/>
      <c r="BW306" s="432"/>
      <c r="BX306" s="432"/>
      <c r="BY306" s="432"/>
      <c r="BZ306" s="432"/>
      <c r="CA306" s="432"/>
    </row>
    <row r="307" spans="57:99" ht="15" x14ac:dyDescent="0.25">
      <c r="BE307" s="432" t="s">
        <v>126</v>
      </c>
      <c r="BF307" s="432"/>
      <c r="BG307" s="432"/>
      <c r="BH307" s="433">
        <f>220*29</f>
        <v>6380</v>
      </c>
      <c r="BI307" s="433"/>
      <c r="BJ307" s="433"/>
      <c r="BK307" s="433"/>
      <c r="BL307" s="433"/>
      <c r="BM307" s="250" t="s">
        <v>127</v>
      </c>
      <c r="BN307" s="250"/>
      <c r="BO307" s="250"/>
      <c r="BP307" s="250"/>
      <c r="BQ307" s="250"/>
      <c r="BR307" s="250"/>
      <c r="BS307" s="250"/>
      <c r="BT307" s="250"/>
      <c r="CG307" s="432" t="s">
        <v>368</v>
      </c>
      <c r="CH307" s="443"/>
      <c r="CI307" s="443"/>
      <c r="CJ307" s="443"/>
      <c r="CK307" s="443"/>
      <c r="CL307" s="443"/>
      <c r="CO307" s="432" t="s">
        <v>366</v>
      </c>
      <c r="CP307" s="443"/>
      <c r="CQ307" s="443"/>
      <c r="CR307" s="443"/>
      <c r="CS307" s="443"/>
      <c r="CT307" s="443"/>
      <c r="CU307" s="443"/>
    </row>
    <row r="308" spans="57:99" ht="15" x14ac:dyDescent="0.25">
      <c r="BE308" s="434">
        <v>0.6</v>
      </c>
      <c r="BF308" s="432"/>
      <c r="BG308" s="432"/>
      <c r="BH308" s="216">
        <f>BH307*BE308</f>
        <v>3828</v>
      </c>
      <c r="BI308" s="432" t="s">
        <v>128</v>
      </c>
      <c r="BJ308" s="432"/>
      <c r="BK308" s="432"/>
      <c r="BL308" s="432"/>
      <c r="BM308" s="432"/>
      <c r="BN308" s="432" t="s">
        <v>129</v>
      </c>
      <c r="BO308" s="432"/>
      <c r="BP308" s="432"/>
      <c r="BQ308" s="432"/>
      <c r="BR308" s="432"/>
      <c r="BS308" s="432"/>
      <c r="BT308" s="432"/>
      <c r="CG308" s="437">
        <f>BI309*15/20</f>
        <v>441.01382488479265</v>
      </c>
      <c r="CH308" s="446"/>
      <c r="CI308" s="446"/>
      <c r="CJ308" s="446"/>
      <c r="CK308" s="446"/>
      <c r="CL308" s="446"/>
      <c r="CM308" s="251"/>
      <c r="CN308" s="251"/>
      <c r="CO308" s="437">
        <f>BI309*5/20</f>
        <v>147.00460829493088</v>
      </c>
      <c r="CP308" s="446"/>
      <c r="CQ308" s="446"/>
      <c r="CR308" s="446"/>
      <c r="CS308" s="446"/>
      <c r="CT308" s="446"/>
      <c r="CU308" s="446"/>
    </row>
    <row r="309" spans="57:99" ht="12" x14ac:dyDescent="0.2">
      <c r="BE309" s="432">
        <v>211</v>
      </c>
      <c r="BF309" s="432"/>
      <c r="BG309" s="432"/>
      <c r="BH309" s="216">
        <f>BH308-BH310</f>
        <v>2940.0921658986176</v>
      </c>
      <c r="BI309" s="435">
        <f>BH309*0.2</f>
        <v>588.0184331797235</v>
      </c>
      <c r="BJ309" s="435"/>
      <c r="BK309" s="435"/>
      <c r="BL309" s="435"/>
      <c r="BM309" s="435"/>
      <c r="BN309" s="436">
        <f>BH309-BI309</f>
        <v>2352.073732718894</v>
      </c>
      <c r="BO309" s="445"/>
      <c r="BP309" s="445"/>
      <c r="BQ309" s="445"/>
      <c r="BR309" s="445"/>
      <c r="BS309" s="445"/>
      <c r="BT309" s="445"/>
    </row>
    <row r="310" spans="57:99" ht="12" x14ac:dyDescent="0.2">
      <c r="BE310" s="432">
        <v>213</v>
      </c>
      <c r="BF310" s="432"/>
      <c r="BG310" s="432"/>
      <c r="BH310" s="216">
        <f>BH308*30.2/130.2</f>
        <v>887.90783410138249</v>
      </c>
      <c r="BI310" s="435">
        <f>BI309*30.2%</f>
        <v>177.58156682027649</v>
      </c>
      <c r="BJ310" s="435"/>
      <c r="BK310" s="435"/>
      <c r="BL310" s="435"/>
      <c r="BM310" s="435"/>
      <c r="BN310" s="435">
        <f>BN309*30.2%</f>
        <v>710.32626728110597</v>
      </c>
      <c r="BO310" s="435"/>
      <c r="BP310" s="435"/>
      <c r="BQ310" s="435"/>
      <c r="BR310" s="435"/>
      <c r="BS310" s="435"/>
      <c r="BT310" s="435"/>
    </row>
  </sheetData>
  <mergeCells count="761">
    <mergeCell ref="CG277:CL277"/>
    <mergeCell ref="CO277:CU277"/>
    <mergeCell ref="CG278:CL278"/>
    <mergeCell ref="CO278:CU278"/>
    <mergeCell ref="BE276:CA276"/>
    <mergeCell ref="BE277:BG277"/>
    <mergeCell ref="BH277:BL277"/>
    <mergeCell ref="BE278:BG278"/>
    <mergeCell ref="BI278:BM278"/>
    <mergeCell ref="BN278:BT278"/>
    <mergeCell ref="BE244:BG244"/>
    <mergeCell ref="BI244:BM244"/>
    <mergeCell ref="BN244:BT244"/>
    <mergeCell ref="BE240:CA240"/>
    <mergeCell ref="BE241:BG241"/>
    <mergeCell ref="BH241:BL241"/>
    <mergeCell ref="BE242:BG242"/>
    <mergeCell ref="BI242:BM242"/>
    <mergeCell ref="BN242:BT242"/>
    <mergeCell ref="BE243:BG243"/>
    <mergeCell ref="BI243:BM243"/>
    <mergeCell ref="BN243:BT243"/>
    <mergeCell ref="BE230:BG230"/>
    <mergeCell ref="BI230:BM230"/>
    <mergeCell ref="BN230:BT230"/>
    <mergeCell ref="CG230:CI230"/>
    <mergeCell ref="CK230:CO230"/>
    <mergeCell ref="CP230:CV230"/>
    <mergeCell ref="BE229:BG229"/>
    <mergeCell ref="BI229:BM229"/>
    <mergeCell ref="BN229:BT229"/>
    <mergeCell ref="CG229:CI229"/>
    <mergeCell ref="CK229:CO229"/>
    <mergeCell ref="CP229:CV229"/>
    <mergeCell ref="BE228:BG228"/>
    <mergeCell ref="BI228:BM228"/>
    <mergeCell ref="BN228:BT228"/>
    <mergeCell ref="CG228:CI228"/>
    <mergeCell ref="CK228:CO228"/>
    <mergeCell ref="CP228:CV228"/>
    <mergeCell ref="BE226:CA226"/>
    <mergeCell ref="CG226:DC226"/>
    <mergeCell ref="BE227:BG227"/>
    <mergeCell ref="BH227:BL227"/>
    <mergeCell ref="CG227:CI227"/>
    <mergeCell ref="CJ227:CN227"/>
    <mergeCell ref="BE222:BG222"/>
    <mergeCell ref="BI222:BM222"/>
    <mergeCell ref="BN222:BT222"/>
    <mergeCell ref="CG222:CI222"/>
    <mergeCell ref="CK222:CO222"/>
    <mergeCell ref="CP222:CV222"/>
    <mergeCell ref="BE221:BG221"/>
    <mergeCell ref="BI221:BM221"/>
    <mergeCell ref="BN221:BT221"/>
    <mergeCell ref="CG221:CI221"/>
    <mergeCell ref="CK221:CO221"/>
    <mergeCell ref="CP221:CV221"/>
    <mergeCell ref="BE220:BG220"/>
    <mergeCell ref="BI220:BM220"/>
    <mergeCell ref="BN220:BT220"/>
    <mergeCell ref="CG220:CI220"/>
    <mergeCell ref="CK220:CO220"/>
    <mergeCell ref="CP220:CV220"/>
    <mergeCell ref="BE218:CA218"/>
    <mergeCell ref="CG218:DC218"/>
    <mergeCell ref="BE219:BG219"/>
    <mergeCell ref="BH219:BL219"/>
    <mergeCell ref="CG219:CI219"/>
    <mergeCell ref="CJ219:CN219"/>
    <mergeCell ref="BE214:BG214"/>
    <mergeCell ref="BI214:BM214"/>
    <mergeCell ref="BN214:BT214"/>
    <mergeCell ref="CG214:CI214"/>
    <mergeCell ref="CK214:CO214"/>
    <mergeCell ref="CP214:CV214"/>
    <mergeCell ref="BE213:BG213"/>
    <mergeCell ref="BI213:BM213"/>
    <mergeCell ref="BN213:BT213"/>
    <mergeCell ref="CG213:CI213"/>
    <mergeCell ref="CK213:CO213"/>
    <mergeCell ref="CP213:CV213"/>
    <mergeCell ref="BE212:BG212"/>
    <mergeCell ref="BI212:BM212"/>
    <mergeCell ref="BN212:BT212"/>
    <mergeCell ref="CG212:CI212"/>
    <mergeCell ref="CK212:CO212"/>
    <mergeCell ref="CP212:CV212"/>
    <mergeCell ref="BE210:CA210"/>
    <mergeCell ref="CG210:DC210"/>
    <mergeCell ref="BE211:BG211"/>
    <mergeCell ref="BH211:BL211"/>
    <mergeCell ref="CG211:CI211"/>
    <mergeCell ref="CJ211:CN211"/>
    <mergeCell ref="BE208:BG208"/>
    <mergeCell ref="BI208:BM208"/>
    <mergeCell ref="BN208:BT208"/>
    <mergeCell ref="BE209:BG209"/>
    <mergeCell ref="BI209:BM209"/>
    <mergeCell ref="BN209:BT209"/>
    <mergeCell ref="BE205:CA205"/>
    <mergeCell ref="BE206:BG206"/>
    <mergeCell ref="BH206:BL206"/>
    <mergeCell ref="BE207:BG207"/>
    <mergeCell ref="BI207:BM207"/>
    <mergeCell ref="BN207:BT207"/>
    <mergeCell ref="BE200:BG200"/>
    <mergeCell ref="BI200:BM200"/>
    <mergeCell ref="BN200:BT200"/>
    <mergeCell ref="BE201:BG201"/>
    <mergeCell ref="BI201:BM201"/>
    <mergeCell ref="BN201:BT201"/>
    <mergeCell ref="BE197:CA197"/>
    <mergeCell ref="BE198:BG198"/>
    <mergeCell ref="BH198:BL198"/>
    <mergeCell ref="BE199:BG199"/>
    <mergeCell ref="BI199:BM199"/>
    <mergeCell ref="BN199:BT199"/>
    <mergeCell ref="BE194:BG194"/>
    <mergeCell ref="BI194:BM194"/>
    <mergeCell ref="BN194:BT194"/>
    <mergeCell ref="CG194:CI194"/>
    <mergeCell ref="CK194:CO194"/>
    <mergeCell ref="CP194:CV194"/>
    <mergeCell ref="BE193:BG193"/>
    <mergeCell ref="BI193:BM193"/>
    <mergeCell ref="BN193:BT193"/>
    <mergeCell ref="CG193:CI193"/>
    <mergeCell ref="CK193:CO193"/>
    <mergeCell ref="CP193:CV193"/>
    <mergeCell ref="BE192:BG192"/>
    <mergeCell ref="BI192:BM192"/>
    <mergeCell ref="BN192:BT192"/>
    <mergeCell ref="CG192:CI192"/>
    <mergeCell ref="CK192:CO192"/>
    <mergeCell ref="CP192:CV192"/>
    <mergeCell ref="BE189:CA189"/>
    <mergeCell ref="BE190:CA190"/>
    <mergeCell ref="CG190:DC190"/>
    <mergeCell ref="BE191:BG191"/>
    <mergeCell ref="BH191:BL191"/>
    <mergeCell ref="CG191:CI191"/>
    <mergeCell ref="CJ191:CN191"/>
    <mergeCell ref="BE186:BG186"/>
    <mergeCell ref="BI186:BM186"/>
    <mergeCell ref="BN186:BT186"/>
    <mergeCell ref="CG186:CI186"/>
    <mergeCell ref="CK186:CO186"/>
    <mergeCell ref="CP186:CV186"/>
    <mergeCell ref="BE185:BG185"/>
    <mergeCell ref="BI185:BM185"/>
    <mergeCell ref="BN185:BT185"/>
    <mergeCell ref="CG185:CI185"/>
    <mergeCell ref="CK185:CO185"/>
    <mergeCell ref="CP185:CV185"/>
    <mergeCell ref="BE184:BG184"/>
    <mergeCell ref="BI184:BM184"/>
    <mergeCell ref="BN184:BT184"/>
    <mergeCell ref="CG184:CI184"/>
    <mergeCell ref="CK184:CO184"/>
    <mergeCell ref="CP184:CV184"/>
    <mergeCell ref="BE182:CA182"/>
    <mergeCell ref="CG182:DC182"/>
    <mergeCell ref="BE183:BG183"/>
    <mergeCell ref="BH183:BL183"/>
    <mergeCell ref="CG183:CI183"/>
    <mergeCell ref="CJ183:CN183"/>
    <mergeCell ref="BE178:BG178"/>
    <mergeCell ref="BI178:BM178"/>
    <mergeCell ref="BN178:BT178"/>
    <mergeCell ref="CG178:CI178"/>
    <mergeCell ref="CK178:CO178"/>
    <mergeCell ref="CP178:CV178"/>
    <mergeCell ref="BE177:BG177"/>
    <mergeCell ref="BI177:BM177"/>
    <mergeCell ref="BN177:BT177"/>
    <mergeCell ref="CG177:CI177"/>
    <mergeCell ref="CK177:CO177"/>
    <mergeCell ref="CP177:CV177"/>
    <mergeCell ref="BE176:BG176"/>
    <mergeCell ref="BI176:BM176"/>
    <mergeCell ref="BN176:BT176"/>
    <mergeCell ref="CG176:CI176"/>
    <mergeCell ref="CK176:CO176"/>
    <mergeCell ref="CP176:CV176"/>
    <mergeCell ref="BE174:CA174"/>
    <mergeCell ref="CG174:DC174"/>
    <mergeCell ref="BE175:BG175"/>
    <mergeCell ref="BH175:BL175"/>
    <mergeCell ref="CG175:CI175"/>
    <mergeCell ref="CJ175:CN175"/>
    <mergeCell ref="BE170:BG170"/>
    <mergeCell ref="BI170:BM170"/>
    <mergeCell ref="BN170:BT170"/>
    <mergeCell ref="CG170:CI170"/>
    <mergeCell ref="CK170:CO170"/>
    <mergeCell ref="CP170:CV170"/>
    <mergeCell ref="BE169:BG169"/>
    <mergeCell ref="BI169:BM169"/>
    <mergeCell ref="BN169:BT169"/>
    <mergeCell ref="CG169:CI169"/>
    <mergeCell ref="CK169:CO169"/>
    <mergeCell ref="CP169:CV169"/>
    <mergeCell ref="BE168:BG168"/>
    <mergeCell ref="BI168:BM168"/>
    <mergeCell ref="BN168:BT168"/>
    <mergeCell ref="CG168:CI168"/>
    <mergeCell ref="CK168:CO168"/>
    <mergeCell ref="CP168:CV168"/>
    <mergeCell ref="BE166:CA166"/>
    <mergeCell ref="CG166:DC166"/>
    <mergeCell ref="BE167:BG167"/>
    <mergeCell ref="BH167:BL167"/>
    <mergeCell ref="CG167:CI167"/>
    <mergeCell ref="CJ167:CN167"/>
    <mergeCell ref="BE162:BG162"/>
    <mergeCell ref="BI162:BM162"/>
    <mergeCell ref="BN162:BT162"/>
    <mergeCell ref="CG162:CI162"/>
    <mergeCell ref="CK162:CO162"/>
    <mergeCell ref="CP162:CV162"/>
    <mergeCell ref="CP160:CV160"/>
    <mergeCell ref="BE161:BG161"/>
    <mergeCell ref="BI161:BM161"/>
    <mergeCell ref="BN161:BT161"/>
    <mergeCell ref="CG161:CI161"/>
    <mergeCell ref="CK161:CO161"/>
    <mergeCell ref="CP161:CV161"/>
    <mergeCell ref="CG158:DC158"/>
    <mergeCell ref="BE159:BG159"/>
    <mergeCell ref="BH159:BL159"/>
    <mergeCell ref="CG159:CI159"/>
    <mergeCell ref="CJ159:CN159"/>
    <mergeCell ref="BE160:BG160"/>
    <mergeCell ref="BI160:BM160"/>
    <mergeCell ref="BN160:BT160"/>
    <mergeCell ref="CG160:CI160"/>
    <mergeCell ref="CK160:CO160"/>
    <mergeCell ref="B155:S156"/>
    <mergeCell ref="AM155:BC156"/>
    <mergeCell ref="BE158:CA158"/>
    <mergeCell ref="AD151:AI151"/>
    <mergeCell ref="AJ151:AP151"/>
    <mergeCell ref="AQ151:AT151"/>
    <mergeCell ref="AU151:AX151"/>
    <mergeCell ref="AY151:BB151"/>
    <mergeCell ref="BC152:BD152"/>
    <mergeCell ref="A151:G151"/>
    <mergeCell ref="H151:L151"/>
    <mergeCell ref="M151:Q151"/>
    <mergeCell ref="R151:U151"/>
    <mergeCell ref="V151:Y151"/>
    <mergeCell ref="Z151:AC151"/>
    <mergeCell ref="BC153:BD153"/>
    <mergeCell ref="B154:S154"/>
    <mergeCell ref="BC154:BD154"/>
    <mergeCell ref="AY149:BB149"/>
    <mergeCell ref="A150:F150"/>
    <mergeCell ref="H150:L150"/>
    <mergeCell ref="M150:Q150"/>
    <mergeCell ref="R150:U150"/>
    <mergeCell ref="V150:Y150"/>
    <mergeCell ref="Z150:AC150"/>
    <mergeCell ref="AD150:AI150"/>
    <mergeCell ref="AJ150:AP150"/>
    <mergeCell ref="AQ150:AT150"/>
    <mergeCell ref="AU150:AX150"/>
    <mergeCell ref="AY150:BB150"/>
    <mergeCell ref="M147:Q147"/>
    <mergeCell ref="AD147:AI147"/>
    <mergeCell ref="AJ147:AP147"/>
    <mergeCell ref="AQ147:AT147"/>
    <mergeCell ref="AU147:AX147"/>
    <mergeCell ref="AY147:BB147"/>
    <mergeCell ref="AU148:AX148"/>
    <mergeCell ref="AY148:BB148"/>
    <mergeCell ref="A149:G149"/>
    <mergeCell ref="H149:L149"/>
    <mergeCell ref="M149:Q149"/>
    <mergeCell ref="R149:U149"/>
    <mergeCell ref="V149:Y149"/>
    <mergeCell ref="Z149:AC149"/>
    <mergeCell ref="AD149:AI149"/>
    <mergeCell ref="AJ149:AP149"/>
    <mergeCell ref="A148:G148"/>
    <mergeCell ref="H148:L148"/>
    <mergeCell ref="M148:Q148"/>
    <mergeCell ref="AD148:AI148"/>
    <mergeCell ref="AJ148:AP148"/>
    <mergeCell ref="AQ148:AT148"/>
    <mergeCell ref="AQ149:AT149"/>
    <mergeCell ref="AU149:AX149"/>
    <mergeCell ref="A142:G143"/>
    <mergeCell ref="AU144:AX144"/>
    <mergeCell ref="AY144:BB144"/>
    <mergeCell ref="A145:G145"/>
    <mergeCell ref="H145:L145"/>
    <mergeCell ref="M145:Q145"/>
    <mergeCell ref="R145:U148"/>
    <mergeCell ref="V145:Y148"/>
    <mergeCell ref="Z145:AC148"/>
    <mergeCell ref="AD145:AI145"/>
    <mergeCell ref="AJ145:AP145"/>
    <mergeCell ref="AQ145:AT145"/>
    <mergeCell ref="AU145:AX145"/>
    <mergeCell ref="AY145:BB145"/>
    <mergeCell ref="A146:G146"/>
    <mergeCell ref="H146:L146"/>
    <mergeCell ref="M146:Q146"/>
    <mergeCell ref="AD146:AI146"/>
    <mergeCell ref="AJ146:AP146"/>
    <mergeCell ref="AQ146:AT146"/>
    <mergeCell ref="AU146:AX146"/>
    <mergeCell ref="AY146:BB146"/>
    <mergeCell ref="A147:G147"/>
    <mergeCell ref="H147:L147"/>
    <mergeCell ref="A144:G144"/>
    <mergeCell ref="H144:L144"/>
    <mergeCell ref="M144:Q144"/>
    <mergeCell ref="R144:U144"/>
    <mergeCell ref="V144:Y144"/>
    <mergeCell ref="Z144:AC144"/>
    <mergeCell ref="AD144:AI144"/>
    <mergeCell ref="AJ144:AP144"/>
    <mergeCell ref="AQ144:AT144"/>
    <mergeCell ref="AD142:AP142"/>
    <mergeCell ref="AQ142:AT142"/>
    <mergeCell ref="AU142:AX142"/>
    <mergeCell ref="AY142:BB142"/>
    <mergeCell ref="H143:L143"/>
    <mergeCell ref="M143:Q143"/>
    <mergeCell ref="AD143:AI143"/>
    <mergeCell ref="AJ143:AP143"/>
    <mergeCell ref="AQ143:AT143"/>
    <mergeCell ref="AU143:AX143"/>
    <mergeCell ref="H142:L142"/>
    <mergeCell ref="M142:Q142"/>
    <mergeCell ref="R142:U143"/>
    <mergeCell ref="V142:Y143"/>
    <mergeCell ref="Z142:AC143"/>
    <mergeCell ref="AY143:BB143"/>
    <mergeCell ref="A138:Z138"/>
    <mergeCell ref="AA138:AF138"/>
    <mergeCell ref="AG138:AL138"/>
    <mergeCell ref="AM138:AT138"/>
    <mergeCell ref="AU138:BB138"/>
    <mergeCell ref="A135:Z135"/>
    <mergeCell ref="AA135:AF135"/>
    <mergeCell ref="AU135:BB135"/>
    <mergeCell ref="A136:Z136"/>
    <mergeCell ref="AA136:AF136"/>
    <mergeCell ref="AU136:BB136"/>
    <mergeCell ref="A133:Z133"/>
    <mergeCell ref="AA133:AF133"/>
    <mergeCell ref="AU133:BB133"/>
    <mergeCell ref="A134:Z134"/>
    <mergeCell ref="AA134:AF134"/>
    <mergeCell ref="AU134:BB134"/>
    <mergeCell ref="A131:Z131"/>
    <mergeCell ref="AA131:AF131"/>
    <mergeCell ref="AG131:AL131"/>
    <mergeCell ref="AM131:AT131"/>
    <mergeCell ref="AU131:BB131"/>
    <mergeCell ref="A132:Z132"/>
    <mergeCell ref="AA132:AF132"/>
    <mergeCell ref="AG132:AL137"/>
    <mergeCell ref="AM132:AT137"/>
    <mergeCell ref="AU132:BB132"/>
    <mergeCell ref="A137:Z137"/>
    <mergeCell ref="AA137:AF137"/>
    <mergeCell ref="AU137:BB137"/>
    <mergeCell ref="A126:Z126"/>
    <mergeCell ref="AA126:AF126"/>
    <mergeCell ref="AG126:AL126"/>
    <mergeCell ref="AM126:AT126"/>
    <mergeCell ref="AU126:BB126"/>
    <mergeCell ref="A130:Z130"/>
    <mergeCell ref="AA130:AF130"/>
    <mergeCell ref="AG130:AL130"/>
    <mergeCell ref="AM130:AT130"/>
    <mergeCell ref="AU130:BB130"/>
    <mergeCell ref="A124:Z124"/>
    <mergeCell ref="AA124:AF124"/>
    <mergeCell ref="AU124:BB124"/>
    <mergeCell ref="A125:Z125"/>
    <mergeCell ref="AA125:AF125"/>
    <mergeCell ref="AU125:BB125"/>
    <mergeCell ref="A122:Z122"/>
    <mergeCell ref="AA122:AF122"/>
    <mergeCell ref="AU122:BB122"/>
    <mergeCell ref="A123:Z123"/>
    <mergeCell ref="AA123:AF123"/>
    <mergeCell ref="AU123:BB123"/>
    <mergeCell ref="A120:Z120"/>
    <mergeCell ref="AA120:AF120"/>
    <mergeCell ref="AU120:BB120"/>
    <mergeCell ref="A121:Z121"/>
    <mergeCell ref="AA121:AF121"/>
    <mergeCell ref="AU121:BB121"/>
    <mergeCell ref="A118:Z118"/>
    <mergeCell ref="AA118:AF118"/>
    <mergeCell ref="AU118:BB118"/>
    <mergeCell ref="A119:Z119"/>
    <mergeCell ref="AA119:AF119"/>
    <mergeCell ref="AU119:BB119"/>
    <mergeCell ref="AU111:BB111"/>
    <mergeCell ref="A116:Z116"/>
    <mergeCell ref="AA116:AF116"/>
    <mergeCell ref="AU116:BB116"/>
    <mergeCell ref="A117:Z117"/>
    <mergeCell ref="AA117:AF117"/>
    <mergeCell ref="AU117:BB117"/>
    <mergeCell ref="A114:Z114"/>
    <mergeCell ref="AA114:AF114"/>
    <mergeCell ref="AU114:BB114"/>
    <mergeCell ref="A115:Z115"/>
    <mergeCell ref="AA115:AF115"/>
    <mergeCell ref="AU115:BB115"/>
    <mergeCell ref="A109:Z109"/>
    <mergeCell ref="AA109:AF109"/>
    <mergeCell ref="AU109:BB109"/>
    <mergeCell ref="A105:Z105"/>
    <mergeCell ref="AA105:AF105"/>
    <mergeCell ref="AG105:AL125"/>
    <mergeCell ref="AM105:AT125"/>
    <mergeCell ref="AU105:BB105"/>
    <mergeCell ref="A106:Z106"/>
    <mergeCell ref="AA106:AF106"/>
    <mergeCell ref="AU106:BB106"/>
    <mergeCell ref="A107:Z107"/>
    <mergeCell ref="AA107:AF107"/>
    <mergeCell ref="A112:Z112"/>
    <mergeCell ref="AA112:AF112"/>
    <mergeCell ref="AU112:BB112"/>
    <mergeCell ref="A113:Z113"/>
    <mergeCell ref="AA113:AF113"/>
    <mergeCell ref="AU113:BB113"/>
    <mergeCell ref="A110:Z110"/>
    <mergeCell ref="AA110:AF110"/>
    <mergeCell ref="AU110:BB110"/>
    <mergeCell ref="A111:Z111"/>
    <mergeCell ref="AA111:AF111"/>
    <mergeCell ref="A104:Z104"/>
    <mergeCell ref="AA104:AF104"/>
    <mergeCell ref="AG104:AL104"/>
    <mergeCell ref="AM104:AT104"/>
    <mergeCell ref="AU104:BB104"/>
    <mergeCell ref="AU107:BB107"/>
    <mergeCell ref="A108:Z108"/>
    <mergeCell ref="AA108:AF108"/>
    <mergeCell ref="AU108:BB108"/>
    <mergeCell ref="A99:P99"/>
    <mergeCell ref="Q99:W99"/>
    <mergeCell ref="X99:AD99"/>
    <mergeCell ref="AE99:AL99"/>
    <mergeCell ref="AM99:AU99"/>
    <mergeCell ref="AV99:BB99"/>
    <mergeCell ref="A103:Z103"/>
    <mergeCell ref="AA103:AF103"/>
    <mergeCell ref="AG103:AL103"/>
    <mergeCell ref="AM103:AT103"/>
    <mergeCell ref="AU103:BB103"/>
    <mergeCell ref="AV96:BB96"/>
    <mergeCell ref="A97:P97"/>
    <mergeCell ref="AE97:AL97"/>
    <mergeCell ref="AN97:AP97"/>
    <mergeCell ref="AQ97:AT97"/>
    <mergeCell ref="AV97:BB97"/>
    <mergeCell ref="A95:P95"/>
    <mergeCell ref="Q95:W98"/>
    <mergeCell ref="X95:AD98"/>
    <mergeCell ref="AE95:AL95"/>
    <mergeCell ref="AM95:AU95"/>
    <mergeCell ref="AV95:BB95"/>
    <mergeCell ref="A96:P96"/>
    <mergeCell ref="AE96:AL96"/>
    <mergeCell ref="AN96:AP96"/>
    <mergeCell ref="AQ96:AT96"/>
    <mergeCell ref="A98:P98"/>
    <mergeCell ref="AE98:AL98"/>
    <mergeCell ref="AV98:BB98"/>
    <mergeCell ref="AO85:AR85"/>
    <mergeCell ref="AS85:AW85"/>
    <mergeCell ref="AX85:BB85"/>
    <mergeCell ref="A87:N87"/>
    <mergeCell ref="O87:AN87"/>
    <mergeCell ref="AO87:AU87"/>
    <mergeCell ref="AV87:BB87"/>
    <mergeCell ref="AV93:BB93"/>
    <mergeCell ref="A94:P94"/>
    <mergeCell ref="Q94:W94"/>
    <mergeCell ref="X94:AD94"/>
    <mergeCell ref="AE94:AL94"/>
    <mergeCell ref="AM94:AU94"/>
    <mergeCell ref="AV94:BB94"/>
    <mergeCell ref="O88:AN88"/>
    <mergeCell ref="AO88:AU88"/>
    <mergeCell ref="AV88:BB88"/>
    <mergeCell ref="AO89:AU89"/>
    <mergeCell ref="AV89:BB89"/>
    <mergeCell ref="A93:P93"/>
    <mergeCell ref="Q93:W93"/>
    <mergeCell ref="X93:AD93"/>
    <mergeCell ref="AE93:AL93"/>
    <mergeCell ref="AM93:AU93"/>
    <mergeCell ref="AX79:BB83"/>
    <mergeCell ref="H80:M80"/>
    <mergeCell ref="N80:P80"/>
    <mergeCell ref="R80:V80"/>
    <mergeCell ref="I82:K82"/>
    <mergeCell ref="M82:O82"/>
    <mergeCell ref="Q82:S82"/>
    <mergeCell ref="AS84:AW84"/>
    <mergeCell ref="AX84:BB84"/>
    <mergeCell ref="A79:G83"/>
    <mergeCell ref="AC79:AG83"/>
    <mergeCell ref="U82:W82"/>
    <mergeCell ref="Z82:AB82"/>
    <mergeCell ref="A74:G78"/>
    <mergeCell ref="AC74:AG78"/>
    <mergeCell ref="AH79:AM83"/>
    <mergeCell ref="AN79:AR83"/>
    <mergeCell ref="AS79:AW83"/>
    <mergeCell ref="AX74:BB78"/>
    <mergeCell ref="H75:M75"/>
    <mergeCell ref="N75:P75"/>
    <mergeCell ref="R75:V75"/>
    <mergeCell ref="I77:K77"/>
    <mergeCell ref="AH69:AM73"/>
    <mergeCell ref="AN69:AR73"/>
    <mergeCell ref="AS69:AW73"/>
    <mergeCell ref="AX69:BB73"/>
    <mergeCell ref="H70:M70"/>
    <mergeCell ref="N70:P70"/>
    <mergeCell ref="R70:V70"/>
    <mergeCell ref="I72:K72"/>
    <mergeCell ref="M72:O72"/>
    <mergeCell ref="Q72:S72"/>
    <mergeCell ref="M77:O77"/>
    <mergeCell ref="Q77:S77"/>
    <mergeCell ref="U77:W77"/>
    <mergeCell ref="Z77:AB77"/>
    <mergeCell ref="A69:G73"/>
    <mergeCell ref="AC69:AG73"/>
    <mergeCell ref="U72:W72"/>
    <mergeCell ref="Z72:AB72"/>
    <mergeCell ref="A64:G68"/>
    <mergeCell ref="AC64:AG68"/>
    <mergeCell ref="AH74:AM78"/>
    <mergeCell ref="AN74:AR78"/>
    <mergeCell ref="AS74:AW78"/>
    <mergeCell ref="AH64:AM68"/>
    <mergeCell ref="AN64:AR68"/>
    <mergeCell ref="AS64:AW68"/>
    <mergeCell ref="AX64:BB68"/>
    <mergeCell ref="H65:M65"/>
    <mergeCell ref="N65:P65"/>
    <mergeCell ref="R65:V65"/>
    <mergeCell ref="I67:K67"/>
    <mergeCell ref="R60:V60"/>
    <mergeCell ref="I62:K62"/>
    <mergeCell ref="M62:O62"/>
    <mergeCell ref="Q62:S62"/>
    <mergeCell ref="U62:W62"/>
    <mergeCell ref="Z62:AB62"/>
    <mergeCell ref="M67:O67"/>
    <mergeCell ref="Q67:S67"/>
    <mergeCell ref="U67:W67"/>
    <mergeCell ref="Z67:AB67"/>
    <mergeCell ref="AX55:BB57"/>
    <mergeCell ref="A58:BB58"/>
    <mergeCell ref="A59:G63"/>
    <mergeCell ref="AC59:AG63"/>
    <mergeCell ref="AH59:AM63"/>
    <mergeCell ref="AN59:AR63"/>
    <mergeCell ref="AS59:AW63"/>
    <mergeCell ref="AX59:BB63"/>
    <mergeCell ref="H60:M60"/>
    <mergeCell ref="N60:P60"/>
    <mergeCell ref="A55:G57"/>
    <mergeCell ref="H55:AB57"/>
    <mergeCell ref="AC55:AG57"/>
    <mergeCell ref="AH55:AM57"/>
    <mergeCell ref="AN55:AR57"/>
    <mergeCell ref="AS55:AW57"/>
    <mergeCell ref="H52:K52"/>
    <mergeCell ref="AS52:AW52"/>
    <mergeCell ref="AX52:BB52"/>
    <mergeCell ref="AO53:AR53"/>
    <mergeCell ref="AS53:AW53"/>
    <mergeCell ref="AX53:BB53"/>
    <mergeCell ref="AX38:BB40"/>
    <mergeCell ref="A41:BB41"/>
    <mergeCell ref="A42:G51"/>
    <mergeCell ref="H42:Y51"/>
    <mergeCell ref="Z42:AB51"/>
    <mergeCell ref="AC42:AG44"/>
    <mergeCell ref="AH42:AM44"/>
    <mergeCell ref="AN42:AR44"/>
    <mergeCell ref="AS42:AW44"/>
    <mergeCell ref="AX42:BB44"/>
    <mergeCell ref="A38:G40"/>
    <mergeCell ref="H38:AB40"/>
    <mergeCell ref="AC38:AG40"/>
    <mergeCell ref="AH38:AM40"/>
    <mergeCell ref="AN38:AR40"/>
    <mergeCell ref="AS38:AW40"/>
    <mergeCell ref="AO36:AR36"/>
    <mergeCell ref="AS36:AW36"/>
    <mergeCell ref="AX36:BB36"/>
    <mergeCell ref="A24:BB24"/>
    <mergeCell ref="A25:G26"/>
    <mergeCell ref="H25:Y34"/>
    <mergeCell ref="Z25:AB34"/>
    <mergeCell ref="AC25:AG34"/>
    <mergeCell ref="AH25:AM34"/>
    <mergeCell ref="AN25:AR34"/>
    <mergeCell ref="AS25:AW34"/>
    <mergeCell ref="AX25:BB34"/>
    <mergeCell ref="A27:G34"/>
    <mergeCell ref="AX20:BB20"/>
    <mergeCell ref="A21:G23"/>
    <mergeCell ref="H21:AB23"/>
    <mergeCell ref="AC21:AG23"/>
    <mergeCell ref="AH21:AM23"/>
    <mergeCell ref="AN21:AR23"/>
    <mergeCell ref="AS21:AW23"/>
    <mergeCell ref="AX21:BB23"/>
    <mergeCell ref="H35:M35"/>
    <mergeCell ref="AS35:AW35"/>
    <mergeCell ref="AX35:BB35"/>
    <mergeCell ref="A13:S13"/>
    <mergeCell ref="U13:W13"/>
    <mergeCell ref="A15:S15"/>
    <mergeCell ref="U15:W15"/>
    <mergeCell ref="A17:S17"/>
    <mergeCell ref="U17:W17"/>
    <mergeCell ref="A8:BA8"/>
    <mergeCell ref="A9:BA9"/>
    <mergeCell ref="C11:E11"/>
    <mergeCell ref="G11:L11"/>
    <mergeCell ref="N11:Q11"/>
    <mergeCell ref="AH11:AI11"/>
    <mergeCell ref="AJ11:AL11"/>
    <mergeCell ref="AN11:AT11"/>
    <mergeCell ref="AV11:AY11"/>
    <mergeCell ref="Y17:AA17"/>
    <mergeCell ref="BE237:BG237"/>
    <mergeCell ref="BI237:BM237"/>
    <mergeCell ref="BN237:BT237"/>
    <mergeCell ref="BE233:CA233"/>
    <mergeCell ref="BE234:BG234"/>
    <mergeCell ref="BH234:BL234"/>
    <mergeCell ref="BE235:BG235"/>
    <mergeCell ref="BI235:BM235"/>
    <mergeCell ref="BN235:BT235"/>
    <mergeCell ref="BE236:BG236"/>
    <mergeCell ref="BI236:BM236"/>
    <mergeCell ref="BN236:BT236"/>
    <mergeCell ref="BE251:BG251"/>
    <mergeCell ref="BI251:BM251"/>
    <mergeCell ref="BN251:BT251"/>
    <mergeCell ref="BE247:CA247"/>
    <mergeCell ref="BE248:BG248"/>
    <mergeCell ref="BH248:BL248"/>
    <mergeCell ref="BE249:BG249"/>
    <mergeCell ref="BI249:BM249"/>
    <mergeCell ref="BN249:BT249"/>
    <mergeCell ref="BE250:BG250"/>
    <mergeCell ref="BI250:BM250"/>
    <mergeCell ref="BN250:BT250"/>
    <mergeCell ref="BE258:BG258"/>
    <mergeCell ref="BI258:BM258"/>
    <mergeCell ref="BN258:BT258"/>
    <mergeCell ref="BE254:CA254"/>
    <mergeCell ref="BE255:BG255"/>
    <mergeCell ref="BH255:BL255"/>
    <mergeCell ref="BE256:BG256"/>
    <mergeCell ref="BI256:BM256"/>
    <mergeCell ref="BN256:BT256"/>
    <mergeCell ref="BE257:BG257"/>
    <mergeCell ref="BI257:BM257"/>
    <mergeCell ref="BN257:BT257"/>
    <mergeCell ref="BE265:BG265"/>
    <mergeCell ref="BI265:BM265"/>
    <mergeCell ref="BN265:BT265"/>
    <mergeCell ref="BE273:BG273"/>
    <mergeCell ref="BI273:BM273"/>
    <mergeCell ref="BN273:BT273"/>
    <mergeCell ref="BE269:CA269"/>
    <mergeCell ref="BE270:BG270"/>
    <mergeCell ref="BH270:BL270"/>
    <mergeCell ref="BE271:BG271"/>
    <mergeCell ref="BI271:BM271"/>
    <mergeCell ref="BN271:BT271"/>
    <mergeCell ref="BE272:BG272"/>
    <mergeCell ref="BI272:BM272"/>
    <mergeCell ref="BN272:BT272"/>
    <mergeCell ref="BE261:CA261"/>
    <mergeCell ref="BE262:BG262"/>
    <mergeCell ref="BH262:BL262"/>
    <mergeCell ref="BE263:BG263"/>
    <mergeCell ref="BI263:BM263"/>
    <mergeCell ref="BN263:BT263"/>
    <mergeCell ref="BE264:BG264"/>
    <mergeCell ref="BI264:BM264"/>
    <mergeCell ref="BN264:BT264"/>
    <mergeCell ref="BE283:CA283"/>
    <mergeCell ref="BE284:BG284"/>
    <mergeCell ref="BH284:BL284"/>
    <mergeCell ref="BE280:BG280"/>
    <mergeCell ref="BI280:BM280"/>
    <mergeCell ref="BN280:BT280"/>
    <mergeCell ref="BE279:BG279"/>
    <mergeCell ref="BI279:BM279"/>
    <mergeCell ref="BN279:BT279"/>
    <mergeCell ref="CG284:CL284"/>
    <mergeCell ref="CO284:CU284"/>
    <mergeCell ref="BE285:BG285"/>
    <mergeCell ref="BI285:BM285"/>
    <mergeCell ref="BN285:BT285"/>
    <mergeCell ref="CG285:CL285"/>
    <mergeCell ref="CO285:CU285"/>
    <mergeCell ref="CG292:CL292"/>
    <mergeCell ref="CO292:CU292"/>
    <mergeCell ref="BE291:CA291"/>
    <mergeCell ref="BE292:BG292"/>
    <mergeCell ref="BH292:BL292"/>
    <mergeCell ref="BE293:BG293"/>
    <mergeCell ref="BI293:BM293"/>
    <mergeCell ref="BN293:BT293"/>
    <mergeCell ref="CG293:CL293"/>
    <mergeCell ref="CO293:CU293"/>
    <mergeCell ref="BE286:BG286"/>
    <mergeCell ref="BI286:BM286"/>
    <mergeCell ref="BN286:BT286"/>
    <mergeCell ref="BE287:BG287"/>
    <mergeCell ref="BI287:BM287"/>
    <mergeCell ref="BN287:BT287"/>
    <mergeCell ref="CG307:CL307"/>
    <mergeCell ref="CO307:CU307"/>
    <mergeCell ref="BE308:BG308"/>
    <mergeCell ref="BI308:BM308"/>
    <mergeCell ref="BN308:BT308"/>
    <mergeCell ref="CG308:CL308"/>
    <mergeCell ref="CO308:CU308"/>
    <mergeCell ref="BE294:BG294"/>
    <mergeCell ref="BI294:BM294"/>
    <mergeCell ref="BN294:BT294"/>
    <mergeCell ref="BE295:BG295"/>
    <mergeCell ref="BI295:BM295"/>
    <mergeCell ref="BN295:BT295"/>
    <mergeCell ref="BE309:BG309"/>
    <mergeCell ref="BI309:BM309"/>
    <mergeCell ref="BN309:BT309"/>
    <mergeCell ref="BE310:BG310"/>
    <mergeCell ref="BI310:BM310"/>
    <mergeCell ref="BN310:BT310"/>
    <mergeCell ref="BE306:CA306"/>
    <mergeCell ref="BE307:BG307"/>
    <mergeCell ref="BH307:BL307"/>
  </mergeCells>
  <pageMargins left="0" right="0" top="0" bottom="0" header="0.31496062992125984" footer="0.31496062992125984"/>
  <pageSetup paperSize="9" scale="72" fitToHeight="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FH174"/>
  <sheetViews>
    <sheetView topLeftCell="X155" workbookViewId="0">
      <selection activeCell="BK173" sqref="BK173:BQ173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6" width="1.85546875" style="117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4.42578125" style="117" customWidth="1"/>
    <col min="55" max="55" width="3.5703125" style="117" customWidth="1"/>
    <col min="56" max="56" width="4.7109375" style="117" customWidth="1"/>
    <col min="57" max="57" width="7.5703125" style="117" customWidth="1"/>
    <col min="58" max="58" width="8.140625" style="117" customWidth="1"/>
    <col min="59" max="59" width="4.140625" style="117" customWidth="1"/>
    <col min="60" max="60" width="7.7109375" style="117" customWidth="1"/>
    <col min="61" max="61" width="3.140625" style="117" customWidth="1"/>
    <col min="62" max="82" width="1.85546875" style="117"/>
    <col min="83" max="83" width="6.85546875" style="117" customWidth="1"/>
    <col min="84" max="110" width="1.85546875" style="117"/>
    <col min="111" max="111" width="10.85546875" style="117" customWidth="1"/>
    <col min="112" max="136" width="1.85546875" style="117"/>
    <col min="137" max="137" width="7.85546875" style="117" customWidth="1"/>
    <col min="138" max="160" width="1.85546875" style="117"/>
    <col min="161" max="163" width="0" style="117" hidden="1" customWidth="1"/>
    <col min="164" max="164" width="9.140625" style="117" hidden="1" customWidth="1"/>
    <col min="165" max="188" width="0" style="117" hidden="1" customWidth="1"/>
    <col min="189" max="16384" width="1.85546875" style="117"/>
  </cols>
  <sheetData>
    <row r="1" spans="1:53" s="100" customFormat="1" ht="15" customHeight="1" x14ac:dyDescent="0.25">
      <c r="AW1" s="100" t="s">
        <v>83</v>
      </c>
    </row>
    <row r="2" spans="1:53" s="100" customFormat="1" ht="5.0999999999999996" customHeight="1" x14ac:dyDescent="0.25"/>
    <row r="3" spans="1:53" s="100" customFormat="1" ht="15" customHeight="1" x14ac:dyDescent="0.25">
      <c r="AQ3" s="100" t="s">
        <v>91</v>
      </c>
    </row>
    <row r="4" spans="1:53" s="100" customFormat="1" ht="5.0999999999999996" customHeight="1" x14ac:dyDescent="0.25"/>
    <row r="5" spans="1:53" s="100" customFormat="1" ht="15" customHeight="1" x14ac:dyDescent="0.25"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 t="s">
        <v>85</v>
      </c>
      <c r="AX5" s="100" t="s">
        <v>222</v>
      </c>
    </row>
    <row r="6" spans="1:53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3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3" s="100" customFormat="1" ht="15" customHeight="1" x14ac:dyDescent="0.25">
      <c r="A8" s="756" t="s">
        <v>608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3" s="100" customFormat="1" ht="5.0999999999999996" customHeight="1" x14ac:dyDescent="0.25">
      <c r="A9" s="346"/>
      <c r="B9" s="346"/>
      <c r="C9" s="346"/>
      <c r="D9" s="346"/>
      <c r="E9" s="346"/>
      <c r="F9" s="346"/>
      <c r="G9" s="346"/>
      <c r="H9" s="346"/>
      <c r="I9" s="346"/>
      <c r="J9" s="346"/>
      <c r="K9" s="346"/>
      <c r="L9" s="346"/>
      <c r="M9" s="346"/>
      <c r="N9" s="346"/>
      <c r="O9" s="346"/>
      <c r="P9" s="346"/>
      <c r="Q9" s="346"/>
      <c r="R9" s="346"/>
      <c r="S9" s="346"/>
      <c r="T9" s="346"/>
      <c r="U9" s="346"/>
      <c r="V9" s="346"/>
      <c r="W9" s="346"/>
      <c r="X9" s="346"/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  <c r="AL9" s="346"/>
      <c r="AM9" s="346"/>
      <c r="AN9" s="346"/>
      <c r="AO9" s="346"/>
      <c r="AP9" s="346"/>
      <c r="AQ9" s="346"/>
      <c r="AR9" s="346"/>
      <c r="AS9" s="346"/>
      <c r="AT9" s="346"/>
      <c r="AU9" s="346"/>
      <c r="AV9" s="346"/>
      <c r="AW9" s="346"/>
      <c r="AX9" s="346"/>
      <c r="AY9" s="346"/>
      <c r="AZ9" s="346"/>
      <c r="BA9" s="346"/>
    </row>
    <row r="10" spans="1:53" s="100" customFormat="1" ht="15" customHeight="1" x14ac:dyDescent="0.25">
      <c r="A10" s="346"/>
      <c r="B10" s="346" t="s">
        <v>113</v>
      </c>
      <c r="C10" s="757">
        <v>9</v>
      </c>
      <c r="D10" s="757"/>
      <c r="E10" s="757"/>
      <c r="F10" s="346"/>
      <c r="G10" s="757" t="s">
        <v>609</v>
      </c>
      <c r="H10" s="757"/>
      <c r="I10" s="757"/>
      <c r="J10" s="757"/>
      <c r="K10" s="757"/>
      <c r="L10" s="757"/>
      <c r="M10" s="346"/>
      <c r="N10" s="756">
        <v>2020</v>
      </c>
      <c r="O10" s="756"/>
      <c r="P10" s="756"/>
      <c r="Q10" s="756"/>
      <c r="R10" s="346"/>
      <c r="S10" s="346" t="s">
        <v>114</v>
      </c>
      <c r="T10" s="346"/>
      <c r="U10" s="756" t="s">
        <v>115</v>
      </c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758"/>
      <c r="AI10" s="758"/>
      <c r="AJ10" s="757">
        <v>31</v>
      </c>
      <c r="AK10" s="757"/>
      <c r="AL10" s="757"/>
      <c r="AM10" s="346"/>
      <c r="AN10" s="757" t="s">
        <v>116</v>
      </c>
      <c r="AO10" s="757"/>
      <c r="AP10" s="757"/>
      <c r="AQ10" s="757"/>
      <c r="AR10" s="757"/>
      <c r="AS10" s="757"/>
      <c r="AT10" s="757"/>
      <c r="AU10" s="346"/>
      <c r="AV10" s="756">
        <v>2020</v>
      </c>
      <c r="AW10" s="756"/>
      <c r="AX10" s="756"/>
      <c r="AY10" s="756"/>
      <c r="AZ10" s="346"/>
      <c r="BA10" s="346" t="s">
        <v>114</v>
      </c>
    </row>
    <row r="11" spans="1:53" s="82" customFormat="1" ht="12" customHeight="1" x14ac:dyDescent="0.2"/>
    <row r="12" spans="1:53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18</v>
      </c>
      <c r="V12" s="761"/>
      <c r="W12" s="761"/>
    </row>
    <row r="13" spans="1:53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3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1">
        <v>12</v>
      </c>
      <c r="V14" s="761"/>
      <c r="W14" s="761"/>
    </row>
    <row r="15" spans="1:53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3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1</v>
      </c>
      <c r="V16" s="761"/>
      <c r="W16" s="761"/>
      <c r="X16" s="349" t="s">
        <v>4</v>
      </c>
      <c r="Y16" s="761">
        <v>12</v>
      </c>
      <c r="Z16" s="761"/>
      <c r="AA16" s="761"/>
    </row>
    <row r="17" spans="1:54" ht="5.0999999999999996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530</v>
      </c>
      <c r="AR19" s="162"/>
      <c r="AS19" s="164"/>
      <c r="AX19" s="708">
        <v>15600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419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4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customHeight="1" x14ac:dyDescent="0.2">
      <c r="A24" s="764" t="s">
        <v>417</v>
      </c>
      <c r="B24" s="765"/>
      <c r="C24" s="765"/>
      <c r="D24" s="765"/>
      <c r="E24" s="765"/>
      <c r="F24" s="765"/>
      <c r="G24" s="766"/>
      <c r="H24" s="711" t="s">
        <v>16</v>
      </c>
      <c r="I24" s="712"/>
      <c r="J24" s="712"/>
      <c r="K24" s="712"/>
      <c r="L24" s="712"/>
      <c r="M24" s="712"/>
      <c r="N24" s="712"/>
      <c r="O24" s="712"/>
      <c r="P24" s="712"/>
      <c r="Q24" s="712"/>
      <c r="R24" s="712"/>
      <c r="S24" s="712"/>
      <c r="T24" s="712"/>
      <c r="U24" s="712"/>
      <c r="V24" s="712"/>
      <c r="W24" s="712"/>
      <c r="X24" s="712"/>
      <c r="Y24" s="712"/>
      <c r="Z24" s="723">
        <v>0.2</v>
      </c>
      <c r="AA24" s="723"/>
      <c r="AB24" s="723"/>
      <c r="AC24" s="662">
        <f>(AX51+AX83)*Z24*AH24</f>
        <v>1946.88</v>
      </c>
      <c r="AD24" s="662"/>
      <c r="AE24" s="662"/>
      <c r="AF24" s="662"/>
      <c r="AG24" s="662"/>
      <c r="AH24" s="663">
        <v>1</v>
      </c>
      <c r="AI24" s="663"/>
      <c r="AJ24" s="663"/>
      <c r="AK24" s="663"/>
      <c r="AL24" s="663"/>
      <c r="AM24" s="663"/>
      <c r="AN24" s="662">
        <f>AC24/U12</f>
        <v>108.16000000000001</v>
      </c>
      <c r="AO24" s="662"/>
      <c r="AP24" s="662"/>
      <c r="AQ24" s="662"/>
      <c r="AR24" s="662"/>
      <c r="AS24" s="663" t="s">
        <v>17</v>
      </c>
      <c r="AT24" s="663"/>
      <c r="AU24" s="663"/>
      <c r="AV24" s="663"/>
      <c r="AW24" s="663"/>
      <c r="AX24" s="662" t="s">
        <v>17</v>
      </c>
      <c r="AY24" s="662"/>
      <c r="AZ24" s="662"/>
      <c r="BA24" s="662"/>
      <c r="BB24" s="684"/>
    </row>
    <row r="25" spans="1:54" s="165" customFormat="1" ht="26.25" customHeight="1" x14ac:dyDescent="0.2">
      <c r="A25" s="767"/>
      <c r="B25" s="768"/>
      <c r="C25" s="768"/>
      <c r="D25" s="768"/>
      <c r="E25" s="768"/>
      <c r="F25" s="768"/>
      <c r="G25" s="769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771" t="s">
        <v>89</v>
      </c>
      <c r="B26" s="772"/>
      <c r="C26" s="772"/>
      <c r="D26" s="772"/>
      <c r="E26" s="772"/>
      <c r="F26" s="772"/>
      <c r="G26" s="773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11.25" customHeight="1" x14ac:dyDescent="0.2">
      <c r="A27" s="750"/>
      <c r="B27" s="751"/>
      <c r="C27" s="751"/>
      <c r="D27" s="751"/>
      <c r="E27" s="751"/>
      <c r="F27" s="751"/>
      <c r="G27" s="7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17.25" customHeight="1" thickBot="1" x14ac:dyDescent="0.25">
      <c r="A33" s="753"/>
      <c r="B33" s="754"/>
      <c r="C33" s="754"/>
      <c r="D33" s="754"/>
      <c r="E33" s="754"/>
      <c r="F33" s="754"/>
      <c r="G33" s="775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9"/>
      <c r="AA33" s="729"/>
      <c r="AB33" s="729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191"/>
      <c r="R34" s="187" t="s">
        <v>18</v>
      </c>
      <c r="S34" s="163"/>
      <c r="T34" s="163"/>
      <c r="U34" s="162"/>
      <c r="V34" s="162"/>
      <c r="W34" s="162"/>
      <c r="X34" s="162"/>
      <c r="Y34" s="162"/>
      <c r="Z34" s="162"/>
      <c r="AA34" s="162"/>
      <c r="AB34" s="162"/>
      <c r="AC34" s="162"/>
      <c r="AD34" s="162" t="s">
        <v>19</v>
      </c>
      <c r="AE34" s="162" t="s">
        <v>20</v>
      </c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88"/>
      <c r="AS34" s="702">
        <f>AN24</f>
        <v>108.16000000000001</v>
      </c>
      <c r="AT34" s="702"/>
      <c r="AU34" s="702"/>
      <c r="AV34" s="702"/>
      <c r="AW34" s="702"/>
      <c r="AX34" s="702">
        <f>AC24</f>
        <v>1946.88</v>
      </c>
      <c r="AY34" s="702"/>
      <c r="AZ34" s="702"/>
      <c r="BA34" s="702"/>
      <c r="BB34" s="703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347"/>
      <c r="I35" s="347"/>
      <c r="J35" s="347"/>
      <c r="K35" s="347"/>
      <c r="L35" s="347"/>
      <c r="M35" s="347"/>
      <c r="P35" s="168"/>
      <c r="Q35" s="345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32.664320000000004</v>
      </c>
      <c r="AT35" s="463"/>
      <c r="AU35" s="463"/>
      <c r="AV35" s="463"/>
      <c r="AW35" s="463"/>
      <c r="AX35" s="463">
        <f>AX34*AO35</f>
        <v>587.95776000000001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347"/>
      <c r="I36" s="347"/>
      <c r="J36" s="347"/>
      <c r="K36" s="347"/>
      <c r="L36" s="347"/>
      <c r="M36" s="347"/>
      <c r="P36" s="168"/>
      <c r="Q36" s="345"/>
      <c r="R36" s="345"/>
      <c r="S36" s="345"/>
      <c r="U36" s="345"/>
      <c r="V36" s="345"/>
      <c r="W36" s="345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350"/>
      <c r="AT36" s="352"/>
      <c r="AU36" s="352"/>
      <c r="AV36" s="352"/>
      <c r="AW36" s="352"/>
      <c r="AX36" s="350"/>
      <c r="AY36" s="352"/>
      <c r="AZ36" s="352"/>
      <c r="BA36" s="352"/>
      <c r="BB36" s="352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420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842"/>
      <c r="B41" s="843"/>
      <c r="C41" s="843"/>
      <c r="D41" s="843"/>
      <c r="E41" s="843"/>
      <c r="F41" s="843"/>
      <c r="G41" s="843"/>
      <c r="H41" s="848" t="s">
        <v>16</v>
      </c>
      <c r="I41" s="848"/>
      <c r="J41" s="848"/>
      <c r="K41" s="848"/>
      <c r="L41" s="848"/>
      <c r="M41" s="848"/>
      <c r="N41" s="848"/>
      <c r="O41" s="848"/>
      <c r="P41" s="848"/>
      <c r="Q41" s="848"/>
      <c r="R41" s="848"/>
      <c r="S41" s="848"/>
      <c r="T41" s="848"/>
      <c r="U41" s="848"/>
      <c r="V41" s="848"/>
      <c r="W41" s="848"/>
      <c r="X41" s="848"/>
      <c r="Y41" s="848"/>
      <c r="Z41" s="723">
        <v>0</v>
      </c>
      <c r="AA41" s="723"/>
      <c r="AB41" s="723"/>
      <c r="AC41" s="848">
        <f>AX83*Z41*AH41</f>
        <v>0</v>
      </c>
      <c r="AD41" s="848"/>
      <c r="AE41" s="848"/>
      <c r="AF41" s="848"/>
      <c r="AG41" s="848"/>
      <c r="AH41" s="508">
        <v>1</v>
      </c>
      <c r="AI41" s="509"/>
      <c r="AJ41" s="509"/>
      <c r="AK41" s="509"/>
      <c r="AL41" s="509"/>
      <c r="AM41" s="510"/>
      <c r="AN41" s="711">
        <f>AC41/U12</f>
        <v>0</v>
      </c>
      <c r="AO41" s="712"/>
      <c r="AP41" s="712"/>
      <c r="AQ41" s="712"/>
      <c r="AR41" s="734"/>
      <c r="AS41" s="508" t="s">
        <v>17</v>
      </c>
      <c r="AT41" s="509"/>
      <c r="AU41" s="509"/>
      <c r="AV41" s="509"/>
      <c r="AW41" s="510"/>
      <c r="AX41" s="711" t="s">
        <v>17</v>
      </c>
      <c r="AY41" s="712"/>
      <c r="AZ41" s="712"/>
      <c r="BA41" s="712"/>
      <c r="BB41" s="713"/>
    </row>
    <row r="42" spans="1:54" s="165" customFormat="1" ht="0.75" hidden="1" customHeight="1" x14ac:dyDescent="0.2">
      <c r="A42" s="844"/>
      <c r="B42" s="845"/>
      <c r="C42" s="845"/>
      <c r="D42" s="845"/>
      <c r="E42" s="845"/>
      <c r="F42" s="845"/>
      <c r="G42" s="845"/>
      <c r="H42" s="849"/>
      <c r="I42" s="849"/>
      <c r="J42" s="849"/>
      <c r="K42" s="849"/>
      <c r="L42" s="849"/>
      <c r="M42" s="849"/>
      <c r="N42" s="849"/>
      <c r="O42" s="849"/>
      <c r="P42" s="849"/>
      <c r="Q42" s="849"/>
      <c r="R42" s="849"/>
      <c r="S42" s="849"/>
      <c r="T42" s="849"/>
      <c r="U42" s="849"/>
      <c r="V42" s="849"/>
      <c r="W42" s="849"/>
      <c r="X42" s="849"/>
      <c r="Y42" s="849"/>
      <c r="Z42" s="726"/>
      <c r="AA42" s="726"/>
      <c r="AB42" s="726"/>
      <c r="AC42" s="849"/>
      <c r="AD42" s="849"/>
      <c r="AE42" s="849"/>
      <c r="AF42" s="849"/>
      <c r="AG42" s="849"/>
      <c r="AH42" s="511"/>
      <c r="AI42" s="512"/>
      <c r="AJ42" s="512"/>
      <c r="AK42" s="512"/>
      <c r="AL42" s="512"/>
      <c r="AM42" s="513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714"/>
      <c r="AY42" s="704"/>
      <c r="AZ42" s="704"/>
      <c r="BA42" s="704"/>
      <c r="BB42" s="715"/>
    </row>
    <row r="43" spans="1:54" ht="18" customHeight="1" x14ac:dyDescent="0.2">
      <c r="A43" s="844"/>
      <c r="B43" s="845"/>
      <c r="C43" s="845"/>
      <c r="D43" s="845"/>
      <c r="E43" s="845"/>
      <c r="F43" s="845"/>
      <c r="G43" s="845"/>
      <c r="H43" s="849"/>
      <c r="I43" s="849"/>
      <c r="J43" s="849"/>
      <c r="K43" s="849"/>
      <c r="L43" s="849"/>
      <c r="M43" s="849"/>
      <c r="N43" s="849"/>
      <c r="O43" s="849"/>
      <c r="P43" s="849"/>
      <c r="Q43" s="849"/>
      <c r="R43" s="849"/>
      <c r="S43" s="849"/>
      <c r="T43" s="849"/>
      <c r="U43" s="849"/>
      <c r="V43" s="849"/>
      <c r="W43" s="849"/>
      <c r="X43" s="849"/>
      <c r="Y43" s="849"/>
      <c r="Z43" s="726"/>
      <c r="AA43" s="726"/>
      <c r="AB43" s="726"/>
      <c r="AC43" s="781"/>
      <c r="AD43" s="781"/>
      <c r="AE43" s="781"/>
      <c r="AF43" s="781"/>
      <c r="AG43" s="781"/>
      <c r="AH43" s="736"/>
      <c r="AI43" s="737"/>
      <c r="AJ43" s="737"/>
      <c r="AK43" s="737"/>
      <c r="AL43" s="737"/>
      <c r="AM43" s="738"/>
      <c r="AN43" s="716"/>
      <c r="AO43" s="669"/>
      <c r="AP43" s="669"/>
      <c r="AQ43" s="669"/>
      <c r="AR43" s="670"/>
      <c r="AS43" s="736"/>
      <c r="AT43" s="737"/>
      <c r="AU43" s="737"/>
      <c r="AV43" s="737"/>
      <c r="AW43" s="738"/>
      <c r="AX43" s="716"/>
      <c r="AY43" s="669"/>
      <c r="AZ43" s="669"/>
      <c r="BA43" s="669"/>
      <c r="BB43" s="717"/>
    </row>
    <row r="44" spans="1:54" s="165" customFormat="1" ht="21" hidden="1" customHeight="1" x14ac:dyDescent="0.2">
      <c r="A44" s="844"/>
      <c r="B44" s="845"/>
      <c r="C44" s="845"/>
      <c r="D44" s="845"/>
      <c r="E44" s="845"/>
      <c r="F44" s="845"/>
      <c r="G44" s="845"/>
      <c r="H44" s="849"/>
      <c r="I44" s="849"/>
      <c r="J44" s="849"/>
      <c r="K44" s="849"/>
      <c r="L44" s="849"/>
      <c r="M44" s="849"/>
      <c r="N44" s="849"/>
      <c r="O44" s="849"/>
      <c r="P44" s="849"/>
      <c r="Q44" s="849"/>
      <c r="R44" s="849"/>
      <c r="S44" s="849"/>
      <c r="T44" s="849"/>
      <c r="U44" s="849"/>
      <c r="V44" s="849"/>
      <c r="W44" s="849"/>
      <c r="X44" s="849"/>
      <c r="Y44" s="849"/>
      <c r="Z44" s="726"/>
      <c r="AA44" s="726"/>
      <c r="AB44" s="726"/>
      <c r="AC44" s="277"/>
      <c r="AD44" s="277"/>
      <c r="AE44" s="277"/>
      <c r="AF44" s="277"/>
      <c r="AG44" s="277"/>
      <c r="AH44" s="180"/>
      <c r="AI44" s="181"/>
      <c r="AJ44" s="181"/>
      <c r="AK44" s="181"/>
      <c r="AL44" s="181"/>
      <c r="AM44" s="182"/>
      <c r="AN44" s="86"/>
      <c r="AO44" s="84"/>
      <c r="AP44" s="84"/>
      <c r="AQ44" s="84"/>
      <c r="AR44" s="85"/>
      <c r="AS44" s="180"/>
      <c r="AT44" s="181"/>
      <c r="AU44" s="181"/>
      <c r="AV44" s="181"/>
      <c r="AW44" s="182"/>
      <c r="AX44" s="86"/>
      <c r="AY44" s="84"/>
      <c r="AZ44" s="84"/>
      <c r="BA44" s="84"/>
      <c r="BB44" s="255"/>
    </row>
    <row r="45" spans="1:54" s="165" customFormat="1" ht="21.75" hidden="1" customHeight="1" x14ac:dyDescent="0.2">
      <c r="A45" s="844"/>
      <c r="B45" s="845"/>
      <c r="C45" s="845"/>
      <c r="D45" s="845"/>
      <c r="E45" s="845"/>
      <c r="F45" s="845"/>
      <c r="G45" s="845"/>
      <c r="H45" s="849"/>
      <c r="I45" s="849"/>
      <c r="J45" s="849"/>
      <c r="K45" s="849"/>
      <c r="L45" s="849"/>
      <c r="M45" s="849"/>
      <c r="N45" s="849"/>
      <c r="O45" s="849"/>
      <c r="P45" s="849"/>
      <c r="Q45" s="849"/>
      <c r="R45" s="849"/>
      <c r="S45" s="849"/>
      <c r="T45" s="849"/>
      <c r="U45" s="849"/>
      <c r="V45" s="849"/>
      <c r="W45" s="849"/>
      <c r="X45" s="849"/>
      <c r="Y45" s="849"/>
      <c r="Z45" s="726"/>
      <c r="AA45" s="726"/>
      <c r="AB45" s="726"/>
      <c r="AC45" s="277"/>
      <c r="AD45" s="277"/>
      <c r="AE45" s="277"/>
      <c r="AF45" s="277"/>
      <c r="AG45" s="277"/>
      <c r="AH45" s="180"/>
      <c r="AI45" s="181"/>
      <c r="AJ45" s="181"/>
      <c r="AK45" s="181"/>
      <c r="AL45" s="181"/>
      <c r="AM45" s="182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255"/>
    </row>
    <row r="46" spans="1:54" s="165" customFormat="1" ht="24" hidden="1" customHeight="1" x14ac:dyDescent="0.2">
      <c r="A46" s="844"/>
      <c r="B46" s="845"/>
      <c r="C46" s="845"/>
      <c r="D46" s="845"/>
      <c r="E46" s="845"/>
      <c r="F46" s="845"/>
      <c r="G46" s="845"/>
      <c r="H46" s="849"/>
      <c r="I46" s="849"/>
      <c r="J46" s="849"/>
      <c r="K46" s="849"/>
      <c r="L46" s="849"/>
      <c r="M46" s="849"/>
      <c r="N46" s="849"/>
      <c r="O46" s="849"/>
      <c r="P46" s="849"/>
      <c r="Q46" s="849"/>
      <c r="R46" s="849"/>
      <c r="S46" s="849"/>
      <c r="T46" s="849"/>
      <c r="U46" s="849"/>
      <c r="V46" s="849"/>
      <c r="W46" s="849"/>
      <c r="X46" s="849"/>
      <c r="Y46" s="849"/>
      <c r="Z46" s="726"/>
      <c r="AA46" s="726"/>
      <c r="AB46" s="726"/>
      <c r="AC46" s="277"/>
      <c r="AD46" s="277"/>
      <c r="AE46" s="277"/>
      <c r="AF46" s="277"/>
      <c r="AG46" s="277"/>
      <c r="AH46" s="180"/>
      <c r="AI46" s="181"/>
      <c r="AJ46" s="181"/>
      <c r="AK46" s="181"/>
      <c r="AL46" s="181"/>
      <c r="AM46" s="182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255"/>
    </row>
    <row r="47" spans="1:54" s="165" customFormat="1" ht="18" hidden="1" customHeight="1" x14ac:dyDescent="0.2">
      <c r="A47" s="844"/>
      <c r="B47" s="845"/>
      <c r="C47" s="845"/>
      <c r="D47" s="845"/>
      <c r="E47" s="845"/>
      <c r="F47" s="845"/>
      <c r="G47" s="845"/>
      <c r="H47" s="849"/>
      <c r="I47" s="849"/>
      <c r="J47" s="849"/>
      <c r="K47" s="849"/>
      <c r="L47" s="849"/>
      <c r="M47" s="849"/>
      <c r="N47" s="849"/>
      <c r="O47" s="849"/>
      <c r="P47" s="849"/>
      <c r="Q47" s="849"/>
      <c r="R47" s="849"/>
      <c r="S47" s="849"/>
      <c r="T47" s="849"/>
      <c r="U47" s="849"/>
      <c r="V47" s="849"/>
      <c r="W47" s="849"/>
      <c r="X47" s="849"/>
      <c r="Y47" s="849"/>
      <c r="Z47" s="726"/>
      <c r="AA47" s="726"/>
      <c r="AB47" s="726"/>
      <c r="AC47" s="277"/>
      <c r="AD47" s="277"/>
      <c r="AE47" s="277"/>
      <c r="AF47" s="277"/>
      <c r="AG47" s="277"/>
      <c r="AH47" s="180"/>
      <c r="AI47" s="181"/>
      <c r="AJ47" s="181"/>
      <c r="AK47" s="181"/>
      <c r="AL47" s="181"/>
      <c r="AM47" s="182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255"/>
    </row>
    <row r="48" spans="1:54" s="165" customFormat="1" ht="17.25" hidden="1" customHeight="1" x14ac:dyDescent="0.2">
      <c r="A48" s="844"/>
      <c r="B48" s="845"/>
      <c r="C48" s="845"/>
      <c r="D48" s="845"/>
      <c r="E48" s="845"/>
      <c r="F48" s="845"/>
      <c r="G48" s="845"/>
      <c r="H48" s="849"/>
      <c r="I48" s="849"/>
      <c r="J48" s="849"/>
      <c r="K48" s="849"/>
      <c r="L48" s="849"/>
      <c r="M48" s="849"/>
      <c r="N48" s="849"/>
      <c r="O48" s="849"/>
      <c r="P48" s="849"/>
      <c r="Q48" s="849"/>
      <c r="R48" s="849"/>
      <c r="S48" s="849"/>
      <c r="T48" s="849"/>
      <c r="U48" s="849"/>
      <c r="V48" s="849"/>
      <c r="W48" s="849"/>
      <c r="X48" s="849"/>
      <c r="Y48" s="849"/>
      <c r="Z48" s="726"/>
      <c r="AA48" s="726"/>
      <c r="AB48" s="726"/>
      <c r="AC48" s="277"/>
      <c r="AD48" s="277"/>
      <c r="AE48" s="277"/>
      <c r="AF48" s="277"/>
      <c r="AG48" s="277"/>
      <c r="AH48" s="180"/>
      <c r="AI48" s="181"/>
      <c r="AJ48" s="181"/>
      <c r="AK48" s="181"/>
      <c r="AL48" s="181"/>
      <c r="AM48" s="182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255"/>
    </row>
    <row r="49" spans="1:54" s="165" customFormat="1" ht="14.25" hidden="1" customHeight="1" x14ac:dyDescent="0.2">
      <c r="A49" s="844"/>
      <c r="B49" s="845"/>
      <c r="C49" s="845"/>
      <c r="D49" s="845"/>
      <c r="E49" s="845"/>
      <c r="F49" s="845"/>
      <c r="G49" s="845"/>
      <c r="H49" s="849"/>
      <c r="I49" s="849"/>
      <c r="J49" s="849"/>
      <c r="K49" s="849"/>
      <c r="L49" s="849"/>
      <c r="M49" s="849"/>
      <c r="N49" s="849"/>
      <c r="O49" s="849"/>
      <c r="P49" s="849"/>
      <c r="Q49" s="849"/>
      <c r="R49" s="849"/>
      <c r="S49" s="849"/>
      <c r="T49" s="849"/>
      <c r="U49" s="849"/>
      <c r="V49" s="849"/>
      <c r="W49" s="849"/>
      <c r="X49" s="849"/>
      <c r="Y49" s="849"/>
      <c r="Z49" s="726"/>
      <c r="AA49" s="726"/>
      <c r="AB49" s="726"/>
      <c r="AC49" s="277"/>
      <c r="AD49" s="277"/>
      <c r="AE49" s="277"/>
      <c r="AF49" s="277"/>
      <c r="AG49" s="277"/>
      <c r="AH49" s="180"/>
      <c r="AI49" s="181"/>
      <c r="AJ49" s="181"/>
      <c r="AK49" s="181"/>
      <c r="AL49" s="181"/>
      <c r="AM49" s="182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255"/>
    </row>
    <row r="50" spans="1:54" ht="0.75" customHeight="1" thickBot="1" x14ac:dyDescent="0.25">
      <c r="A50" s="846"/>
      <c r="B50" s="847"/>
      <c r="C50" s="847"/>
      <c r="D50" s="847"/>
      <c r="E50" s="847"/>
      <c r="F50" s="847"/>
      <c r="G50" s="847"/>
      <c r="H50" s="850"/>
      <c r="I50" s="850"/>
      <c r="J50" s="850"/>
      <c r="K50" s="850"/>
      <c r="L50" s="850"/>
      <c r="M50" s="850"/>
      <c r="N50" s="850"/>
      <c r="O50" s="850"/>
      <c r="P50" s="850"/>
      <c r="Q50" s="850"/>
      <c r="R50" s="850"/>
      <c r="S50" s="850"/>
      <c r="T50" s="850"/>
      <c r="U50" s="850"/>
      <c r="V50" s="850"/>
      <c r="W50" s="850"/>
      <c r="X50" s="850"/>
      <c r="Y50" s="850"/>
      <c r="Z50" s="729"/>
      <c r="AA50" s="729"/>
      <c r="AB50" s="729"/>
      <c r="AC50" s="278"/>
      <c r="AD50" s="278"/>
      <c r="AE50" s="278"/>
      <c r="AF50" s="278"/>
      <c r="AG50" s="278"/>
      <c r="AH50" s="259"/>
      <c r="AI50" s="260"/>
      <c r="AJ50" s="260"/>
      <c r="AK50" s="260"/>
      <c r="AL50" s="260"/>
      <c r="AM50" s="261"/>
      <c r="AN50" s="256"/>
      <c r="AO50" s="257"/>
      <c r="AP50" s="257"/>
      <c r="AQ50" s="257"/>
      <c r="AR50" s="258"/>
      <c r="AS50" s="259"/>
      <c r="AT50" s="260"/>
      <c r="AU50" s="260"/>
      <c r="AV50" s="260"/>
      <c r="AW50" s="261"/>
      <c r="AX50" s="256"/>
      <c r="AY50" s="257"/>
      <c r="AZ50" s="257"/>
      <c r="BA50" s="257"/>
      <c r="BB50" s="262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342"/>
      <c r="I52" s="342"/>
      <c r="J52" s="342"/>
      <c r="K52" s="342"/>
      <c r="L52" s="164"/>
      <c r="M52" s="164"/>
      <c r="N52" s="164"/>
      <c r="O52" s="164"/>
      <c r="P52" s="164"/>
      <c r="Q52" s="343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660" t="s">
        <v>101</v>
      </c>
      <c r="B58" s="661"/>
      <c r="C58" s="661"/>
      <c r="D58" s="661"/>
      <c r="E58" s="661"/>
      <c r="F58" s="661"/>
      <c r="G58" s="661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96"/>
      <c r="AC58" s="662">
        <f>((R59+(R59*U61)+(R59*Q61)+(R59*M61)+(R59*I61))*Z61)</f>
        <v>40560</v>
      </c>
      <c r="AD58" s="662"/>
      <c r="AE58" s="662"/>
      <c r="AF58" s="662"/>
      <c r="AG58" s="662"/>
      <c r="AH58" s="662">
        <v>75</v>
      </c>
      <c r="AI58" s="662"/>
      <c r="AJ58" s="662"/>
      <c r="AK58" s="662"/>
      <c r="AL58" s="662"/>
      <c r="AM58" s="662"/>
      <c r="AN58" s="662">
        <f>AC58/AH58</f>
        <v>540.79999999999995</v>
      </c>
      <c r="AO58" s="662"/>
      <c r="AP58" s="662"/>
      <c r="AQ58" s="662"/>
      <c r="AR58" s="662"/>
      <c r="AS58" s="663">
        <f>U12</f>
        <v>18</v>
      </c>
      <c r="AT58" s="663"/>
      <c r="AU58" s="663"/>
      <c r="AV58" s="663"/>
      <c r="AW58" s="663"/>
      <c r="AX58" s="662">
        <f>AN58*AS58</f>
        <v>9734.4</v>
      </c>
      <c r="AY58" s="662"/>
      <c r="AZ58" s="662"/>
      <c r="BA58" s="662"/>
      <c r="BB58" s="684"/>
    </row>
    <row r="59" spans="1:54" s="165" customFormat="1" ht="20.25" customHeight="1" x14ac:dyDescent="0.2">
      <c r="A59" s="652"/>
      <c r="B59" s="653"/>
      <c r="C59" s="653"/>
      <c r="D59" s="653"/>
      <c r="E59" s="653"/>
      <c r="F59" s="653"/>
      <c r="G59" s="653"/>
      <c r="H59" s="714" t="s">
        <v>26</v>
      </c>
      <c r="I59" s="704"/>
      <c r="J59" s="704"/>
      <c r="K59" s="704"/>
      <c r="L59" s="704"/>
      <c r="M59" s="704"/>
      <c r="N59" s="669">
        <v>0</v>
      </c>
      <c r="O59" s="669"/>
      <c r="P59" s="669"/>
      <c r="Q59" s="84" t="s">
        <v>27</v>
      </c>
      <c r="R59" s="669">
        <v>15600</v>
      </c>
      <c r="S59" s="669"/>
      <c r="T59" s="669"/>
      <c r="U59" s="669"/>
      <c r="V59" s="669"/>
      <c r="W59" s="84" t="s">
        <v>28</v>
      </c>
      <c r="X59" s="84" t="s">
        <v>29</v>
      </c>
      <c r="Y59" s="84"/>
      <c r="Z59" s="84"/>
      <c r="AA59" s="84"/>
      <c r="AB59" s="85"/>
      <c r="AC59" s="601"/>
      <c r="AD59" s="601"/>
      <c r="AE59" s="601"/>
      <c r="AF59" s="601"/>
      <c r="AG59" s="601"/>
      <c r="AH59" s="601"/>
      <c r="AI59" s="601"/>
      <c r="AJ59" s="601"/>
      <c r="AK59" s="601"/>
      <c r="AL59" s="601"/>
      <c r="AM59" s="601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652"/>
      <c r="B60" s="653"/>
      <c r="C60" s="653"/>
      <c r="D60" s="653"/>
      <c r="E60" s="653"/>
      <c r="F60" s="653"/>
      <c r="G60" s="653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601"/>
      <c r="AD60" s="601"/>
      <c r="AE60" s="601"/>
      <c r="AF60" s="601"/>
      <c r="AG60" s="601"/>
      <c r="AH60" s="601"/>
      <c r="AI60" s="601"/>
      <c r="AJ60" s="601"/>
      <c r="AK60" s="601"/>
      <c r="AL60" s="601"/>
      <c r="AM60" s="601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1.25" customHeight="1" x14ac:dyDescent="0.2">
      <c r="A61" s="652"/>
      <c r="B61" s="653"/>
      <c r="C61" s="653"/>
      <c r="D61" s="653"/>
      <c r="E61" s="653"/>
      <c r="F61" s="653"/>
      <c r="G61" s="653"/>
      <c r="H61" s="97" t="s">
        <v>30</v>
      </c>
      <c r="I61" s="792">
        <v>0</v>
      </c>
      <c r="J61" s="792"/>
      <c r="K61" s="792"/>
      <c r="L61" s="84" t="s">
        <v>79</v>
      </c>
      <c r="M61" s="792">
        <v>0</v>
      </c>
      <c r="N61" s="792"/>
      <c r="O61" s="792"/>
      <c r="P61" s="84" t="s">
        <v>79</v>
      </c>
      <c r="Q61" s="792">
        <v>0</v>
      </c>
      <c r="R61" s="792"/>
      <c r="S61" s="792"/>
      <c r="T61" s="84" t="s">
        <v>79</v>
      </c>
      <c r="U61" s="792">
        <v>0</v>
      </c>
      <c r="V61" s="792"/>
      <c r="W61" s="792"/>
      <c r="X61" s="84" t="s">
        <v>31</v>
      </c>
      <c r="Y61" s="84" t="s">
        <v>28</v>
      </c>
      <c r="Z61" s="669">
        <v>2.6</v>
      </c>
      <c r="AA61" s="669"/>
      <c r="AB61" s="670"/>
      <c r="AC61" s="601"/>
      <c r="AD61" s="601"/>
      <c r="AE61" s="601"/>
      <c r="AF61" s="601"/>
      <c r="AG61" s="601"/>
      <c r="AH61" s="601"/>
      <c r="AI61" s="601"/>
      <c r="AJ61" s="601"/>
      <c r="AK61" s="601"/>
      <c r="AL61" s="601"/>
      <c r="AM61" s="601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" customHeight="1" thickBot="1" x14ac:dyDescent="0.25">
      <c r="A62" s="681"/>
      <c r="B62" s="682"/>
      <c r="C62" s="682"/>
      <c r="D62" s="682"/>
      <c r="E62" s="682"/>
      <c r="F62" s="682"/>
      <c r="G62" s="682"/>
      <c r="H62" s="256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8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83"/>
      <c r="AT62" s="683"/>
      <c r="AU62" s="683"/>
      <c r="AV62" s="683"/>
      <c r="AW62" s="683"/>
      <c r="AX62" s="656"/>
      <c r="AY62" s="656"/>
      <c r="AZ62" s="656"/>
      <c r="BA62" s="656"/>
      <c r="BB62" s="657"/>
    </row>
    <row r="63" spans="1:54" ht="5.0999999999999996" hidden="1" customHeight="1" x14ac:dyDescent="0.2">
      <c r="A63" s="666"/>
      <c r="B63" s="667"/>
      <c r="C63" s="667"/>
      <c r="D63" s="667"/>
      <c r="E63" s="667"/>
      <c r="F63" s="667"/>
      <c r="G63" s="667"/>
      <c r="H63" s="193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94" t="e">
        <f>#REF!</f>
        <v>#REF!</v>
      </c>
      <c r="AA63" s="191"/>
      <c r="AB63" s="195"/>
      <c r="AC63" s="477">
        <f>((R64+(R64*U66)+(R64*Q66)+(R64*M66)+(R64*I66))*Z66)*1.15</f>
        <v>0</v>
      </c>
      <c r="AD63" s="477"/>
      <c r="AE63" s="477"/>
      <c r="AF63" s="477"/>
      <c r="AG63" s="477"/>
      <c r="AH63" s="477">
        <v>1</v>
      </c>
      <c r="AI63" s="477"/>
      <c r="AJ63" s="477"/>
      <c r="AK63" s="477"/>
      <c r="AL63" s="477"/>
      <c r="AM63" s="477"/>
      <c r="AN63" s="477">
        <f>AC63/AH63</f>
        <v>0</v>
      </c>
      <c r="AO63" s="477"/>
      <c r="AP63" s="477"/>
      <c r="AQ63" s="477"/>
      <c r="AR63" s="477"/>
      <c r="AS63" s="668">
        <f t="shared" ref="AS63" si="0">U17</f>
        <v>0</v>
      </c>
      <c r="AT63" s="668"/>
      <c r="AU63" s="668"/>
      <c r="AV63" s="668"/>
      <c r="AW63" s="668"/>
      <c r="AX63" s="477">
        <f>AN63*AS63</f>
        <v>0</v>
      </c>
      <c r="AY63" s="477"/>
      <c r="AZ63" s="477"/>
      <c r="BA63" s="477"/>
      <c r="BB63" s="481"/>
    </row>
    <row r="64" spans="1:54" s="165" customFormat="1" ht="11.25" hidden="1" customHeight="1" x14ac:dyDescent="0.2">
      <c r="A64" s="652"/>
      <c r="B64" s="653"/>
      <c r="C64" s="653"/>
      <c r="D64" s="653"/>
      <c r="E64" s="653"/>
      <c r="F64" s="653"/>
      <c r="G64" s="653"/>
      <c r="H64" s="658" t="s">
        <v>26</v>
      </c>
      <c r="I64" s="659"/>
      <c r="J64" s="659"/>
      <c r="K64" s="659"/>
      <c r="L64" s="659"/>
      <c r="M64" s="659"/>
      <c r="N64" s="650">
        <v>0</v>
      </c>
      <c r="O64" s="650"/>
      <c r="P64" s="650"/>
      <c r="Q64" s="191" t="s">
        <v>27</v>
      </c>
      <c r="R64" s="650">
        <f>$AX$19*N64</f>
        <v>0</v>
      </c>
      <c r="S64" s="650"/>
      <c r="T64" s="650"/>
      <c r="U64" s="650"/>
      <c r="V64" s="650"/>
      <c r="W64" s="191" t="s">
        <v>28</v>
      </c>
      <c r="X64" s="191" t="s">
        <v>29</v>
      </c>
      <c r="Y64" s="191"/>
      <c r="Z64" s="191"/>
      <c r="AA64" s="191"/>
      <c r="AB64" s="195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664"/>
      <c r="AT64" s="664"/>
      <c r="AU64" s="664"/>
      <c r="AV64" s="664"/>
      <c r="AW64" s="664"/>
      <c r="AX64" s="529"/>
      <c r="AY64" s="529"/>
      <c r="AZ64" s="529"/>
      <c r="BA64" s="529"/>
      <c r="BB64" s="665"/>
    </row>
    <row r="65" spans="1:54" s="165" customFormat="1" ht="5.0999999999999996" hidden="1" customHeight="1" x14ac:dyDescent="0.2">
      <c r="A65" s="652"/>
      <c r="B65" s="653"/>
      <c r="C65" s="653"/>
      <c r="D65" s="653"/>
      <c r="E65" s="653"/>
      <c r="F65" s="653"/>
      <c r="G65" s="653"/>
      <c r="H65" s="196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91"/>
      <c r="AA65" s="191"/>
      <c r="AB65" s="195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65" customFormat="1" ht="11.25" hidden="1" customHeight="1" x14ac:dyDescent="0.2">
      <c r="A66" s="652"/>
      <c r="B66" s="653"/>
      <c r="C66" s="653"/>
      <c r="D66" s="653"/>
      <c r="E66" s="653"/>
      <c r="F66" s="653"/>
      <c r="G66" s="653"/>
      <c r="H66" s="197" t="s">
        <v>30</v>
      </c>
      <c r="I66" s="654">
        <v>0</v>
      </c>
      <c r="J66" s="654"/>
      <c r="K66" s="654"/>
      <c r="L66" s="191" t="s">
        <v>28</v>
      </c>
      <c r="M66" s="654">
        <v>0</v>
      </c>
      <c r="N66" s="654"/>
      <c r="O66" s="654"/>
      <c r="P66" s="191" t="s">
        <v>28</v>
      </c>
      <c r="Q66" s="654"/>
      <c r="R66" s="654"/>
      <c r="S66" s="654"/>
      <c r="T66" s="191" t="s">
        <v>28</v>
      </c>
      <c r="U66" s="654"/>
      <c r="V66" s="654"/>
      <c r="W66" s="654"/>
      <c r="X66" s="191" t="s">
        <v>31</v>
      </c>
      <c r="Y66" s="191" t="s">
        <v>28</v>
      </c>
      <c r="Z66" s="650">
        <v>2.6</v>
      </c>
      <c r="AA66" s="650"/>
      <c r="AB66" s="651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65" customFormat="1" ht="5.0999999999999996" hidden="1" customHeight="1" thickBot="1" x14ac:dyDescent="0.25">
      <c r="A67" s="652"/>
      <c r="B67" s="653"/>
      <c r="C67" s="653"/>
      <c r="D67" s="653"/>
      <c r="E67" s="653"/>
      <c r="F67" s="653"/>
      <c r="G67" s="653"/>
      <c r="H67" s="198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344"/>
      <c r="AA67" s="344"/>
      <c r="AB67" s="201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65" customFormat="1" ht="5.0999999999999996" hidden="1" customHeight="1" x14ac:dyDescent="0.2">
      <c r="A68" s="652"/>
      <c r="B68" s="653"/>
      <c r="C68" s="653"/>
      <c r="D68" s="653"/>
      <c r="E68" s="653"/>
      <c r="F68" s="653"/>
      <c r="G68" s="653"/>
      <c r="H68" s="19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94" t="e">
        <f>#REF!</f>
        <v>#REF!</v>
      </c>
      <c r="AA68" s="191"/>
      <c r="AB68" s="195"/>
      <c r="AC68" s="507">
        <f>((R69+(R69*U71)+(R69*Q71)+(R69*M71)+(R69*I71))*Z71)*1.15</f>
        <v>0</v>
      </c>
      <c r="AD68" s="507"/>
      <c r="AE68" s="507"/>
      <c r="AF68" s="507"/>
      <c r="AG68" s="507"/>
      <c r="AH68" s="529">
        <v>1</v>
      </c>
      <c r="AI68" s="529"/>
      <c r="AJ68" s="529"/>
      <c r="AK68" s="529"/>
      <c r="AL68" s="529"/>
      <c r="AM68" s="529"/>
      <c r="AN68" s="529">
        <f>AC68/AH68</f>
        <v>0</v>
      </c>
      <c r="AO68" s="529"/>
      <c r="AP68" s="529"/>
      <c r="AQ68" s="529"/>
      <c r="AR68" s="529"/>
      <c r="AS68" s="663">
        <f t="shared" ref="AS68" si="1">U22</f>
        <v>0</v>
      </c>
      <c r="AT68" s="663"/>
      <c r="AU68" s="663"/>
      <c r="AV68" s="663"/>
      <c r="AW68" s="663"/>
      <c r="AX68" s="529">
        <f>AN68*AS68</f>
        <v>0</v>
      </c>
      <c r="AY68" s="529"/>
      <c r="AZ68" s="529"/>
      <c r="BA68" s="529"/>
      <c r="BB68" s="665"/>
    </row>
    <row r="69" spans="1:54" s="165" customFormat="1" ht="11.25" hidden="1" customHeight="1" x14ac:dyDescent="0.2">
      <c r="A69" s="652"/>
      <c r="B69" s="653"/>
      <c r="C69" s="653"/>
      <c r="D69" s="653"/>
      <c r="E69" s="653"/>
      <c r="F69" s="653"/>
      <c r="G69" s="653"/>
      <c r="H69" s="658" t="s">
        <v>26</v>
      </c>
      <c r="I69" s="659"/>
      <c r="J69" s="659"/>
      <c r="K69" s="659"/>
      <c r="L69" s="659"/>
      <c r="M69" s="659"/>
      <c r="N69" s="650">
        <v>0</v>
      </c>
      <c r="O69" s="650"/>
      <c r="P69" s="650"/>
      <c r="Q69" s="191" t="s">
        <v>27</v>
      </c>
      <c r="R69" s="650">
        <f>$AX$19*N69</f>
        <v>0</v>
      </c>
      <c r="S69" s="650"/>
      <c r="T69" s="650"/>
      <c r="U69" s="650"/>
      <c r="V69" s="650"/>
      <c r="W69" s="191" t="s">
        <v>28</v>
      </c>
      <c r="X69" s="191" t="s">
        <v>29</v>
      </c>
      <c r="Y69" s="191"/>
      <c r="Z69" s="191"/>
      <c r="AA69" s="191"/>
      <c r="AB69" s="195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529"/>
      <c r="AP69" s="529"/>
      <c r="AQ69" s="529"/>
      <c r="AR69" s="529"/>
      <c r="AS69" s="664"/>
      <c r="AT69" s="664"/>
      <c r="AU69" s="664"/>
      <c r="AV69" s="664"/>
      <c r="AW69" s="664"/>
      <c r="AX69" s="529"/>
      <c r="AY69" s="529"/>
      <c r="AZ69" s="529"/>
      <c r="BA69" s="529"/>
      <c r="BB69" s="665"/>
    </row>
    <row r="70" spans="1:54" ht="5.0999999999999996" hidden="1" customHeight="1" x14ac:dyDescent="0.2">
      <c r="A70" s="652"/>
      <c r="B70" s="653"/>
      <c r="C70" s="653"/>
      <c r="D70" s="653"/>
      <c r="E70" s="653"/>
      <c r="F70" s="653"/>
      <c r="G70" s="653"/>
      <c r="H70" s="19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91"/>
      <c r="AA70" s="191"/>
      <c r="AB70" s="195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s="165" customFormat="1" ht="11.25" hidden="1" customHeight="1" x14ac:dyDescent="0.2">
      <c r="A71" s="652"/>
      <c r="B71" s="653"/>
      <c r="C71" s="653"/>
      <c r="D71" s="653"/>
      <c r="E71" s="653"/>
      <c r="F71" s="653"/>
      <c r="G71" s="653"/>
      <c r="H71" s="197" t="s">
        <v>30</v>
      </c>
      <c r="I71" s="654">
        <v>0</v>
      </c>
      <c r="J71" s="654"/>
      <c r="K71" s="654"/>
      <c r="L71" s="191" t="s">
        <v>28</v>
      </c>
      <c r="M71" s="654">
        <v>0</v>
      </c>
      <c r="N71" s="654"/>
      <c r="O71" s="654"/>
      <c r="P71" s="191" t="s">
        <v>28</v>
      </c>
      <c r="Q71" s="654"/>
      <c r="R71" s="654"/>
      <c r="S71" s="654"/>
      <c r="T71" s="191" t="s">
        <v>28</v>
      </c>
      <c r="U71" s="654"/>
      <c r="V71" s="654"/>
      <c r="W71" s="654"/>
      <c r="X71" s="191" t="s">
        <v>31</v>
      </c>
      <c r="Y71" s="191" t="s">
        <v>28</v>
      </c>
      <c r="Z71" s="650">
        <v>2.6</v>
      </c>
      <c r="AA71" s="650"/>
      <c r="AB71" s="651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65" customFormat="1" ht="11.25" hidden="1" customHeight="1" thickBot="1" x14ac:dyDescent="0.25">
      <c r="A72" s="652"/>
      <c r="B72" s="653"/>
      <c r="C72" s="653"/>
      <c r="D72" s="653"/>
      <c r="E72" s="653"/>
      <c r="F72" s="653"/>
      <c r="G72" s="653"/>
      <c r="H72" s="198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344"/>
      <c r="AA72" s="344"/>
      <c r="AB72" s="201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65" customFormat="1" ht="15" hidden="1" customHeight="1" x14ac:dyDescent="0.2">
      <c r="A73" s="660" t="s">
        <v>84</v>
      </c>
      <c r="B73" s="661"/>
      <c r="C73" s="661"/>
      <c r="D73" s="661"/>
      <c r="E73" s="661"/>
      <c r="F73" s="661"/>
      <c r="G73" s="661"/>
      <c r="H73" s="19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94" t="e">
        <f>#REF!</f>
        <v>#REF!</v>
      </c>
      <c r="AA73" s="191"/>
      <c r="AB73" s="195"/>
      <c r="AC73" s="507">
        <f>((R74+(R74*U76)+(R74*Q76)+(R74*M76)+(R74*I76))*Z76)</f>
        <v>0</v>
      </c>
      <c r="AD73" s="507"/>
      <c r="AE73" s="507"/>
      <c r="AF73" s="507"/>
      <c r="AG73" s="507"/>
      <c r="AH73" s="529">
        <v>75</v>
      </c>
      <c r="AI73" s="529"/>
      <c r="AJ73" s="529"/>
      <c r="AK73" s="529"/>
      <c r="AL73" s="529"/>
      <c r="AM73" s="529"/>
      <c r="AN73" s="529">
        <f>AC73/AH73</f>
        <v>0</v>
      </c>
      <c r="AO73" s="529"/>
      <c r="AP73" s="529"/>
      <c r="AQ73" s="529"/>
      <c r="AR73" s="529"/>
      <c r="AS73" s="663">
        <f t="shared" ref="AS73" si="2">U27</f>
        <v>0</v>
      </c>
      <c r="AT73" s="663"/>
      <c r="AU73" s="663"/>
      <c r="AV73" s="663"/>
      <c r="AW73" s="663"/>
      <c r="AX73" s="529">
        <f>AN73*AS73</f>
        <v>0</v>
      </c>
      <c r="AY73" s="529"/>
      <c r="AZ73" s="529"/>
      <c r="BA73" s="529"/>
      <c r="BB73" s="665"/>
    </row>
    <row r="74" spans="1:54" s="165" customFormat="1" ht="21" hidden="1" customHeight="1" thickBot="1" x14ac:dyDescent="0.25">
      <c r="A74" s="652"/>
      <c r="B74" s="653"/>
      <c r="C74" s="653"/>
      <c r="D74" s="653"/>
      <c r="E74" s="653"/>
      <c r="F74" s="653"/>
      <c r="G74" s="653"/>
      <c r="H74" s="658" t="s">
        <v>26</v>
      </c>
      <c r="I74" s="659"/>
      <c r="J74" s="659"/>
      <c r="K74" s="659"/>
      <c r="L74" s="659"/>
      <c r="M74" s="659"/>
      <c r="N74" s="650">
        <v>0</v>
      </c>
      <c r="O74" s="650"/>
      <c r="P74" s="650"/>
      <c r="Q74" s="191" t="s">
        <v>27</v>
      </c>
      <c r="R74" s="650">
        <f>$AX$19*N74</f>
        <v>0</v>
      </c>
      <c r="S74" s="650"/>
      <c r="T74" s="650"/>
      <c r="U74" s="650"/>
      <c r="V74" s="650"/>
      <c r="W74" s="191" t="s">
        <v>28</v>
      </c>
      <c r="X74" s="191" t="s">
        <v>29</v>
      </c>
      <c r="Y74" s="191"/>
      <c r="Z74" s="191"/>
      <c r="AA74" s="191"/>
      <c r="AB74" s="195"/>
      <c r="AC74" s="529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29"/>
      <c r="AS74" s="664"/>
      <c r="AT74" s="664"/>
      <c r="AU74" s="664"/>
      <c r="AV74" s="664"/>
      <c r="AW74" s="664"/>
      <c r="AX74" s="529"/>
      <c r="AY74" s="529"/>
      <c r="AZ74" s="529"/>
      <c r="BA74" s="529"/>
      <c r="BB74" s="665"/>
    </row>
    <row r="75" spans="1:54" s="165" customFormat="1" ht="12" hidden="1" customHeight="1" thickBot="1" x14ac:dyDescent="0.25">
      <c r="A75" s="652"/>
      <c r="B75" s="653"/>
      <c r="C75" s="653"/>
      <c r="D75" s="653"/>
      <c r="E75" s="653"/>
      <c r="F75" s="653"/>
      <c r="G75" s="653"/>
      <c r="H75" s="196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91"/>
      <c r="AA75" s="191"/>
      <c r="AB75" s="195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29"/>
      <c r="AS75" s="664"/>
      <c r="AT75" s="664"/>
      <c r="AU75" s="664"/>
      <c r="AV75" s="664"/>
      <c r="AW75" s="664"/>
      <c r="AX75" s="529"/>
      <c r="AY75" s="529"/>
      <c r="AZ75" s="529"/>
      <c r="BA75" s="529"/>
      <c r="BB75" s="665"/>
    </row>
    <row r="76" spans="1:54" s="165" customFormat="1" ht="15.75" hidden="1" customHeight="1" thickBot="1" x14ac:dyDescent="0.25">
      <c r="A76" s="652"/>
      <c r="B76" s="653"/>
      <c r="C76" s="653"/>
      <c r="D76" s="653"/>
      <c r="E76" s="653"/>
      <c r="F76" s="653"/>
      <c r="G76" s="653"/>
      <c r="H76" s="197" t="s">
        <v>30</v>
      </c>
      <c r="I76" s="654">
        <v>0.2</v>
      </c>
      <c r="J76" s="654"/>
      <c r="K76" s="654"/>
      <c r="L76" s="191" t="s">
        <v>28</v>
      </c>
      <c r="M76" s="654">
        <v>0.15</v>
      </c>
      <c r="N76" s="654"/>
      <c r="O76" s="654"/>
      <c r="P76" s="191" t="s">
        <v>28</v>
      </c>
      <c r="Q76" s="654">
        <v>0.5</v>
      </c>
      <c r="R76" s="654"/>
      <c r="S76" s="654"/>
      <c r="T76" s="191" t="s">
        <v>28</v>
      </c>
      <c r="U76" s="654">
        <v>0</v>
      </c>
      <c r="V76" s="654"/>
      <c r="W76" s="654"/>
      <c r="X76" s="191" t="s">
        <v>31</v>
      </c>
      <c r="Y76" s="191" t="s">
        <v>28</v>
      </c>
      <c r="Z76" s="650">
        <v>2.6</v>
      </c>
      <c r="AA76" s="650"/>
      <c r="AB76" s="651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29"/>
      <c r="AS76" s="664"/>
      <c r="AT76" s="664"/>
      <c r="AU76" s="664"/>
      <c r="AV76" s="664"/>
      <c r="AW76" s="664"/>
      <c r="AX76" s="529"/>
      <c r="AY76" s="529"/>
      <c r="AZ76" s="529"/>
      <c r="BA76" s="529"/>
      <c r="BB76" s="665"/>
    </row>
    <row r="77" spans="1:54" ht="13.5" hidden="1" customHeight="1" thickBot="1" x14ac:dyDescent="0.25">
      <c r="A77" s="652"/>
      <c r="B77" s="653"/>
      <c r="C77" s="653"/>
      <c r="D77" s="653"/>
      <c r="E77" s="653"/>
      <c r="F77" s="653"/>
      <c r="G77" s="653"/>
      <c r="H77" s="198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344"/>
      <c r="AA77" s="344"/>
      <c r="AB77" s="201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29"/>
      <c r="AS77" s="664"/>
      <c r="AT77" s="664"/>
      <c r="AU77" s="664"/>
      <c r="AV77" s="664"/>
      <c r="AW77" s="664"/>
      <c r="AX77" s="529"/>
      <c r="AY77" s="529"/>
      <c r="AZ77" s="529"/>
      <c r="BA77" s="529"/>
      <c r="BB77" s="665"/>
    </row>
    <row r="78" spans="1:54" s="165" customFormat="1" ht="8.25" hidden="1" customHeight="1" x14ac:dyDescent="0.2">
      <c r="A78" s="660" t="s">
        <v>86</v>
      </c>
      <c r="B78" s="661"/>
      <c r="C78" s="661"/>
      <c r="D78" s="661"/>
      <c r="E78" s="661"/>
      <c r="F78" s="661"/>
      <c r="G78" s="661"/>
      <c r="H78" s="19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94" t="e">
        <f>#REF!</f>
        <v>#REF!</v>
      </c>
      <c r="AA78" s="191"/>
      <c r="AB78" s="195"/>
      <c r="AC78" s="662">
        <f>((R79+(R79*U81)+(R79*Q81)+(R79*M81)+(R79*I81))*Z81)*1.15</f>
        <v>0</v>
      </c>
      <c r="AD78" s="662"/>
      <c r="AE78" s="662"/>
      <c r="AF78" s="662"/>
      <c r="AG78" s="662"/>
      <c r="AH78" s="601">
        <v>144</v>
      </c>
      <c r="AI78" s="601"/>
      <c r="AJ78" s="601"/>
      <c r="AK78" s="601"/>
      <c r="AL78" s="601"/>
      <c r="AM78" s="601"/>
      <c r="AN78" s="601">
        <f>AC78/AH78</f>
        <v>0</v>
      </c>
      <c r="AO78" s="601"/>
      <c r="AP78" s="601"/>
      <c r="AQ78" s="601"/>
      <c r="AR78" s="601"/>
      <c r="AS78" s="663">
        <v>72</v>
      </c>
      <c r="AT78" s="663"/>
      <c r="AU78" s="663"/>
      <c r="AV78" s="663"/>
      <c r="AW78" s="663"/>
      <c r="AX78" s="601">
        <f>AN78*AS78</f>
        <v>0</v>
      </c>
      <c r="AY78" s="601"/>
      <c r="AZ78" s="601"/>
      <c r="BA78" s="601"/>
      <c r="BB78" s="655"/>
    </row>
    <row r="79" spans="1:54" s="165" customFormat="1" ht="27" hidden="1" customHeight="1" thickBot="1" x14ac:dyDescent="0.25">
      <c r="A79" s="652"/>
      <c r="B79" s="653"/>
      <c r="C79" s="653"/>
      <c r="D79" s="653"/>
      <c r="E79" s="653"/>
      <c r="F79" s="653"/>
      <c r="G79" s="653"/>
      <c r="H79" s="658" t="s">
        <v>26</v>
      </c>
      <c r="I79" s="659"/>
      <c r="J79" s="659"/>
      <c r="K79" s="659"/>
      <c r="L79" s="659"/>
      <c r="M79" s="659"/>
      <c r="N79" s="650">
        <v>0</v>
      </c>
      <c r="O79" s="650"/>
      <c r="P79" s="650"/>
      <c r="Q79" s="191" t="s">
        <v>27</v>
      </c>
      <c r="R79" s="650">
        <f>$AX$19*N79</f>
        <v>0</v>
      </c>
      <c r="S79" s="650"/>
      <c r="T79" s="650"/>
      <c r="U79" s="650"/>
      <c r="V79" s="650"/>
      <c r="W79" s="191" t="s">
        <v>28</v>
      </c>
      <c r="X79" s="191" t="s">
        <v>29</v>
      </c>
      <c r="Y79" s="191"/>
      <c r="Z79" s="191"/>
      <c r="AA79" s="191"/>
      <c r="AB79" s="195"/>
      <c r="AC79" s="601"/>
      <c r="AD79" s="601"/>
      <c r="AE79" s="601"/>
      <c r="AF79" s="601"/>
      <c r="AG79" s="601"/>
      <c r="AH79" s="601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64"/>
      <c r="AT79" s="664"/>
      <c r="AU79" s="664"/>
      <c r="AV79" s="664"/>
      <c r="AW79" s="664"/>
      <c r="AX79" s="601"/>
      <c r="AY79" s="601"/>
      <c r="AZ79" s="601"/>
      <c r="BA79" s="601"/>
      <c r="BB79" s="655"/>
    </row>
    <row r="80" spans="1:54" s="165" customFormat="1" ht="6.75" hidden="1" customHeight="1" thickBot="1" x14ac:dyDescent="0.25">
      <c r="A80" s="652"/>
      <c r="B80" s="653"/>
      <c r="C80" s="653"/>
      <c r="D80" s="653"/>
      <c r="E80" s="653"/>
      <c r="F80" s="653"/>
      <c r="G80" s="653"/>
      <c r="H80" s="19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91"/>
      <c r="AA80" s="191"/>
      <c r="AB80" s="195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ht="12" hidden="1" customHeight="1" thickBot="1" x14ac:dyDescent="0.25">
      <c r="A81" s="652"/>
      <c r="B81" s="653"/>
      <c r="C81" s="653"/>
      <c r="D81" s="653"/>
      <c r="E81" s="653"/>
      <c r="F81" s="653"/>
      <c r="G81" s="653"/>
      <c r="H81" s="197" t="s">
        <v>30</v>
      </c>
      <c r="I81" s="654">
        <v>0.2</v>
      </c>
      <c r="J81" s="654"/>
      <c r="K81" s="654"/>
      <c r="L81" s="191" t="s">
        <v>28</v>
      </c>
      <c r="M81" s="654">
        <v>0</v>
      </c>
      <c r="N81" s="654"/>
      <c r="O81" s="654"/>
      <c r="P81" s="191" t="s">
        <v>28</v>
      </c>
      <c r="Q81" s="654">
        <v>0</v>
      </c>
      <c r="R81" s="654"/>
      <c r="S81" s="654"/>
      <c r="T81" s="191" t="s">
        <v>28</v>
      </c>
      <c r="U81" s="654">
        <v>0</v>
      </c>
      <c r="V81" s="654"/>
      <c r="W81" s="654"/>
      <c r="X81" s="191" t="s">
        <v>31</v>
      </c>
      <c r="Y81" s="191" t="s">
        <v>28</v>
      </c>
      <c r="Z81" s="650">
        <v>2.6</v>
      </c>
      <c r="AA81" s="650"/>
      <c r="AB81" s="651"/>
      <c r="AC81" s="601"/>
      <c r="AD81" s="601"/>
      <c r="AE81" s="601"/>
      <c r="AF81" s="601"/>
      <c r="AG81" s="601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3.5" hidden="1" customHeight="1" thickBot="1" x14ac:dyDescent="0.25">
      <c r="A82" s="652"/>
      <c r="B82" s="653"/>
      <c r="C82" s="653"/>
      <c r="D82" s="653"/>
      <c r="E82" s="653"/>
      <c r="F82" s="653"/>
      <c r="G82" s="653"/>
      <c r="H82" s="202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4"/>
      <c r="AA82" s="204"/>
      <c r="AB82" s="205"/>
      <c r="AC82" s="601"/>
      <c r="AD82" s="601"/>
      <c r="AE82" s="601"/>
      <c r="AF82" s="601"/>
      <c r="AG82" s="601"/>
      <c r="AH82" s="656"/>
      <c r="AI82" s="656"/>
      <c r="AJ82" s="656"/>
      <c r="AK82" s="656"/>
      <c r="AL82" s="656"/>
      <c r="AM82" s="656"/>
      <c r="AN82" s="656"/>
      <c r="AO82" s="656"/>
      <c r="AP82" s="656"/>
      <c r="AQ82" s="656"/>
      <c r="AR82" s="656"/>
      <c r="AS82" s="664"/>
      <c r="AT82" s="664"/>
      <c r="AU82" s="664"/>
      <c r="AV82" s="664"/>
      <c r="AW82" s="664"/>
      <c r="AX82" s="656"/>
      <c r="AY82" s="656"/>
      <c r="AZ82" s="656"/>
      <c r="BA82" s="656"/>
      <c r="BB82" s="657"/>
    </row>
    <row r="83" spans="1:54" ht="11.25" customHeight="1" x14ac:dyDescent="0.2">
      <c r="R83" s="169" t="s">
        <v>18</v>
      </c>
      <c r="S83" s="170"/>
      <c r="T83" s="170"/>
      <c r="U83" s="171"/>
      <c r="V83" s="171"/>
      <c r="W83" s="171"/>
      <c r="X83" s="171"/>
      <c r="Y83" s="171"/>
      <c r="Z83" s="171"/>
      <c r="AA83" s="171"/>
      <c r="AB83" s="171"/>
      <c r="AC83" s="171"/>
      <c r="AD83" s="171" t="s">
        <v>19</v>
      </c>
      <c r="AE83" s="171" t="s">
        <v>20</v>
      </c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2"/>
      <c r="AS83" s="453">
        <f>AX83/U12</f>
        <v>540.79999999999995</v>
      </c>
      <c r="AT83" s="453"/>
      <c r="AU83" s="453"/>
      <c r="AV83" s="453"/>
      <c r="AW83" s="453"/>
      <c r="AX83" s="453">
        <f>SUM(AX58:BB82)</f>
        <v>9734.4</v>
      </c>
      <c r="AY83" s="453"/>
      <c r="AZ83" s="453"/>
      <c r="BA83" s="453"/>
      <c r="BB83" s="454"/>
    </row>
    <row r="84" spans="1:54" ht="11.25" customHeight="1" thickBot="1" x14ac:dyDescent="0.25">
      <c r="R84" s="175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 t="s">
        <v>19</v>
      </c>
      <c r="AE84" s="176" t="s">
        <v>21</v>
      </c>
      <c r="AF84" s="176"/>
      <c r="AG84" s="176"/>
      <c r="AH84" s="176"/>
      <c r="AI84" s="176"/>
      <c r="AJ84" s="176"/>
      <c r="AK84" s="176"/>
      <c r="AL84" s="176"/>
      <c r="AM84" s="176"/>
      <c r="AN84" s="176"/>
      <c r="AO84" s="630">
        <v>0.30199999999999999</v>
      </c>
      <c r="AP84" s="631"/>
      <c r="AQ84" s="631"/>
      <c r="AR84" s="632"/>
      <c r="AS84" s="463">
        <f>AX84/U12</f>
        <v>163.32159999999999</v>
      </c>
      <c r="AT84" s="463"/>
      <c r="AU84" s="463"/>
      <c r="AV84" s="463"/>
      <c r="AW84" s="463"/>
      <c r="AX84" s="463">
        <f>AX83*AO84</f>
        <v>2939.7887999999998</v>
      </c>
      <c r="AY84" s="463"/>
      <c r="AZ84" s="463"/>
      <c r="BA84" s="463"/>
      <c r="BB84" s="633"/>
    </row>
    <row r="85" spans="1:54" ht="11.25" customHeight="1" thickBot="1" x14ac:dyDescent="0.25">
      <c r="M85" s="164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206"/>
      <c r="AP85" s="352"/>
      <c r="AQ85" s="352"/>
      <c r="AR85" s="352"/>
      <c r="AS85" s="351"/>
      <c r="AT85" s="351"/>
      <c r="AU85" s="351"/>
      <c r="AV85" s="351"/>
      <c r="AW85" s="351"/>
      <c r="AX85" s="351"/>
      <c r="AY85" s="351"/>
      <c r="AZ85" s="351"/>
      <c r="BA85" s="351"/>
      <c r="BB85" s="351"/>
    </row>
    <row r="86" spans="1:54" ht="12" customHeight="1" x14ac:dyDescent="0.2">
      <c r="A86" s="634" t="s">
        <v>32</v>
      </c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34"/>
      <c r="O86" s="635" t="s">
        <v>33</v>
      </c>
      <c r="P86" s="636"/>
      <c r="Q86" s="636"/>
      <c r="R86" s="636"/>
      <c r="S86" s="636"/>
      <c r="T86" s="636"/>
      <c r="U86" s="636"/>
      <c r="V86" s="636"/>
      <c r="W86" s="636"/>
      <c r="X86" s="636"/>
      <c r="Y86" s="636"/>
      <c r="Z86" s="636"/>
      <c r="AA86" s="636"/>
      <c r="AB86" s="636"/>
      <c r="AC86" s="636"/>
      <c r="AD86" s="636"/>
      <c r="AE86" s="636"/>
      <c r="AF86" s="636"/>
      <c r="AG86" s="636"/>
      <c r="AH86" s="636"/>
      <c r="AI86" s="636"/>
      <c r="AJ86" s="636"/>
      <c r="AK86" s="636"/>
      <c r="AL86" s="636"/>
      <c r="AM86" s="636"/>
      <c r="AN86" s="636"/>
      <c r="AO86" s="637">
        <f>AS34+AS51+AS83</f>
        <v>648.95999999999992</v>
      </c>
      <c r="AP86" s="637"/>
      <c r="AQ86" s="637"/>
      <c r="AR86" s="637"/>
      <c r="AS86" s="637"/>
      <c r="AT86" s="637"/>
      <c r="AU86" s="637"/>
      <c r="AV86" s="637">
        <f>AX34+AX51+AX83</f>
        <v>11681.279999999999</v>
      </c>
      <c r="AW86" s="637"/>
      <c r="AX86" s="637"/>
      <c r="AY86" s="637"/>
      <c r="AZ86" s="637"/>
      <c r="BA86" s="637"/>
      <c r="BB86" s="638"/>
    </row>
    <row r="87" spans="1:54" ht="12" customHeight="1" thickBot="1" x14ac:dyDescent="0.25">
      <c r="M87" s="163"/>
      <c r="O87" s="643" t="s">
        <v>34</v>
      </c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4"/>
      <c r="AI87" s="644"/>
      <c r="AJ87" s="644"/>
      <c r="AK87" s="644"/>
      <c r="AL87" s="644"/>
      <c r="AM87" s="644"/>
      <c r="AN87" s="644"/>
      <c r="AO87" s="645">
        <f>AS35+AS52+AS84</f>
        <v>195.98591999999999</v>
      </c>
      <c r="AP87" s="645"/>
      <c r="AQ87" s="645"/>
      <c r="AR87" s="645"/>
      <c r="AS87" s="645"/>
      <c r="AT87" s="645"/>
      <c r="AU87" s="645"/>
      <c r="AV87" s="645">
        <f>AX35+AX52+AX84</f>
        <v>3527.7465599999996</v>
      </c>
      <c r="AW87" s="645"/>
      <c r="AX87" s="645"/>
      <c r="AY87" s="645"/>
      <c r="AZ87" s="645"/>
      <c r="BA87" s="645"/>
      <c r="BB87" s="646"/>
    </row>
    <row r="88" spans="1:54" ht="12" customHeight="1" thickBot="1" x14ac:dyDescent="0.25">
      <c r="M88" s="208" t="s">
        <v>35</v>
      </c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10"/>
      <c r="AO88" s="647">
        <f>AO87+AO86</f>
        <v>844.94591999999989</v>
      </c>
      <c r="AP88" s="648"/>
      <c r="AQ88" s="648"/>
      <c r="AR88" s="648"/>
      <c r="AS88" s="648"/>
      <c r="AT88" s="648"/>
      <c r="AU88" s="648"/>
      <c r="AV88" s="648">
        <f>AV86+AV87</f>
        <v>15209.026559999998</v>
      </c>
      <c r="AW88" s="648"/>
      <c r="AX88" s="648"/>
      <c r="AY88" s="648"/>
      <c r="AZ88" s="648"/>
      <c r="BA88" s="648"/>
      <c r="BB88" s="649"/>
    </row>
    <row r="89" spans="1:54" ht="10.5" customHeight="1" x14ac:dyDescent="0.2"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</row>
    <row r="90" spans="1:54" s="159" customFormat="1" ht="15" customHeight="1" x14ac:dyDescent="0.2">
      <c r="A90" s="159" t="s">
        <v>36</v>
      </c>
      <c r="C90" s="159" t="s">
        <v>37</v>
      </c>
      <c r="AX90" s="160"/>
      <c r="AY90" s="160"/>
      <c r="AZ90" s="160"/>
      <c r="BA90" s="160"/>
      <c r="BB90" s="160"/>
    </row>
    <row r="91" spans="1:54" ht="12" customHeight="1" thickBot="1" x14ac:dyDescent="0.25"/>
    <row r="92" spans="1:54" s="163" customFormat="1" ht="39" customHeight="1" x14ac:dyDescent="0.2">
      <c r="A92" s="499" t="s">
        <v>38</v>
      </c>
      <c r="B92" s="500"/>
      <c r="C92" s="500"/>
      <c r="D92" s="500"/>
      <c r="E92" s="500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35" t="s">
        <v>39</v>
      </c>
      <c r="R92" s="535"/>
      <c r="S92" s="535"/>
      <c r="T92" s="535"/>
      <c r="U92" s="535"/>
      <c r="V92" s="535"/>
      <c r="W92" s="535"/>
      <c r="X92" s="535" t="s">
        <v>40</v>
      </c>
      <c r="Y92" s="535"/>
      <c r="Z92" s="535"/>
      <c r="AA92" s="535"/>
      <c r="AB92" s="535"/>
      <c r="AC92" s="535"/>
      <c r="AD92" s="535"/>
      <c r="AE92" s="535" t="s">
        <v>41</v>
      </c>
      <c r="AF92" s="535"/>
      <c r="AG92" s="535"/>
      <c r="AH92" s="535"/>
      <c r="AI92" s="535"/>
      <c r="AJ92" s="535"/>
      <c r="AK92" s="535"/>
      <c r="AL92" s="535"/>
      <c r="AM92" s="500" t="s">
        <v>42</v>
      </c>
      <c r="AN92" s="500"/>
      <c r="AO92" s="500"/>
      <c r="AP92" s="500"/>
      <c r="AQ92" s="500"/>
      <c r="AR92" s="500"/>
      <c r="AS92" s="500"/>
      <c r="AT92" s="500"/>
      <c r="AU92" s="500"/>
      <c r="AV92" s="500" t="s">
        <v>43</v>
      </c>
      <c r="AW92" s="500"/>
      <c r="AX92" s="500"/>
      <c r="AY92" s="500"/>
      <c r="AZ92" s="500"/>
      <c r="BA92" s="500"/>
      <c r="BB92" s="639"/>
    </row>
    <row r="93" spans="1:54" s="163" customFormat="1" ht="12" customHeight="1" thickBot="1" x14ac:dyDescent="0.25">
      <c r="A93" s="640">
        <v>1</v>
      </c>
      <c r="B93" s="641"/>
      <c r="C93" s="641"/>
      <c r="D93" s="641"/>
      <c r="E93" s="641"/>
      <c r="F93" s="641"/>
      <c r="G93" s="641"/>
      <c r="H93" s="641"/>
      <c r="I93" s="641"/>
      <c r="J93" s="641"/>
      <c r="K93" s="641"/>
      <c r="L93" s="641"/>
      <c r="M93" s="641"/>
      <c r="N93" s="641"/>
      <c r="O93" s="641"/>
      <c r="P93" s="641"/>
      <c r="Q93" s="641">
        <v>2</v>
      </c>
      <c r="R93" s="641"/>
      <c r="S93" s="641"/>
      <c r="T93" s="641"/>
      <c r="U93" s="641"/>
      <c r="V93" s="641"/>
      <c r="W93" s="641"/>
      <c r="X93" s="641">
        <v>3</v>
      </c>
      <c r="Y93" s="641"/>
      <c r="Z93" s="641"/>
      <c r="AA93" s="641"/>
      <c r="AB93" s="641"/>
      <c r="AC93" s="641"/>
      <c r="AD93" s="641"/>
      <c r="AE93" s="641">
        <v>4</v>
      </c>
      <c r="AF93" s="641"/>
      <c r="AG93" s="641"/>
      <c r="AH93" s="641"/>
      <c r="AI93" s="641"/>
      <c r="AJ93" s="641"/>
      <c r="AK93" s="641"/>
      <c r="AL93" s="641"/>
      <c r="AM93" s="641">
        <v>5</v>
      </c>
      <c r="AN93" s="641"/>
      <c r="AO93" s="641"/>
      <c r="AP93" s="641"/>
      <c r="AQ93" s="641"/>
      <c r="AR93" s="641"/>
      <c r="AS93" s="641"/>
      <c r="AT93" s="641"/>
      <c r="AU93" s="641"/>
      <c r="AV93" s="641">
        <v>6</v>
      </c>
      <c r="AW93" s="641"/>
      <c r="AX93" s="641"/>
      <c r="AY93" s="641"/>
      <c r="AZ93" s="641"/>
      <c r="BA93" s="641"/>
      <c r="BB93" s="642"/>
    </row>
    <row r="94" spans="1:54" ht="15" customHeight="1" x14ac:dyDescent="0.2">
      <c r="A94" s="618" t="s">
        <v>44</v>
      </c>
      <c r="B94" s="619"/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9"/>
      <c r="Q94" s="572">
        <v>5014.7</v>
      </c>
      <c r="R94" s="573"/>
      <c r="S94" s="573"/>
      <c r="T94" s="573"/>
      <c r="U94" s="573"/>
      <c r="V94" s="573"/>
      <c r="W94" s="574"/>
      <c r="X94" s="572">
        <v>53.8</v>
      </c>
      <c r="Y94" s="573"/>
      <c r="Z94" s="573"/>
      <c r="AA94" s="573"/>
      <c r="AB94" s="573"/>
      <c r="AC94" s="573"/>
      <c r="AD94" s="574"/>
      <c r="AE94" s="477">
        <v>1312893.28</v>
      </c>
      <c r="AF94" s="477"/>
      <c r="AG94" s="477"/>
      <c r="AH94" s="477"/>
      <c r="AI94" s="477"/>
      <c r="AJ94" s="477"/>
      <c r="AK94" s="477"/>
      <c r="AL94" s="477"/>
      <c r="AM94" s="620" t="s">
        <v>45</v>
      </c>
      <c r="AN94" s="621"/>
      <c r="AO94" s="621"/>
      <c r="AP94" s="621"/>
      <c r="AQ94" s="621"/>
      <c r="AR94" s="621"/>
      <c r="AS94" s="621"/>
      <c r="AT94" s="621"/>
      <c r="AU94" s="622"/>
      <c r="AV94" s="615">
        <f>AE94/$Q$94*$X$94/($AN$95*$AN$96)</f>
        <v>4.7521325403179695</v>
      </c>
      <c r="AW94" s="615"/>
      <c r="AX94" s="615"/>
      <c r="AY94" s="615"/>
      <c r="AZ94" s="615"/>
      <c r="BA94" s="615"/>
      <c r="BB94" s="616"/>
    </row>
    <row r="95" spans="1:54" ht="15" customHeight="1" x14ac:dyDescent="0.2">
      <c r="A95" s="618" t="s">
        <v>46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/>
      <c r="R95" s="573"/>
      <c r="S95" s="573"/>
      <c r="T95" s="573"/>
      <c r="U95" s="573"/>
      <c r="V95" s="573"/>
      <c r="W95" s="574"/>
      <c r="X95" s="572"/>
      <c r="Y95" s="573"/>
      <c r="Z95" s="573"/>
      <c r="AA95" s="573"/>
      <c r="AB95" s="573"/>
      <c r="AC95" s="573"/>
      <c r="AD95" s="574"/>
      <c r="AE95" s="529">
        <v>2160860.7999999998</v>
      </c>
      <c r="AF95" s="529"/>
      <c r="AG95" s="529"/>
      <c r="AH95" s="529"/>
      <c r="AI95" s="529"/>
      <c r="AJ95" s="529"/>
      <c r="AK95" s="529"/>
      <c r="AL95" s="529"/>
      <c r="AM95" s="213"/>
      <c r="AN95" s="623">
        <v>247</v>
      </c>
      <c r="AO95" s="623"/>
      <c r="AP95" s="623"/>
      <c r="AQ95" s="617" t="s">
        <v>47</v>
      </c>
      <c r="AR95" s="617"/>
      <c r="AS95" s="617"/>
      <c r="AT95" s="617"/>
      <c r="AU95" s="214"/>
      <c r="AV95" s="615">
        <f>AE95/$Q$94*$X$94/($AN$95*$AN$96)</f>
        <v>7.8214254571990187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449" t="s">
        <v>48</v>
      </c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  <c r="M96" s="450"/>
      <c r="N96" s="450"/>
      <c r="O96" s="450"/>
      <c r="P96" s="451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529">
        <v>2993420.26</v>
      </c>
      <c r="AF96" s="529"/>
      <c r="AG96" s="529"/>
      <c r="AH96" s="529"/>
      <c r="AI96" s="529"/>
      <c r="AJ96" s="529"/>
      <c r="AK96" s="529"/>
      <c r="AL96" s="529"/>
      <c r="AM96" s="213"/>
      <c r="AN96" s="562">
        <v>12</v>
      </c>
      <c r="AO96" s="562"/>
      <c r="AP96" s="562"/>
      <c r="AQ96" s="617" t="s">
        <v>49</v>
      </c>
      <c r="AR96" s="617"/>
      <c r="AS96" s="617"/>
      <c r="AT96" s="617"/>
      <c r="AU96" s="214"/>
      <c r="AV96" s="615">
        <f>AE96/$Q$94*$X$94/($AN$95*$AN$96)</f>
        <v>10.834947547597375</v>
      </c>
      <c r="AW96" s="615"/>
      <c r="AX96" s="615"/>
      <c r="AY96" s="615"/>
      <c r="AZ96" s="615"/>
      <c r="BA96" s="615"/>
      <c r="BB96" s="616"/>
    </row>
    <row r="97" spans="1:57" ht="15" customHeight="1" thickBot="1" x14ac:dyDescent="0.25">
      <c r="A97" s="624" t="s">
        <v>50</v>
      </c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6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627">
        <f>572353.29+691118.78</f>
        <v>1263472.07</v>
      </c>
      <c r="AF97" s="627"/>
      <c r="AG97" s="627"/>
      <c r="AH97" s="627"/>
      <c r="AI97" s="627"/>
      <c r="AJ97" s="627"/>
      <c r="AK97" s="627"/>
      <c r="AL97" s="627"/>
      <c r="AM97" s="213"/>
      <c r="AN97" s="186"/>
      <c r="AO97" s="186"/>
      <c r="AP97" s="186"/>
      <c r="AQ97" s="186"/>
      <c r="AR97" s="186"/>
      <c r="AS97" s="186"/>
      <c r="AT97" s="186"/>
      <c r="AU97" s="214"/>
      <c r="AV97" s="628">
        <f>AE97/$Q$94*$X$94/($AN$95*$AN$96)</f>
        <v>4.5732481299850232</v>
      </c>
      <c r="AW97" s="628"/>
      <c r="AX97" s="628"/>
      <c r="AY97" s="628"/>
      <c r="AZ97" s="628"/>
      <c r="BA97" s="628"/>
      <c r="BB97" s="629"/>
    </row>
    <row r="98" spans="1:57" s="161" customFormat="1" ht="15" customHeight="1" thickBot="1" x14ac:dyDescent="0.25">
      <c r="A98" s="610" t="s">
        <v>51</v>
      </c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531">
        <f>Q94</f>
        <v>5014.7</v>
      </c>
      <c r="R98" s="533"/>
      <c r="S98" s="533"/>
      <c r="T98" s="533"/>
      <c r="U98" s="533"/>
      <c r="V98" s="533"/>
      <c r="W98" s="534"/>
      <c r="X98" s="531">
        <f>X94</f>
        <v>53.8</v>
      </c>
      <c r="Y98" s="533"/>
      <c r="Z98" s="533"/>
      <c r="AA98" s="533"/>
      <c r="AB98" s="533"/>
      <c r="AC98" s="533"/>
      <c r="AD98" s="534"/>
      <c r="AE98" s="612">
        <f>SUM(AE94:AL97)</f>
        <v>7730646.4100000001</v>
      </c>
      <c r="AF98" s="612"/>
      <c r="AG98" s="612"/>
      <c r="AH98" s="612"/>
      <c r="AI98" s="612"/>
      <c r="AJ98" s="612"/>
      <c r="AK98" s="612"/>
      <c r="AL98" s="612"/>
      <c r="AM98" s="531" t="s">
        <v>17</v>
      </c>
      <c r="AN98" s="533"/>
      <c r="AO98" s="533"/>
      <c r="AP98" s="533"/>
      <c r="AQ98" s="533"/>
      <c r="AR98" s="533"/>
      <c r="AS98" s="533"/>
      <c r="AT98" s="533"/>
      <c r="AU98" s="534"/>
      <c r="AV98" s="613">
        <f>SUM(AV94:BB97)</f>
        <v>27.981753675099391</v>
      </c>
      <c r="AW98" s="613"/>
      <c r="AX98" s="613"/>
      <c r="AY98" s="613"/>
      <c r="AZ98" s="613"/>
      <c r="BA98" s="613"/>
      <c r="BB98" s="614"/>
    </row>
    <row r="99" spans="1:57" ht="12" customHeight="1" x14ac:dyDescent="0.2"/>
    <row r="100" spans="1:57" s="159" customFormat="1" ht="15" customHeight="1" x14ac:dyDescent="0.2">
      <c r="A100" s="159" t="s">
        <v>52</v>
      </c>
      <c r="C100" s="159" t="s">
        <v>53</v>
      </c>
      <c r="AX100" s="160"/>
      <c r="AY100" s="160"/>
      <c r="AZ100" s="160"/>
      <c r="BA100" s="160"/>
      <c r="BB100" s="160"/>
    </row>
    <row r="101" spans="1:57" ht="12" customHeight="1" thickBot="1" x14ac:dyDescent="0.25"/>
    <row r="102" spans="1:57" ht="39" customHeight="1" thickBot="1" x14ac:dyDescent="0.25">
      <c r="A102" s="687" t="s">
        <v>54</v>
      </c>
      <c r="B102" s="688"/>
      <c r="C102" s="688"/>
      <c r="D102" s="688"/>
      <c r="E102" s="688"/>
      <c r="F102" s="688"/>
      <c r="G102" s="688"/>
      <c r="H102" s="688"/>
      <c r="I102" s="688"/>
      <c r="J102" s="688"/>
      <c r="K102" s="688"/>
      <c r="L102" s="688"/>
      <c r="M102" s="688"/>
      <c r="N102" s="688"/>
      <c r="O102" s="688"/>
      <c r="P102" s="688"/>
      <c r="Q102" s="688"/>
      <c r="R102" s="688"/>
      <c r="S102" s="688"/>
      <c r="T102" s="688"/>
      <c r="U102" s="688"/>
      <c r="V102" s="688"/>
      <c r="W102" s="688"/>
      <c r="X102" s="688"/>
      <c r="Y102" s="688"/>
      <c r="Z102" s="689"/>
      <c r="AA102" s="671" t="s">
        <v>55</v>
      </c>
      <c r="AB102" s="672"/>
      <c r="AC102" s="672"/>
      <c r="AD102" s="672"/>
      <c r="AE102" s="672"/>
      <c r="AF102" s="699"/>
      <c r="AG102" s="671" t="s">
        <v>56</v>
      </c>
      <c r="AH102" s="672"/>
      <c r="AI102" s="672"/>
      <c r="AJ102" s="672"/>
      <c r="AK102" s="672"/>
      <c r="AL102" s="699"/>
      <c r="AM102" s="696" t="s">
        <v>57</v>
      </c>
      <c r="AN102" s="688"/>
      <c r="AO102" s="688"/>
      <c r="AP102" s="688"/>
      <c r="AQ102" s="688"/>
      <c r="AR102" s="688"/>
      <c r="AS102" s="688"/>
      <c r="AT102" s="689"/>
      <c r="AU102" s="696" t="s">
        <v>43</v>
      </c>
      <c r="AV102" s="688"/>
      <c r="AW102" s="688"/>
      <c r="AX102" s="688"/>
      <c r="AY102" s="688"/>
      <c r="AZ102" s="688"/>
      <c r="BA102" s="688"/>
      <c r="BB102" s="852"/>
    </row>
    <row r="103" spans="1:57" ht="15.75" customHeight="1" thickBot="1" x14ac:dyDescent="0.25">
      <c r="A103" s="532">
        <v>1</v>
      </c>
      <c r="B103" s="533"/>
      <c r="C103" s="533"/>
      <c r="D103" s="533"/>
      <c r="E103" s="533"/>
      <c r="F103" s="533"/>
      <c r="G103" s="533"/>
      <c r="H103" s="533"/>
      <c r="I103" s="533"/>
      <c r="J103" s="533"/>
      <c r="K103" s="533"/>
      <c r="L103" s="533"/>
      <c r="M103" s="533"/>
      <c r="N103" s="533"/>
      <c r="O103" s="533"/>
      <c r="P103" s="533"/>
      <c r="Q103" s="533"/>
      <c r="R103" s="533"/>
      <c r="S103" s="533"/>
      <c r="T103" s="533"/>
      <c r="U103" s="533"/>
      <c r="V103" s="533"/>
      <c r="W103" s="533"/>
      <c r="X103" s="533"/>
      <c r="Y103" s="533"/>
      <c r="Z103" s="534"/>
      <c r="AA103" s="531">
        <v>2</v>
      </c>
      <c r="AB103" s="533"/>
      <c r="AC103" s="533"/>
      <c r="AD103" s="533"/>
      <c r="AE103" s="533"/>
      <c r="AF103" s="534"/>
      <c r="AG103" s="531">
        <v>3</v>
      </c>
      <c r="AH103" s="533"/>
      <c r="AI103" s="533"/>
      <c r="AJ103" s="533"/>
      <c r="AK103" s="533"/>
      <c r="AL103" s="534"/>
      <c r="AM103" s="531">
        <v>4</v>
      </c>
      <c r="AN103" s="533"/>
      <c r="AO103" s="533"/>
      <c r="AP103" s="533"/>
      <c r="AQ103" s="533"/>
      <c r="AR103" s="533"/>
      <c r="AS103" s="533"/>
      <c r="AT103" s="534"/>
      <c r="AU103" s="531">
        <v>5</v>
      </c>
      <c r="AV103" s="533"/>
      <c r="AW103" s="533"/>
      <c r="AX103" s="533"/>
      <c r="AY103" s="533"/>
      <c r="AZ103" s="533"/>
      <c r="BA103" s="533"/>
      <c r="BB103" s="680"/>
    </row>
    <row r="104" spans="1:57" ht="18.75" customHeight="1" x14ac:dyDescent="0.2">
      <c r="A104" s="856" t="s">
        <v>90</v>
      </c>
      <c r="B104" s="857"/>
      <c r="C104" s="857"/>
      <c r="D104" s="857"/>
      <c r="E104" s="857"/>
      <c r="F104" s="857"/>
      <c r="G104" s="857"/>
      <c r="H104" s="857"/>
      <c r="I104" s="857"/>
      <c r="J104" s="857"/>
      <c r="K104" s="857"/>
      <c r="L104" s="857"/>
      <c r="M104" s="857"/>
      <c r="N104" s="857"/>
      <c r="O104" s="857"/>
      <c r="P104" s="857"/>
      <c r="Q104" s="857"/>
      <c r="R104" s="857"/>
      <c r="S104" s="857"/>
      <c r="T104" s="857"/>
      <c r="U104" s="857"/>
      <c r="V104" s="857"/>
      <c r="W104" s="857"/>
      <c r="X104" s="857"/>
      <c r="Y104" s="857"/>
      <c r="Z104" s="858"/>
      <c r="AA104" s="604">
        <v>300</v>
      </c>
      <c r="AB104" s="605"/>
      <c r="AC104" s="605"/>
      <c r="AD104" s="605"/>
      <c r="AE104" s="605"/>
      <c r="AF104" s="606"/>
      <c r="AG104" s="569">
        <f>U12</f>
        <v>18</v>
      </c>
      <c r="AH104" s="570"/>
      <c r="AI104" s="570"/>
      <c r="AJ104" s="570"/>
      <c r="AK104" s="570"/>
      <c r="AL104" s="571"/>
      <c r="AM104" s="569" t="s">
        <v>58</v>
      </c>
      <c r="AN104" s="570"/>
      <c r="AO104" s="570"/>
      <c r="AP104" s="570"/>
      <c r="AQ104" s="570"/>
      <c r="AR104" s="570"/>
      <c r="AS104" s="570"/>
      <c r="AT104" s="571"/>
      <c r="AU104" s="607">
        <f>AA104/AG104</f>
        <v>16.666666666666668</v>
      </c>
      <c r="AV104" s="608"/>
      <c r="AW104" s="608"/>
      <c r="AX104" s="608"/>
      <c r="AY104" s="608"/>
      <c r="AZ104" s="608"/>
      <c r="BA104" s="608"/>
      <c r="BB104" s="609"/>
    </row>
    <row r="105" spans="1:57" ht="20.25" customHeight="1" x14ac:dyDescent="0.2">
      <c r="A105" s="853" t="s">
        <v>610</v>
      </c>
      <c r="B105" s="854"/>
      <c r="C105" s="854"/>
      <c r="D105" s="854"/>
      <c r="E105" s="854"/>
      <c r="F105" s="854"/>
      <c r="G105" s="854"/>
      <c r="H105" s="854"/>
      <c r="I105" s="854"/>
      <c r="J105" s="854"/>
      <c r="K105" s="854"/>
      <c r="L105" s="854"/>
      <c r="M105" s="854"/>
      <c r="N105" s="854"/>
      <c r="O105" s="854"/>
      <c r="P105" s="854"/>
      <c r="Q105" s="854"/>
      <c r="R105" s="854"/>
      <c r="S105" s="854"/>
      <c r="T105" s="854"/>
      <c r="U105" s="854"/>
      <c r="V105" s="854"/>
      <c r="W105" s="854"/>
      <c r="X105" s="854"/>
      <c r="Y105" s="854"/>
      <c r="Z105" s="855"/>
      <c r="AA105" s="596">
        <v>25</v>
      </c>
      <c r="AB105" s="597"/>
      <c r="AC105" s="597"/>
      <c r="AD105" s="597"/>
      <c r="AE105" s="597"/>
      <c r="AF105" s="59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590">
        <f>AA105/AG104</f>
        <v>1.3888888888888888</v>
      </c>
      <c r="AV105" s="591"/>
      <c r="AW105" s="591"/>
      <c r="AX105" s="591"/>
      <c r="AY105" s="591"/>
      <c r="AZ105" s="591"/>
      <c r="BA105" s="591"/>
      <c r="BB105" s="592"/>
    </row>
    <row r="106" spans="1:57" ht="20.25" customHeight="1" x14ac:dyDescent="0.2">
      <c r="A106" s="853" t="s">
        <v>105</v>
      </c>
      <c r="B106" s="854"/>
      <c r="C106" s="854"/>
      <c r="D106" s="854"/>
      <c r="E106" s="854"/>
      <c r="F106" s="854"/>
      <c r="G106" s="854"/>
      <c r="H106" s="854"/>
      <c r="I106" s="854"/>
      <c r="J106" s="854"/>
      <c r="K106" s="854"/>
      <c r="L106" s="854"/>
      <c r="M106" s="854"/>
      <c r="N106" s="854"/>
      <c r="O106" s="854"/>
      <c r="P106" s="854"/>
      <c r="Q106" s="854"/>
      <c r="R106" s="854"/>
      <c r="S106" s="854"/>
      <c r="T106" s="854"/>
      <c r="U106" s="854"/>
      <c r="V106" s="854"/>
      <c r="W106" s="854"/>
      <c r="X106" s="854"/>
      <c r="Y106" s="854"/>
      <c r="Z106" s="855"/>
      <c r="AA106" s="596">
        <v>100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AA106/AG104</f>
        <v>5.5555555555555554</v>
      </c>
      <c r="AV106" s="591"/>
      <c r="AW106" s="591"/>
      <c r="AX106" s="591"/>
      <c r="AY106" s="591"/>
      <c r="AZ106" s="591"/>
      <c r="BA106" s="591"/>
      <c r="BB106" s="592"/>
      <c r="BE106" s="117">
        <f>AU106*12*4</f>
        <v>266.66666666666663</v>
      </c>
    </row>
    <row r="107" spans="1:57" ht="22.5" customHeight="1" x14ac:dyDescent="0.2">
      <c r="A107" s="853" t="s">
        <v>522</v>
      </c>
      <c r="B107" s="854"/>
      <c r="C107" s="854"/>
      <c r="D107" s="854"/>
      <c r="E107" s="854"/>
      <c r="F107" s="854"/>
      <c r="G107" s="854"/>
      <c r="H107" s="854"/>
      <c r="I107" s="854"/>
      <c r="J107" s="854"/>
      <c r="K107" s="854"/>
      <c r="L107" s="854"/>
      <c r="M107" s="854"/>
      <c r="N107" s="854"/>
      <c r="O107" s="854"/>
      <c r="P107" s="854"/>
      <c r="Q107" s="854"/>
      <c r="R107" s="854"/>
      <c r="S107" s="854"/>
      <c r="T107" s="854"/>
      <c r="U107" s="854"/>
      <c r="V107" s="854"/>
      <c r="W107" s="854"/>
      <c r="X107" s="854"/>
      <c r="Y107" s="854"/>
      <c r="Z107" s="855"/>
      <c r="AA107" s="596">
        <v>30</v>
      </c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AA107/AG104</f>
        <v>1.6666666666666667</v>
      </c>
      <c r="AV107" s="591"/>
      <c r="AW107" s="591"/>
      <c r="AX107" s="591"/>
      <c r="AY107" s="591"/>
      <c r="AZ107" s="591"/>
      <c r="BA107" s="591"/>
      <c r="BB107" s="592"/>
    </row>
    <row r="108" spans="1:57" ht="26.25" customHeight="1" x14ac:dyDescent="0.2">
      <c r="A108" s="833" t="s">
        <v>100</v>
      </c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3"/>
      <c r="AA108" s="596">
        <v>500</v>
      </c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>
        <f>AA108/AG104</f>
        <v>27.777777777777779</v>
      </c>
      <c r="AV108" s="591"/>
      <c r="AW108" s="591"/>
      <c r="AX108" s="591"/>
      <c r="AY108" s="591"/>
      <c r="AZ108" s="591"/>
      <c r="BA108" s="591"/>
      <c r="BB108" s="592"/>
    </row>
    <row r="109" spans="1:57" ht="26.25" customHeight="1" x14ac:dyDescent="0.2">
      <c r="A109" s="833" t="s">
        <v>611</v>
      </c>
      <c r="B109" s="862"/>
      <c r="C109" s="862"/>
      <c r="D109" s="862"/>
      <c r="E109" s="862"/>
      <c r="F109" s="862"/>
      <c r="G109" s="862"/>
      <c r="H109" s="862"/>
      <c r="I109" s="862"/>
      <c r="J109" s="862"/>
      <c r="K109" s="862"/>
      <c r="L109" s="862"/>
      <c r="M109" s="862"/>
      <c r="N109" s="862"/>
      <c r="O109" s="862"/>
      <c r="P109" s="862"/>
      <c r="Q109" s="862"/>
      <c r="R109" s="862"/>
      <c r="S109" s="862"/>
      <c r="T109" s="862"/>
      <c r="U109" s="862"/>
      <c r="V109" s="862"/>
      <c r="W109" s="862"/>
      <c r="X109" s="862"/>
      <c r="Y109" s="862"/>
      <c r="Z109" s="863"/>
      <c r="AA109" s="596">
        <v>350</v>
      </c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590">
        <f>AA109/AG104</f>
        <v>19.444444444444443</v>
      </c>
      <c r="AV109" s="591"/>
      <c r="AW109" s="591"/>
      <c r="AX109" s="591"/>
      <c r="AY109" s="591"/>
      <c r="AZ109" s="591"/>
      <c r="BA109" s="591"/>
      <c r="BB109" s="592"/>
    </row>
    <row r="110" spans="1:57" ht="26.25" customHeight="1" x14ac:dyDescent="0.2">
      <c r="A110" s="833" t="s">
        <v>318</v>
      </c>
      <c r="B110" s="862"/>
      <c r="C110" s="862"/>
      <c r="D110" s="862"/>
      <c r="E110" s="862"/>
      <c r="F110" s="862"/>
      <c r="G110" s="862"/>
      <c r="H110" s="862"/>
      <c r="I110" s="862"/>
      <c r="J110" s="862"/>
      <c r="K110" s="862"/>
      <c r="L110" s="862"/>
      <c r="M110" s="862"/>
      <c r="N110" s="862"/>
      <c r="O110" s="862"/>
      <c r="P110" s="862"/>
      <c r="Q110" s="862"/>
      <c r="R110" s="862"/>
      <c r="S110" s="862"/>
      <c r="T110" s="862"/>
      <c r="U110" s="862"/>
      <c r="V110" s="862"/>
      <c r="W110" s="862"/>
      <c r="X110" s="862"/>
      <c r="Y110" s="862"/>
      <c r="Z110" s="863"/>
      <c r="AA110" s="596">
        <v>385.45</v>
      </c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590">
        <f>AA110/AG104</f>
        <v>21.413888888888888</v>
      </c>
      <c r="AV110" s="591"/>
      <c r="AW110" s="591"/>
      <c r="AX110" s="591"/>
      <c r="AY110" s="591"/>
      <c r="AZ110" s="591"/>
      <c r="BA110" s="591"/>
      <c r="BB110" s="592"/>
    </row>
    <row r="111" spans="1:57" ht="26.25" hidden="1" customHeight="1" x14ac:dyDescent="0.2">
      <c r="A111" s="449"/>
      <c r="B111" s="450"/>
      <c r="C111" s="450"/>
      <c r="D111" s="450"/>
      <c r="E111" s="450"/>
      <c r="F111" s="450"/>
      <c r="G111" s="450"/>
      <c r="H111" s="450"/>
      <c r="I111" s="450"/>
      <c r="J111" s="450"/>
      <c r="K111" s="450"/>
      <c r="L111" s="450"/>
      <c r="M111" s="450"/>
      <c r="N111" s="450"/>
      <c r="O111" s="450"/>
      <c r="P111" s="450"/>
      <c r="Q111" s="450"/>
      <c r="R111" s="450"/>
      <c r="S111" s="450"/>
      <c r="T111" s="450"/>
      <c r="U111" s="450"/>
      <c r="V111" s="450"/>
      <c r="W111" s="450"/>
      <c r="X111" s="450"/>
      <c r="Y111" s="450"/>
      <c r="Z111" s="451"/>
      <c r="AA111" s="596"/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AA111/AG104</f>
        <v>0</v>
      </c>
      <c r="AV111" s="591"/>
      <c r="AW111" s="591"/>
      <c r="AX111" s="591"/>
      <c r="AY111" s="591"/>
      <c r="AZ111" s="591"/>
      <c r="BA111" s="591"/>
      <c r="BB111" s="592"/>
    </row>
    <row r="112" spans="1:57" ht="26.25" hidden="1" customHeight="1" x14ac:dyDescent="0.2">
      <c r="A112" s="449"/>
      <c r="B112" s="450"/>
      <c r="C112" s="450"/>
      <c r="D112" s="450"/>
      <c r="E112" s="450"/>
      <c r="F112" s="450"/>
      <c r="G112" s="450"/>
      <c r="H112" s="450"/>
      <c r="I112" s="450"/>
      <c r="J112" s="450"/>
      <c r="K112" s="450"/>
      <c r="L112" s="450"/>
      <c r="M112" s="450"/>
      <c r="N112" s="450"/>
      <c r="O112" s="450"/>
      <c r="P112" s="450"/>
      <c r="Q112" s="450"/>
      <c r="R112" s="450"/>
      <c r="S112" s="450"/>
      <c r="T112" s="450"/>
      <c r="U112" s="450"/>
      <c r="V112" s="450"/>
      <c r="W112" s="450"/>
      <c r="X112" s="450"/>
      <c r="Y112" s="450"/>
      <c r="Z112" s="451"/>
      <c r="AA112" s="596"/>
      <c r="AB112" s="597"/>
      <c r="AC112" s="597"/>
      <c r="AD112" s="597"/>
      <c r="AE112" s="597"/>
      <c r="AF112" s="598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AA112/AG104</f>
        <v>0</v>
      </c>
      <c r="AV112" s="591"/>
      <c r="AW112" s="591"/>
      <c r="AX112" s="591"/>
      <c r="AY112" s="591"/>
      <c r="AZ112" s="591"/>
      <c r="BA112" s="591"/>
      <c r="BB112" s="592"/>
    </row>
    <row r="113" spans="1:54" ht="26.25" hidden="1" customHeight="1" x14ac:dyDescent="0.2">
      <c r="A113" s="449"/>
      <c r="B113" s="450"/>
      <c r="C113" s="450"/>
      <c r="D113" s="450"/>
      <c r="E113" s="450"/>
      <c r="F113" s="450"/>
      <c r="G113" s="450"/>
      <c r="H113" s="450"/>
      <c r="I113" s="450"/>
      <c r="J113" s="450"/>
      <c r="K113" s="450"/>
      <c r="L113" s="450"/>
      <c r="M113" s="450"/>
      <c r="N113" s="450"/>
      <c r="O113" s="450"/>
      <c r="P113" s="450"/>
      <c r="Q113" s="450"/>
      <c r="R113" s="450"/>
      <c r="S113" s="450"/>
      <c r="T113" s="450"/>
      <c r="U113" s="450"/>
      <c r="V113" s="450"/>
      <c r="W113" s="450"/>
      <c r="X113" s="450"/>
      <c r="Y113" s="450"/>
      <c r="Z113" s="451"/>
      <c r="AA113" s="596"/>
      <c r="AB113" s="597"/>
      <c r="AC113" s="597"/>
      <c r="AD113" s="597"/>
      <c r="AE113" s="597"/>
      <c r="AF113" s="598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AA113/AG104</f>
        <v>0</v>
      </c>
      <c r="AV113" s="591"/>
      <c r="AW113" s="591"/>
      <c r="AX113" s="591"/>
      <c r="AY113" s="591"/>
      <c r="AZ113" s="591"/>
      <c r="BA113" s="591"/>
      <c r="BB113" s="592"/>
    </row>
    <row r="114" spans="1:54" ht="19.5" hidden="1" customHeight="1" x14ac:dyDescent="0.2">
      <c r="A114" s="593"/>
      <c r="B114" s="594"/>
      <c r="C114" s="594"/>
      <c r="D114" s="594"/>
      <c r="E114" s="594"/>
      <c r="F114" s="594"/>
      <c r="G114" s="594"/>
      <c r="H114" s="594"/>
      <c r="I114" s="594"/>
      <c r="J114" s="594"/>
      <c r="K114" s="594"/>
      <c r="L114" s="594"/>
      <c r="M114" s="594"/>
      <c r="N114" s="594"/>
      <c r="O114" s="594"/>
      <c r="P114" s="594"/>
      <c r="Q114" s="594"/>
      <c r="R114" s="594"/>
      <c r="S114" s="594"/>
      <c r="T114" s="594"/>
      <c r="U114" s="594"/>
      <c r="V114" s="594"/>
      <c r="W114" s="594"/>
      <c r="X114" s="594"/>
      <c r="Y114" s="594"/>
      <c r="Z114" s="595"/>
      <c r="AA114" s="596"/>
      <c r="AB114" s="597"/>
      <c r="AC114" s="597"/>
      <c r="AD114" s="597"/>
      <c r="AE114" s="597"/>
      <c r="AF114" s="598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AA114/AG104</f>
        <v>0</v>
      </c>
      <c r="AV114" s="591"/>
      <c r="AW114" s="591"/>
      <c r="AX114" s="591"/>
      <c r="AY114" s="591"/>
      <c r="AZ114" s="591"/>
      <c r="BA114" s="591"/>
      <c r="BB114" s="592"/>
    </row>
    <row r="115" spans="1:54" ht="0.75" customHeight="1" x14ac:dyDescent="0.2">
      <c r="A115" s="593"/>
      <c r="B115" s="594"/>
      <c r="C115" s="594"/>
      <c r="D115" s="594"/>
      <c r="E115" s="594"/>
      <c r="F115" s="594"/>
      <c r="G115" s="594"/>
      <c r="H115" s="594"/>
      <c r="I115" s="594"/>
      <c r="J115" s="594"/>
      <c r="K115" s="594"/>
      <c r="L115" s="594"/>
      <c r="M115" s="594"/>
      <c r="N115" s="594"/>
      <c r="O115" s="594"/>
      <c r="P115" s="594"/>
      <c r="Q115" s="594"/>
      <c r="R115" s="594"/>
      <c r="S115" s="594"/>
      <c r="T115" s="594"/>
      <c r="U115" s="594"/>
      <c r="V115" s="594"/>
      <c r="W115" s="594"/>
      <c r="X115" s="594"/>
      <c r="Y115" s="594"/>
      <c r="Z115" s="595"/>
      <c r="AA115" s="596"/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AA115/AG104</f>
        <v>0</v>
      </c>
      <c r="AV115" s="591"/>
      <c r="AW115" s="591"/>
      <c r="AX115" s="591"/>
      <c r="AY115" s="591"/>
      <c r="AZ115" s="591"/>
      <c r="BA115" s="591"/>
      <c r="BB115" s="592"/>
    </row>
    <row r="116" spans="1:54" ht="19.5" hidden="1" customHeight="1" x14ac:dyDescent="0.2">
      <c r="A116" s="593"/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5"/>
      <c r="AA116" s="596"/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AA116/AG104</f>
        <v>0</v>
      </c>
      <c r="AV116" s="591"/>
      <c r="AW116" s="591"/>
      <c r="AX116" s="591"/>
      <c r="AY116" s="591"/>
      <c r="AZ116" s="591"/>
      <c r="BA116" s="591"/>
      <c r="BB116" s="592"/>
    </row>
    <row r="117" spans="1:54" ht="20.25" hidden="1" customHeight="1" x14ac:dyDescent="0.2">
      <c r="A117" s="593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AA117/AG104</f>
        <v>0</v>
      </c>
      <c r="AV117" s="591"/>
      <c r="AW117" s="591"/>
      <c r="AX117" s="591"/>
      <c r="AY117" s="591"/>
      <c r="AZ117" s="591"/>
      <c r="BA117" s="591"/>
      <c r="BB117" s="592"/>
    </row>
    <row r="118" spans="1:54" ht="16.5" hidden="1" customHeight="1" x14ac:dyDescent="0.2">
      <c r="A118" s="593"/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596"/>
      <c r="AB118" s="597"/>
      <c r="AC118" s="597"/>
      <c r="AD118" s="597"/>
      <c r="AE118" s="597"/>
      <c r="AF118" s="59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AA118/AG104</f>
        <v>0</v>
      </c>
      <c r="AV118" s="591"/>
      <c r="AW118" s="591"/>
      <c r="AX118" s="591"/>
      <c r="AY118" s="591"/>
      <c r="AZ118" s="591"/>
      <c r="BA118" s="591"/>
      <c r="BB118" s="592"/>
    </row>
    <row r="119" spans="1:54" s="161" customFormat="1" ht="19.5" hidden="1" customHeight="1" x14ac:dyDescent="0.2">
      <c r="A119" s="593"/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596"/>
      <c r="AB119" s="597"/>
      <c r="AC119" s="597"/>
      <c r="AD119" s="597"/>
      <c r="AE119" s="597"/>
      <c r="AF119" s="59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AA119/AG104</f>
        <v>0</v>
      </c>
      <c r="AV119" s="591"/>
      <c r="AW119" s="591"/>
      <c r="AX119" s="591"/>
      <c r="AY119" s="591"/>
      <c r="AZ119" s="591"/>
      <c r="BA119" s="591"/>
      <c r="BB119" s="592"/>
    </row>
    <row r="120" spans="1:54" ht="1.5" hidden="1" customHeight="1" x14ac:dyDescent="0.2">
      <c r="A120" s="593"/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5"/>
      <c r="AA120" s="596"/>
      <c r="AB120" s="597"/>
      <c r="AC120" s="597"/>
      <c r="AD120" s="597"/>
      <c r="AE120" s="597"/>
      <c r="AF120" s="598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90">
        <f>AA120/AG104</f>
        <v>0</v>
      </c>
      <c r="AV120" s="591"/>
      <c r="AW120" s="591"/>
      <c r="AX120" s="591"/>
      <c r="AY120" s="591"/>
      <c r="AZ120" s="591"/>
      <c r="BA120" s="591"/>
      <c r="BB120" s="592"/>
    </row>
    <row r="121" spans="1:54" s="159" customFormat="1" ht="17.25" hidden="1" customHeight="1" x14ac:dyDescent="0.2">
      <c r="A121" s="593"/>
      <c r="B121" s="594"/>
      <c r="C121" s="594"/>
      <c r="D121" s="594"/>
      <c r="E121" s="594"/>
      <c r="F121" s="594"/>
      <c r="G121" s="594"/>
      <c r="H121" s="594"/>
      <c r="I121" s="594"/>
      <c r="J121" s="594"/>
      <c r="K121" s="594"/>
      <c r="L121" s="594"/>
      <c r="M121" s="594"/>
      <c r="N121" s="594"/>
      <c r="O121" s="594"/>
      <c r="P121" s="594"/>
      <c r="Q121" s="594"/>
      <c r="R121" s="594"/>
      <c r="S121" s="594"/>
      <c r="T121" s="594"/>
      <c r="U121" s="594"/>
      <c r="V121" s="594"/>
      <c r="W121" s="594"/>
      <c r="X121" s="594"/>
      <c r="Y121" s="594"/>
      <c r="Z121" s="595"/>
      <c r="AA121" s="596"/>
      <c r="AB121" s="597"/>
      <c r="AC121" s="597"/>
      <c r="AD121" s="597"/>
      <c r="AE121" s="597"/>
      <c r="AF121" s="598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590">
        <f>AA121/AG104</f>
        <v>0</v>
      </c>
      <c r="AV121" s="591"/>
      <c r="AW121" s="591"/>
      <c r="AX121" s="591"/>
      <c r="AY121" s="591"/>
      <c r="AZ121" s="591"/>
      <c r="BA121" s="591"/>
      <c r="BB121" s="592"/>
    </row>
    <row r="122" spans="1:54" ht="20.25" hidden="1" customHeight="1" x14ac:dyDescent="0.2">
      <c r="A122" s="593"/>
      <c r="B122" s="594"/>
      <c r="C122" s="594"/>
      <c r="D122" s="594"/>
      <c r="E122" s="594"/>
      <c r="F122" s="594"/>
      <c r="G122" s="594"/>
      <c r="H122" s="594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4"/>
      <c r="Z122" s="595"/>
      <c r="AA122" s="596"/>
      <c r="AB122" s="597"/>
      <c r="AC122" s="597"/>
      <c r="AD122" s="597"/>
      <c r="AE122" s="597"/>
      <c r="AF122" s="598"/>
      <c r="AG122" s="572"/>
      <c r="AH122" s="573"/>
      <c r="AI122" s="573"/>
      <c r="AJ122" s="573"/>
      <c r="AK122" s="573"/>
      <c r="AL122" s="574"/>
      <c r="AM122" s="572"/>
      <c r="AN122" s="573"/>
      <c r="AO122" s="573"/>
      <c r="AP122" s="573"/>
      <c r="AQ122" s="573"/>
      <c r="AR122" s="573"/>
      <c r="AS122" s="573"/>
      <c r="AT122" s="574"/>
      <c r="AU122" s="590">
        <f>AA122/AG104</f>
        <v>0</v>
      </c>
      <c r="AV122" s="591"/>
      <c r="AW122" s="591"/>
      <c r="AX122" s="591"/>
      <c r="AY122" s="591"/>
      <c r="AZ122" s="591"/>
      <c r="BA122" s="591"/>
      <c r="BB122" s="592"/>
    </row>
    <row r="123" spans="1:54" ht="18.75" hidden="1" customHeight="1" x14ac:dyDescent="0.2">
      <c r="A123" s="593"/>
      <c r="B123" s="594"/>
      <c r="C123" s="594"/>
      <c r="D123" s="594"/>
      <c r="E123" s="594"/>
      <c r="F123" s="594"/>
      <c r="G123" s="594"/>
      <c r="H123" s="594"/>
      <c r="I123" s="594"/>
      <c r="J123" s="594"/>
      <c r="K123" s="594"/>
      <c r="L123" s="594"/>
      <c r="M123" s="594"/>
      <c r="N123" s="594"/>
      <c r="O123" s="594"/>
      <c r="P123" s="594"/>
      <c r="Q123" s="594"/>
      <c r="R123" s="594"/>
      <c r="S123" s="594"/>
      <c r="T123" s="594"/>
      <c r="U123" s="594"/>
      <c r="V123" s="594"/>
      <c r="W123" s="594"/>
      <c r="X123" s="594"/>
      <c r="Y123" s="594"/>
      <c r="Z123" s="595"/>
      <c r="AA123" s="596"/>
      <c r="AB123" s="597"/>
      <c r="AC123" s="597"/>
      <c r="AD123" s="597"/>
      <c r="AE123" s="597"/>
      <c r="AF123" s="598"/>
      <c r="AG123" s="572"/>
      <c r="AH123" s="573"/>
      <c r="AI123" s="573"/>
      <c r="AJ123" s="573"/>
      <c r="AK123" s="573"/>
      <c r="AL123" s="574"/>
      <c r="AM123" s="572"/>
      <c r="AN123" s="573"/>
      <c r="AO123" s="573"/>
      <c r="AP123" s="573"/>
      <c r="AQ123" s="573"/>
      <c r="AR123" s="573"/>
      <c r="AS123" s="573"/>
      <c r="AT123" s="574"/>
      <c r="AU123" s="590">
        <f>AA123/AG104</f>
        <v>0</v>
      </c>
      <c r="AV123" s="591"/>
      <c r="AW123" s="591"/>
      <c r="AX123" s="591"/>
      <c r="AY123" s="591"/>
      <c r="AZ123" s="591"/>
      <c r="BA123" s="591"/>
      <c r="BB123" s="592"/>
    </row>
    <row r="124" spans="1:54" ht="37.5" hidden="1" customHeight="1" x14ac:dyDescent="0.2">
      <c r="A124" s="593"/>
      <c r="B124" s="594"/>
      <c r="C124" s="594"/>
      <c r="D124" s="594"/>
      <c r="E124" s="594"/>
      <c r="F124" s="594"/>
      <c r="G124" s="594"/>
      <c r="H124" s="594"/>
      <c r="I124" s="594"/>
      <c r="J124" s="594"/>
      <c r="K124" s="594"/>
      <c r="L124" s="594"/>
      <c r="M124" s="594"/>
      <c r="N124" s="594"/>
      <c r="O124" s="594"/>
      <c r="P124" s="594"/>
      <c r="Q124" s="594"/>
      <c r="R124" s="594"/>
      <c r="S124" s="594"/>
      <c r="T124" s="594"/>
      <c r="U124" s="594"/>
      <c r="V124" s="594"/>
      <c r="W124" s="594"/>
      <c r="X124" s="594"/>
      <c r="Y124" s="594"/>
      <c r="Z124" s="595"/>
      <c r="AA124" s="596"/>
      <c r="AB124" s="597"/>
      <c r="AC124" s="597"/>
      <c r="AD124" s="597"/>
      <c r="AE124" s="597"/>
      <c r="AF124" s="598"/>
      <c r="AG124" s="572"/>
      <c r="AH124" s="573"/>
      <c r="AI124" s="573"/>
      <c r="AJ124" s="573"/>
      <c r="AK124" s="573"/>
      <c r="AL124" s="574"/>
      <c r="AM124" s="572"/>
      <c r="AN124" s="573"/>
      <c r="AO124" s="573"/>
      <c r="AP124" s="573"/>
      <c r="AQ124" s="573"/>
      <c r="AR124" s="573"/>
      <c r="AS124" s="573"/>
      <c r="AT124" s="574"/>
      <c r="AU124" s="590">
        <f>AA124/AG104</f>
        <v>0</v>
      </c>
      <c r="AV124" s="591"/>
      <c r="AW124" s="591"/>
      <c r="AX124" s="591"/>
      <c r="AY124" s="591"/>
      <c r="AZ124" s="591"/>
      <c r="BA124" s="591"/>
      <c r="BB124" s="592"/>
    </row>
    <row r="125" spans="1:54" ht="28.5" hidden="1" customHeight="1" x14ac:dyDescent="0.2">
      <c r="A125" s="593"/>
      <c r="B125" s="594"/>
      <c r="C125" s="594"/>
      <c r="D125" s="594"/>
      <c r="E125" s="594"/>
      <c r="F125" s="594"/>
      <c r="G125" s="594"/>
      <c r="H125" s="594"/>
      <c r="I125" s="594"/>
      <c r="J125" s="594"/>
      <c r="K125" s="594"/>
      <c r="L125" s="594"/>
      <c r="M125" s="594"/>
      <c r="N125" s="594"/>
      <c r="O125" s="594"/>
      <c r="P125" s="594"/>
      <c r="Q125" s="594"/>
      <c r="R125" s="594"/>
      <c r="S125" s="594"/>
      <c r="T125" s="594"/>
      <c r="U125" s="594"/>
      <c r="V125" s="594"/>
      <c r="W125" s="594"/>
      <c r="X125" s="594"/>
      <c r="Y125" s="594"/>
      <c r="Z125" s="595"/>
      <c r="AA125" s="596"/>
      <c r="AB125" s="597"/>
      <c r="AC125" s="597"/>
      <c r="AD125" s="597"/>
      <c r="AE125" s="597"/>
      <c r="AF125" s="598"/>
      <c r="AG125" s="572"/>
      <c r="AH125" s="573"/>
      <c r="AI125" s="573"/>
      <c r="AJ125" s="573"/>
      <c r="AK125" s="573"/>
      <c r="AL125" s="574"/>
      <c r="AM125" s="572"/>
      <c r="AN125" s="573"/>
      <c r="AO125" s="573"/>
      <c r="AP125" s="573"/>
      <c r="AQ125" s="573"/>
      <c r="AR125" s="573"/>
      <c r="AS125" s="573"/>
      <c r="AT125" s="574"/>
      <c r="AU125" s="590">
        <f>AA125/AG104</f>
        <v>0</v>
      </c>
      <c r="AV125" s="591"/>
      <c r="AW125" s="591"/>
      <c r="AX125" s="591"/>
      <c r="AY125" s="591"/>
      <c r="AZ125" s="591"/>
      <c r="BA125" s="591"/>
      <c r="BB125" s="592"/>
    </row>
    <row r="126" spans="1:54" ht="21" hidden="1" customHeight="1" x14ac:dyDescent="0.2">
      <c r="A126" s="593"/>
      <c r="B126" s="594"/>
      <c r="C126" s="594"/>
      <c r="D126" s="594"/>
      <c r="E126" s="594"/>
      <c r="F126" s="594"/>
      <c r="G126" s="594"/>
      <c r="H126" s="594"/>
      <c r="I126" s="594"/>
      <c r="J126" s="594"/>
      <c r="K126" s="594"/>
      <c r="L126" s="594"/>
      <c r="M126" s="594"/>
      <c r="N126" s="594"/>
      <c r="O126" s="594"/>
      <c r="P126" s="594"/>
      <c r="Q126" s="594"/>
      <c r="R126" s="594"/>
      <c r="S126" s="594"/>
      <c r="T126" s="594"/>
      <c r="U126" s="594"/>
      <c r="V126" s="594"/>
      <c r="W126" s="594"/>
      <c r="X126" s="594"/>
      <c r="Y126" s="594"/>
      <c r="Z126" s="595"/>
      <c r="AA126" s="596"/>
      <c r="AB126" s="597"/>
      <c r="AC126" s="597"/>
      <c r="AD126" s="597"/>
      <c r="AE126" s="597"/>
      <c r="AF126" s="598"/>
      <c r="AG126" s="572"/>
      <c r="AH126" s="573"/>
      <c r="AI126" s="573"/>
      <c r="AJ126" s="573"/>
      <c r="AK126" s="573"/>
      <c r="AL126" s="574"/>
      <c r="AM126" s="572"/>
      <c r="AN126" s="573"/>
      <c r="AO126" s="573"/>
      <c r="AP126" s="573"/>
      <c r="AQ126" s="573"/>
      <c r="AR126" s="573"/>
      <c r="AS126" s="573"/>
      <c r="AT126" s="574"/>
      <c r="AU126" s="590">
        <f>AA126/AG104</f>
        <v>0</v>
      </c>
      <c r="AV126" s="591"/>
      <c r="AW126" s="591"/>
      <c r="AX126" s="591"/>
      <c r="AY126" s="591"/>
      <c r="AZ126" s="591"/>
      <c r="BA126" s="591"/>
      <c r="BB126" s="592"/>
    </row>
    <row r="127" spans="1:54" ht="21" hidden="1" customHeight="1" x14ac:dyDescent="0.2">
      <c r="A127" s="599"/>
      <c r="B127" s="600"/>
      <c r="C127" s="600"/>
      <c r="D127" s="600"/>
      <c r="E127" s="600"/>
      <c r="F127" s="600"/>
      <c r="G127" s="600"/>
      <c r="H127" s="600"/>
      <c r="I127" s="600"/>
      <c r="J127" s="600"/>
      <c r="K127" s="600"/>
      <c r="L127" s="600"/>
      <c r="M127" s="600"/>
      <c r="N127" s="600"/>
      <c r="O127" s="600"/>
      <c r="P127" s="600"/>
      <c r="Q127" s="600"/>
      <c r="R127" s="600"/>
      <c r="S127" s="600"/>
      <c r="T127" s="600"/>
      <c r="U127" s="600"/>
      <c r="V127" s="600"/>
      <c r="W127" s="600"/>
      <c r="X127" s="600"/>
      <c r="Y127" s="600"/>
      <c r="Z127" s="600"/>
      <c r="AA127" s="601"/>
      <c r="AB127" s="601"/>
      <c r="AC127" s="601"/>
      <c r="AD127" s="601"/>
      <c r="AE127" s="601"/>
      <c r="AF127" s="601"/>
      <c r="AG127" s="572"/>
      <c r="AH127" s="573"/>
      <c r="AI127" s="573"/>
      <c r="AJ127" s="573"/>
      <c r="AK127" s="573"/>
      <c r="AL127" s="574"/>
      <c r="AM127" s="572"/>
      <c r="AN127" s="573"/>
      <c r="AO127" s="573"/>
      <c r="AP127" s="573"/>
      <c r="AQ127" s="573"/>
      <c r="AR127" s="573"/>
      <c r="AS127" s="573"/>
      <c r="AT127" s="574"/>
      <c r="AU127" s="602">
        <f>AA127/AG104</f>
        <v>0</v>
      </c>
      <c r="AV127" s="602"/>
      <c r="AW127" s="602"/>
      <c r="AX127" s="602"/>
      <c r="AY127" s="602"/>
      <c r="AZ127" s="602"/>
      <c r="BA127" s="602"/>
      <c r="BB127" s="603"/>
    </row>
    <row r="128" spans="1:54" ht="0.75" customHeight="1" thickBot="1" x14ac:dyDescent="0.25">
      <c r="A128" s="864"/>
      <c r="B128" s="865"/>
      <c r="C128" s="865"/>
      <c r="D128" s="865"/>
      <c r="E128" s="865"/>
      <c r="F128" s="865"/>
      <c r="G128" s="865"/>
      <c r="H128" s="865"/>
      <c r="I128" s="865"/>
      <c r="J128" s="865"/>
      <c r="K128" s="865"/>
      <c r="L128" s="865"/>
      <c r="M128" s="865"/>
      <c r="N128" s="865"/>
      <c r="O128" s="865"/>
      <c r="P128" s="865"/>
      <c r="Q128" s="865"/>
      <c r="R128" s="865"/>
      <c r="S128" s="865"/>
      <c r="T128" s="865"/>
      <c r="U128" s="865"/>
      <c r="V128" s="865"/>
      <c r="W128" s="865"/>
      <c r="X128" s="865"/>
      <c r="Y128" s="865"/>
      <c r="Z128" s="865"/>
      <c r="AA128" s="656"/>
      <c r="AB128" s="656"/>
      <c r="AC128" s="656"/>
      <c r="AD128" s="656"/>
      <c r="AE128" s="656"/>
      <c r="AF128" s="656"/>
      <c r="AG128" s="859"/>
      <c r="AH128" s="860"/>
      <c r="AI128" s="860"/>
      <c r="AJ128" s="860"/>
      <c r="AK128" s="860"/>
      <c r="AL128" s="861"/>
      <c r="AM128" s="859"/>
      <c r="AN128" s="860"/>
      <c r="AO128" s="860"/>
      <c r="AP128" s="860"/>
      <c r="AQ128" s="860"/>
      <c r="AR128" s="860"/>
      <c r="AS128" s="860"/>
      <c r="AT128" s="861"/>
      <c r="AU128" s="866">
        <f>AA128/AG104</f>
        <v>0</v>
      </c>
      <c r="AV128" s="866"/>
      <c r="AW128" s="866"/>
      <c r="AX128" s="866"/>
      <c r="AY128" s="866"/>
      <c r="AZ128" s="866"/>
      <c r="BA128" s="866"/>
      <c r="BB128" s="867"/>
    </row>
    <row r="129" spans="1:54" ht="16.5" customHeight="1" thickBot="1" x14ac:dyDescent="0.25">
      <c r="A129" s="868" t="s">
        <v>51</v>
      </c>
      <c r="B129" s="868"/>
      <c r="C129" s="868"/>
      <c r="D129" s="868"/>
      <c r="E129" s="868"/>
      <c r="F129" s="868"/>
      <c r="G129" s="868"/>
      <c r="H129" s="868"/>
      <c r="I129" s="868"/>
      <c r="J129" s="868"/>
      <c r="K129" s="868"/>
      <c r="L129" s="868"/>
      <c r="M129" s="868"/>
      <c r="N129" s="868"/>
      <c r="O129" s="868"/>
      <c r="P129" s="868"/>
      <c r="Q129" s="868"/>
      <c r="R129" s="868"/>
      <c r="S129" s="868"/>
      <c r="T129" s="868"/>
      <c r="U129" s="868"/>
      <c r="V129" s="868"/>
      <c r="W129" s="868"/>
      <c r="X129" s="868"/>
      <c r="Y129" s="868"/>
      <c r="Z129" s="868"/>
      <c r="AA129" s="869">
        <f>SUM(AA104:AF128)</f>
        <v>1690.45</v>
      </c>
      <c r="AB129" s="869"/>
      <c r="AC129" s="869"/>
      <c r="AD129" s="869"/>
      <c r="AE129" s="869"/>
      <c r="AF129" s="869"/>
      <c r="AG129" s="870">
        <f>AG104</f>
        <v>18</v>
      </c>
      <c r="AH129" s="870"/>
      <c r="AI129" s="870"/>
      <c r="AJ129" s="870"/>
      <c r="AK129" s="870"/>
      <c r="AL129" s="870"/>
      <c r="AM129" s="871" t="s">
        <v>17</v>
      </c>
      <c r="AN129" s="871"/>
      <c r="AO129" s="871"/>
      <c r="AP129" s="871"/>
      <c r="AQ129" s="871"/>
      <c r="AR129" s="871"/>
      <c r="AS129" s="871"/>
      <c r="AT129" s="871"/>
      <c r="AU129" s="872">
        <f>SUM(AU104:BB128)</f>
        <v>93.913888888888891</v>
      </c>
      <c r="AV129" s="872"/>
      <c r="AW129" s="872"/>
      <c r="AX129" s="872"/>
      <c r="AY129" s="872"/>
      <c r="AZ129" s="872"/>
      <c r="BA129" s="872"/>
      <c r="BB129" s="872"/>
    </row>
    <row r="130" spans="1:54" ht="12.75" customHeight="1" x14ac:dyDescent="0.2"/>
    <row r="131" spans="1:54" s="161" customFormat="1" ht="15" customHeight="1" x14ac:dyDescent="0.2">
      <c r="A131" s="159" t="s">
        <v>59</v>
      </c>
      <c r="B131" s="159"/>
      <c r="C131" s="159" t="s">
        <v>60</v>
      </c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  <c r="AU131" s="159"/>
      <c r="AV131" s="159"/>
      <c r="AW131" s="159"/>
      <c r="AX131" s="160"/>
      <c r="AY131" s="160"/>
      <c r="AZ131" s="160"/>
      <c r="BA131" s="160"/>
      <c r="BB131" s="160"/>
    </row>
    <row r="132" spans="1:54" ht="12" customHeight="1" thickBot="1" x14ac:dyDescent="0.25"/>
    <row r="133" spans="1:54" s="159" customFormat="1" ht="12" customHeight="1" x14ac:dyDescent="0.2">
      <c r="A133" s="585" t="s">
        <v>54</v>
      </c>
      <c r="B133" s="586"/>
      <c r="C133" s="586"/>
      <c r="D133" s="586"/>
      <c r="E133" s="586"/>
      <c r="F133" s="586"/>
      <c r="G133" s="586"/>
      <c r="H133" s="586"/>
      <c r="I133" s="586"/>
      <c r="J133" s="586"/>
      <c r="K133" s="586"/>
      <c r="L133" s="586"/>
      <c r="M133" s="586"/>
      <c r="N133" s="586"/>
      <c r="O133" s="586"/>
      <c r="P133" s="586"/>
      <c r="Q133" s="586"/>
      <c r="R133" s="586"/>
      <c r="S133" s="586"/>
      <c r="T133" s="586"/>
      <c r="U133" s="586"/>
      <c r="V133" s="586"/>
      <c r="W133" s="586"/>
      <c r="X133" s="586"/>
      <c r="Y133" s="586"/>
      <c r="Z133" s="587"/>
      <c r="AA133" s="536" t="s">
        <v>55</v>
      </c>
      <c r="AB133" s="537"/>
      <c r="AC133" s="537"/>
      <c r="AD133" s="537"/>
      <c r="AE133" s="537"/>
      <c r="AF133" s="538"/>
      <c r="AG133" s="536" t="s">
        <v>56</v>
      </c>
      <c r="AH133" s="537"/>
      <c r="AI133" s="537"/>
      <c r="AJ133" s="537"/>
      <c r="AK133" s="537"/>
      <c r="AL133" s="538"/>
      <c r="AM133" s="588" t="s">
        <v>57</v>
      </c>
      <c r="AN133" s="586"/>
      <c r="AO133" s="586"/>
      <c r="AP133" s="586"/>
      <c r="AQ133" s="586"/>
      <c r="AR133" s="586"/>
      <c r="AS133" s="586"/>
      <c r="AT133" s="587"/>
      <c r="AU133" s="588" t="s">
        <v>43</v>
      </c>
      <c r="AV133" s="586"/>
      <c r="AW133" s="586"/>
      <c r="AX133" s="586"/>
      <c r="AY133" s="586"/>
      <c r="AZ133" s="586"/>
      <c r="BA133" s="586"/>
      <c r="BB133" s="589"/>
    </row>
    <row r="134" spans="1:54" ht="11.25" customHeight="1" thickBot="1" x14ac:dyDescent="0.25">
      <c r="A134" s="564">
        <v>1</v>
      </c>
      <c r="B134" s="475"/>
      <c r="C134" s="475"/>
      <c r="D134" s="475"/>
      <c r="E134" s="475"/>
      <c r="F134" s="475"/>
      <c r="G134" s="475"/>
      <c r="H134" s="475"/>
      <c r="I134" s="475"/>
      <c r="J134" s="475"/>
      <c r="K134" s="475"/>
      <c r="L134" s="475"/>
      <c r="M134" s="475"/>
      <c r="N134" s="475"/>
      <c r="O134" s="475"/>
      <c r="P134" s="475"/>
      <c r="Q134" s="475"/>
      <c r="R134" s="475"/>
      <c r="S134" s="475"/>
      <c r="T134" s="475"/>
      <c r="U134" s="475"/>
      <c r="V134" s="475"/>
      <c r="W134" s="475"/>
      <c r="X134" s="475"/>
      <c r="Y134" s="475"/>
      <c r="Z134" s="476"/>
      <c r="AA134" s="474">
        <v>2</v>
      </c>
      <c r="AB134" s="475"/>
      <c r="AC134" s="475"/>
      <c r="AD134" s="475"/>
      <c r="AE134" s="475"/>
      <c r="AF134" s="476"/>
      <c r="AG134" s="474">
        <v>3</v>
      </c>
      <c r="AH134" s="475"/>
      <c r="AI134" s="475"/>
      <c r="AJ134" s="475"/>
      <c r="AK134" s="475"/>
      <c r="AL134" s="476"/>
      <c r="AM134" s="474">
        <v>4</v>
      </c>
      <c r="AN134" s="475"/>
      <c r="AO134" s="475"/>
      <c r="AP134" s="475"/>
      <c r="AQ134" s="475"/>
      <c r="AR134" s="475"/>
      <c r="AS134" s="475"/>
      <c r="AT134" s="476"/>
      <c r="AU134" s="474">
        <v>5</v>
      </c>
      <c r="AV134" s="475"/>
      <c r="AW134" s="475"/>
      <c r="AX134" s="475"/>
      <c r="AY134" s="475"/>
      <c r="AZ134" s="475"/>
      <c r="BA134" s="475"/>
      <c r="BB134" s="565"/>
    </row>
    <row r="135" spans="1:54" ht="31.5" hidden="1" customHeight="1" x14ac:dyDescent="0.2">
      <c r="A135" s="566"/>
      <c r="B135" s="567"/>
      <c r="C135" s="567"/>
      <c r="D135" s="567"/>
      <c r="E135" s="567"/>
      <c r="F135" s="567"/>
      <c r="G135" s="567"/>
      <c r="H135" s="567"/>
      <c r="I135" s="567"/>
      <c r="J135" s="567"/>
      <c r="K135" s="567"/>
      <c r="L135" s="567"/>
      <c r="M135" s="567"/>
      <c r="N135" s="567"/>
      <c r="O135" s="567"/>
      <c r="P135" s="567"/>
      <c r="Q135" s="567"/>
      <c r="R135" s="567"/>
      <c r="S135" s="567"/>
      <c r="T135" s="567"/>
      <c r="U135" s="567"/>
      <c r="V135" s="567"/>
      <c r="W135" s="567"/>
      <c r="X135" s="567"/>
      <c r="Y135" s="567"/>
      <c r="Z135" s="568"/>
      <c r="AA135" s="569">
        <v>0</v>
      </c>
      <c r="AB135" s="570"/>
      <c r="AC135" s="570"/>
      <c r="AD135" s="570"/>
      <c r="AE135" s="570"/>
      <c r="AF135" s="571"/>
      <c r="AG135" s="569">
        <f>U12</f>
        <v>18</v>
      </c>
      <c r="AH135" s="570"/>
      <c r="AI135" s="570"/>
      <c r="AJ135" s="570"/>
      <c r="AK135" s="570"/>
      <c r="AL135" s="571"/>
      <c r="AM135" s="569" t="s">
        <v>61</v>
      </c>
      <c r="AN135" s="570"/>
      <c r="AO135" s="570"/>
      <c r="AP135" s="570"/>
      <c r="AQ135" s="570"/>
      <c r="AR135" s="570"/>
      <c r="AS135" s="570"/>
      <c r="AT135" s="571"/>
      <c r="AU135" s="558">
        <f>AA135/AG135</f>
        <v>0</v>
      </c>
      <c r="AV135" s="559"/>
      <c r="AW135" s="559"/>
      <c r="AX135" s="559"/>
      <c r="AY135" s="559"/>
      <c r="AZ135" s="559"/>
      <c r="BA135" s="559"/>
      <c r="BB135" s="560"/>
    </row>
    <row r="136" spans="1:54" ht="4.5" hidden="1" customHeight="1" x14ac:dyDescent="0.2">
      <c r="A136" s="561"/>
      <c r="B136" s="562"/>
      <c r="C136" s="562"/>
      <c r="D136" s="562"/>
      <c r="E136" s="562"/>
      <c r="F136" s="562"/>
      <c r="G136" s="562"/>
      <c r="H136" s="562"/>
      <c r="I136" s="562"/>
      <c r="J136" s="562"/>
      <c r="K136" s="562"/>
      <c r="L136" s="562"/>
      <c r="M136" s="562"/>
      <c r="N136" s="562"/>
      <c r="O136" s="562"/>
      <c r="P136" s="562"/>
      <c r="Q136" s="562"/>
      <c r="R136" s="562"/>
      <c r="S136" s="562"/>
      <c r="T136" s="562"/>
      <c r="U136" s="562"/>
      <c r="V136" s="562"/>
      <c r="W136" s="562"/>
      <c r="X136" s="562"/>
      <c r="Y136" s="562"/>
      <c r="Z136" s="563"/>
      <c r="AA136" s="518"/>
      <c r="AB136" s="518"/>
      <c r="AC136" s="518"/>
      <c r="AD136" s="518"/>
      <c r="AE136" s="518"/>
      <c r="AF136" s="518"/>
      <c r="AG136" s="572"/>
      <c r="AH136" s="573"/>
      <c r="AI136" s="573"/>
      <c r="AJ136" s="573"/>
      <c r="AK136" s="573"/>
      <c r="AL136" s="574"/>
      <c r="AM136" s="572"/>
      <c r="AN136" s="573"/>
      <c r="AO136" s="573"/>
      <c r="AP136" s="573"/>
      <c r="AQ136" s="573"/>
      <c r="AR136" s="573"/>
      <c r="AS136" s="573"/>
      <c r="AT136" s="574"/>
      <c r="AU136" s="558">
        <f>AA136/AG135</f>
        <v>0</v>
      </c>
      <c r="AV136" s="559"/>
      <c r="AW136" s="559"/>
      <c r="AX136" s="559"/>
      <c r="AY136" s="559"/>
      <c r="AZ136" s="559"/>
      <c r="BA136" s="559"/>
      <c r="BB136" s="560"/>
    </row>
    <row r="137" spans="1:54" ht="21" customHeight="1" x14ac:dyDescent="0.2">
      <c r="A137" s="449"/>
      <c r="B137" s="450"/>
      <c r="C137" s="450"/>
      <c r="D137" s="450"/>
      <c r="E137" s="450"/>
      <c r="F137" s="450"/>
      <c r="G137" s="450"/>
      <c r="H137" s="450"/>
      <c r="I137" s="450"/>
      <c r="J137" s="450"/>
      <c r="K137" s="450"/>
      <c r="L137" s="450"/>
      <c r="M137" s="450"/>
      <c r="N137" s="450"/>
      <c r="O137" s="450"/>
      <c r="P137" s="450"/>
      <c r="Q137" s="450"/>
      <c r="R137" s="450"/>
      <c r="S137" s="450"/>
      <c r="T137" s="450"/>
      <c r="U137" s="450"/>
      <c r="V137" s="450"/>
      <c r="W137" s="450"/>
      <c r="X137" s="450"/>
      <c r="Y137" s="450"/>
      <c r="Z137" s="451"/>
      <c r="AA137" s="557"/>
      <c r="AB137" s="557"/>
      <c r="AC137" s="557"/>
      <c r="AD137" s="557"/>
      <c r="AE137" s="557"/>
      <c r="AF137" s="557"/>
      <c r="AG137" s="572"/>
      <c r="AH137" s="573"/>
      <c r="AI137" s="573"/>
      <c r="AJ137" s="573"/>
      <c r="AK137" s="573"/>
      <c r="AL137" s="574"/>
      <c r="AM137" s="572"/>
      <c r="AN137" s="573"/>
      <c r="AO137" s="573"/>
      <c r="AP137" s="573"/>
      <c r="AQ137" s="573"/>
      <c r="AR137" s="573"/>
      <c r="AS137" s="573"/>
      <c r="AT137" s="574"/>
      <c r="AU137" s="558">
        <f>AA137/AG135</f>
        <v>0</v>
      </c>
      <c r="AV137" s="559"/>
      <c r="AW137" s="559"/>
      <c r="AX137" s="559"/>
      <c r="AY137" s="559"/>
      <c r="AZ137" s="559"/>
      <c r="BA137" s="559"/>
      <c r="BB137" s="560"/>
    </row>
    <row r="138" spans="1:54" ht="21" customHeight="1" x14ac:dyDescent="0.2">
      <c r="A138" s="449"/>
      <c r="B138" s="450"/>
      <c r="C138" s="450"/>
      <c r="D138" s="450"/>
      <c r="E138" s="450"/>
      <c r="F138" s="450"/>
      <c r="G138" s="450"/>
      <c r="H138" s="450"/>
      <c r="I138" s="450"/>
      <c r="J138" s="450"/>
      <c r="K138" s="450"/>
      <c r="L138" s="450"/>
      <c r="M138" s="450"/>
      <c r="N138" s="450"/>
      <c r="O138" s="450"/>
      <c r="P138" s="450"/>
      <c r="Q138" s="450"/>
      <c r="R138" s="450"/>
      <c r="S138" s="450"/>
      <c r="T138" s="450"/>
      <c r="U138" s="450"/>
      <c r="V138" s="450"/>
      <c r="W138" s="450"/>
      <c r="X138" s="450"/>
      <c r="Y138" s="450"/>
      <c r="Z138" s="451"/>
      <c r="AA138" s="557"/>
      <c r="AB138" s="557"/>
      <c r="AC138" s="557"/>
      <c r="AD138" s="557"/>
      <c r="AE138" s="557"/>
      <c r="AF138" s="557"/>
      <c r="AG138" s="572"/>
      <c r="AH138" s="573"/>
      <c r="AI138" s="573"/>
      <c r="AJ138" s="573"/>
      <c r="AK138" s="573"/>
      <c r="AL138" s="574"/>
      <c r="AM138" s="572"/>
      <c r="AN138" s="573"/>
      <c r="AO138" s="573"/>
      <c r="AP138" s="573"/>
      <c r="AQ138" s="573"/>
      <c r="AR138" s="573"/>
      <c r="AS138" s="573"/>
      <c r="AT138" s="574"/>
      <c r="AU138" s="558">
        <f>AA138/AG135</f>
        <v>0</v>
      </c>
      <c r="AV138" s="559"/>
      <c r="AW138" s="559"/>
      <c r="AX138" s="559"/>
      <c r="AY138" s="559"/>
      <c r="AZ138" s="559"/>
      <c r="BA138" s="559"/>
      <c r="BB138" s="560"/>
    </row>
    <row r="139" spans="1:54" ht="6" hidden="1" customHeight="1" x14ac:dyDescent="0.2">
      <c r="A139" s="449"/>
      <c r="B139" s="450"/>
      <c r="C139" s="450"/>
      <c r="D139" s="450"/>
      <c r="E139" s="450"/>
      <c r="F139" s="450"/>
      <c r="G139" s="450"/>
      <c r="H139" s="450"/>
      <c r="I139" s="450"/>
      <c r="J139" s="450"/>
      <c r="K139" s="450"/>
      <c r="L139" s="450"/>
      <c r="M139" s="450"/>
      <c r="N139" s="450"/>
      <c r="O139" s="450"/>
      <c r="P139" s="450"/>
      <c r="Q139" s="450"/>
      <c r="R139" s="450"/>
      <c r="S139" s="450"/>
      <c r="T139" s="450"/>
      <c r="U139" s="450"/>
      <c r="V139" s="450"/>
      <c r="W139" s="450"/>
      <c r="X139" s="450"/>
      <c r="Y139" s="450"/>
      <c r="Z139" s="451"/>
      <c r="AA139" s="557"/>
      <c r="AB139" s="557"/>
      <c r="AC139" s="557"/>
      <c r="AD139" s="557"/>
      <c r="AE139" s="557"/>
      <c r="AF139" s="557"/>
      <c r="AG139" s="572"/>
      <c r="AH139" s="573"/>
      <c r="AI139" s="573"/>
      <c r="AJ139" s="573"/>
      <c r="AK139" s="573"/>
      <c r="AL139" s="574"/>
      <c r="AM139" s="572"/>
      <c r="AN139" s="573"/>
      <c r="AO139" s="573"/>
      <c r="AP139" s="573"/>
      <c r="AQ139" s="573"/>
      <c r="AR139" s="573"/>
      <c r="AS139" s="573"/>
      <c r="AT139" s="574"/>
      <c r="AU139" s="558">
        <f>AA139/AG135</f>
        <v>0</v>
      </c>
      <c r="AV139" s="559"/>
      <c r="AW139" s="559"/>
      <c r="AX139" s="559"/>
      <c r="AY139" s="559"/>
      <c r="AZ139" s="559"/>
      <c r="BA139" s="559"/>
      <c r="BB139" s="560"/>
    </row>
    <row r="140" spans="1:54" ht="0.75" customHeight="1" thickBot="1" x14ac:dyDescent="0.25">
      <c r="A140" s="575"/>
      <c r="B140" s="576"/>
      <c r="C140" s="576"/>
      <c r="D140" s="576"/>
      <c r="E140" s="576"/>
      <c r="F140" s="576"/>
      <c r="G140" s="576"/>
      <c r="H140" s="576"/>
      <c r="I140" s="576"/>
      <c r="J140" s="576"/>
      <c r="K140" s="576"/>
      <c r="L140" s="576"/>
      <c r="M140" s="576"/>
      <c r="N140" s="576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7"/>
      <c r="AA140" s="578">
        <v>0</v>
      </c>
      <c r="AB140" s="578"/>
      <c r="AC140" s="578"/>
      <c r="AD140" s="578"/>
      <c r="AE140" s="578"/>
      <c r="AF140" s="578"/>
      <c r="AG140" s="572"/>
      <c r="AH140" s="573"/>
      <c r="AI140" s="573"/>
      <c r="AJ140" s="573"/>
      <c r="AK140" s="573"/>
      <c r="AL140" s="574"/>
      <c r="AM140" s="572"/>
      <c r="AN140" s="573"/>
      <c r="AO140" s="573"/>
      <c r="AP140" s="573"/>
      <c r="AQ140" s="573"/>
      <c r="AR140" s="573"/>
      <c r="AS140" s="573"/>
      <c r="AT140" s="574"/>
      <c r="AU140" s="579">
        <f>AA140/AG135</f>
        <v>0</v>
      </c>
      <c r="AV140" s="580"/>
      <c r="AW140" s="580"/>
      <c r="AX140" s="580"/>
      <c r="AY140" s="580"/>
      <c r="AZ140" s="580"/>
      <c r="BA140" s="580"/>
      <c r="BB140" s="581"/>
    </row>
    <row r="141" spans="1:54" ht="15" customHeight="1" thickBot="1" x14ac:dyDescent="0.25">
      <c r="A141" s="545" t="s">
        <v>51</v>
      </c>
      <c r="B141" s="546"/>
      <c r="C141" s="546"/>
      <c r="D141" s="546"/>
      <c r="E141" s="546"/>
      <c r="F141" s="546"/>
      <c r="G141" s="546"/>
      <c r="H141" s="546"/>
      <c r="I141" s="546"/>
      <c r="J141" s="546"/>
      <c r="K141" s="546"/>
      <c r="L141" s="546"/>
      <c r="M141" s="546"/>
      <c r="N141" s="546"/>
      <c r="O141" s="546"/>
      <c r="P141" s="546"/>
      <c r="Q141" s="546"/>
      <c r="R141" s="546"/>
      <c r="S141" s="546"/>
      <c r="T141" s="546"/>
      <c r="U141" s="546"/>
      <c r="V141" s="546"/>
      <c r="W141" s="546"/>
      <c r="X141" s="546"/>
      <c r="Y141" s="546"/>
      <c r="Z141" s="547"/>
      <c r="AA141" s="548">
        <f>SUM(AA135:AF138)</f>
        <v>0</v>
      </c>
      <c r="AB141" s="549"/>
      <c r="AC141" s="549"/>
      <c r="AD141" s="549"/>
      <c r="AE141" s="549"/>
      <c r="AF141" s="550"/>
      <c r="AG141" s="531">
        <f>AG135</f>
        <v>18</v>
      </c>
      <c r="AH141" s="533"/>
      <c r="AI141" s="533"/>
      <c r="AJ141" s="533"/>
      <c r="AK141" s="533"/>
      <c r="AL141" s="534"/>
      <c r="AM141" s="551" t="s">
        <v>17</v>
      </c>
      <c r="AN141" s="552"/>
      <c r="AO141" s="552"/>
      <c r="AP141" s="552"/>
      <c r="AQ141" s="552"/>
      <c r="AR141" s="552"/>
      <c r="AS141" s="552"/>
      <c r="AT141" s="553"/>
      <c r="AU141" s="554">
        <f>SUM(AU135:BB140)</f>
        <v>0</v>
      </c>
      <c r="AV141" s="555"/>
      <c r="AW141" s="555"/>
      <c r="AX141" s="555"/>
      <c r="AY141" s="555"/>
      <c r="AZ141" s="555"/>
      <c r="BA141" s="555"/>
      <c r="BB141" s="556"/>
    </row>
    <row r="142" spans="1:54" s="161" customFormat="1" ht="15" customHeight="1" x14ac:dyDescent="0.2">
      <c r="A142" s="117"/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</row>
    <row r="143" spans="1:54" ht="27" customHeight="1" x14ac:dyDescent="0.2">
      <c r="A143" s="159" t="s">
        <v>62</v>
      </c>
      <c r="B143" s="159"/>
      <c r="C143" s="159" t="s">
        <v>63</v>
      </c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  <c r="AU143" s="159"/>
      <c r="AV143" s="159"/>
      <c r="AW143" s="159"/>
      <c r="AX143" s="160"/>
      <c r="AY143" s="160"/>
      <c r="AZ143" s="160"/>
      <c r="BA143" s="160"/>
      <c r="BB143" s="160"/>
    </row>
    <row r="144" spans="1:54" ht="21.75" customHeight="1" thickBot="1" x14ac:dyDescent="0.25"/>
    <row r="145" spans="1:61" ht="63" customHeight="1" thickBot="1" x14ac:dyDescent="0.25">
      <c r="A145" s="871" t="s">
        <v>54</v>
      </c>
      <c r="B145" s="871"/>
      <c r="C145" s="871"/>
      <c r="D145" s="871"/>
      <c r="E145" s="871"/>
      <c r="F145" s="871"/>
      <c r="G145" s="871"/>
      <c r="H145" s="873" t="s">
        <v>64</v>
      </c>
      <c r="I145" s="873"/>
      <c r="J145" s="873"/>
      <c r="K145" s="873"/>
      <c r="L145" s="873"/>
      <c r="M145" s="873" t="s">
        <v>94</v>
      </c>
      <c r="N145" s="873"/>
      <c r="O145" s="873"/>
      <c r="P145" s="873"/>
      <c r="Q145" s="873"/>
      <c r="R145" s="873" t="s">
        <v>82</v>
      </c>
      <c r="S145" s="873"/>
      <c r="T145" s="873"/>
      <c r="U145" s="873"/>
      <c r="V145" s="873" t="s">
        <v>65</v>
      </c>
      <c r="W145" s="873"/>
      <c r="X145" s="873"/>
      <c r="Y145" s="873"/>
      <c r="Z145" s="873" t="s">
        <v>66</v>
      </c>
      <c r="AA145" s="873"/>
      <c r="AB145" s="873"/>
      <c r="AC145" s="873"/>
      <c r="AD145" s="873" t="s">
        <v>67</v>
      </c>
      <c r="AE145" s="873"/>
      <c r="AF145" s="873"/>
      <c r="AG145" s="873"/>
      <c r="AH145" s="873"/>
      <c r="AI145" s="873"/>
      <c r="AJ145" s="873"/>
      <c r="AK145" s="873"/>
      <c r="AL145" s="873"/>
      <c r="AM145" s="873"/>
      <c r="AN145" s="873"/>
      <c r="AO145" s="873"/>
      <c r="AP145" s="873"/>
      <c r="AQ145" s="873" t="s">
        <v>616</v>
      </c>
      <c r="AR145" s="873"/>
      <c r="AS145" s="873"/>
      <c r="AT145" s="873"/>
      <c r="AU145" s="873" t="s">
        <v>615</v>
      </c>
      <c r="AV145" s="873"/>
      <c r="AW145" s="873"/>
      <c r="AX145" s="873"/>
      <c r="AY145" s="873" t="s">
        <v>87</v>
      </c>
      <c r="AZ145" s="873"/>
      <c r="BA145" s="873"/>
      <c r="BB145" s="873"/>
    </row>
    <row r="146" spans="1:61" ht="71.25" customHeight="1" thickBot="1" x14ac:dyDescent="0.25">
      <c r="A146" s="871"/>
      <c r="B146" s="871"/>
      <c r="C146" s="871"/>
      <c r="D146" s="871"/>
      <c r="E146" s="871"/>
      <c r="F146" s="871"/>
      <c r="G146" s="871"/>
      <c r="H146" s="873" t="s">
        <v>68</v>
      </c>
      <c r="I146" s="873"/>
      <c r="J146" s="873"/>
      <c r="K146" s="873"/>
      <c r="L146" s="873"/>
      <c r="M146" s="873" t="s">
        <v>68</v>
      </c>
      <c r="N146" s="873"/>
      <c r="O146" s="873"/>
      <c r="P146" s="873"/>
      <c r="Q146" s="873"/>
      <c r="R146" s="873"/>
      <c r="S146" s="873"/>
      <c r="T146" s="873"/>
      <c r="U146" s="873"/>
      <c r="V146" s="873"/>
      <c r="W146" s="873"/>
      <c r="X146" s="873"/>
      <c r="Y146" s="873"/>
      <c r="Z146" s="873"/>
      <c r="AA146" s="873"/>
      <c r="AB146" s="873"/>
      <c r="AC146" s="873"/>
      <c r="AD146" s="873" t="s">
        <v>68</v>
      </c>
      <c r="AE146" s="873"/>
      <c r="AF146" s="873"/>
      <c r="AG146" s="873"/>
      <c r="AH146" s="873"/>
      <c r="AI146" s="873"/>
      <c r="AJ146" s="873" t="s">
        <v>69</v>
      </c>
      <c r="AK146" s="873"/>
      <c r="AL146" s="873"/>
      <c r="AM146" s="873"/>
      <c r="AN146" s="873"/>
      <c r="AO146" s="873"/>
      <c r="AP146" s="873"/>
      <c r="AQ146" s="873" t="s">
        <v>68</v>
      </c>
      <c r="AR146" s="873"/>
      <c r="AS146" s="873"/>
      <c r="AT146" s="873"/>
      <c r="AU146" s="873" t="s">
        <v>68</v>
      </c>
      <c r="AV146" s="873"/>
      <c r="AW146" s="873"/>
      <c r="AX146" s="873"/>
      <c r="AY146" s="873" t="s">
        <v>68</v>
      </c>
      <c r="AZ146" s="873"/>
      <c r="BA146" s="873"/>
      <c r="BB146" s="873"/>
    </row>
    <row r="147" spans="1:61" ht="22.5" customHeight="1" thickBot="1" x14ac:dyDescent="0.25">
      <c r="A147" s="870">
        <v>1</v>
      </c>
      <c r="B147" s="870"/>
      <c r="C147" s="870"/>
      <c r="D147" s="870"/>
      <c r="E147" s="870"/>
      <c r="F147" s="870"/>
      <c r="G147" s="870"/>
      <c r="H147" s="870">
        <v>2</v>
      </c>
      <c r="I147" s="870"/>
      <c r="J147" s="870"/>
      <c r="K147" s="870"/>
      <c r="L147" s="870"/>
      <c r="M147" s="870">
        <v>3</v>
      </c>
      <c r="N147" s="870"/>
      <c r="O147" s="870"/>
      <c r="P147" s="870"/>
      <c r="Q147" s="870"/>
      <c r="R147" s="870">
        <v>4</v>
      </c>
      <c r="S147" s="870"/>
      <c r="T147" s="870"/>
      <c r="U147" s="870"/>
      <c r="V147" s="870">
        <v>5</v>
      </c>
      <c r="W147" s="870"/>
      <c r="X147" s="870"/>
      <c r="Y147" s="870"/>
      <c r="Z147" s="870">
        <v>6</v>
      </c>
      <c r="AA147" s="870"/>
      <c r="AB147" s="870"/>
      <c r="AC147" s="870"/>
      <c r="AD147" s="870">
        <v>7</v>
      </c>
      <c r="AE147" s="870"/>
      <c r="AF147" s="870"/>
      <c r="AG147" s="870"/>
      <c r="AH147" s="870"/>
      <c r="AI147" s="870"/>
      <c r="AJ147" s="870">
        <v>8</v>
      </c>
      <c r="AK147" s="870"/>
      <c r="AL147" s="870"/>
      <c r="AM147" s="870"/>
      <c r="AN147" s="870"/>
      <c r="AO147" s="870"/>
      <c r="AP147" s="870"/>
      <c r="AQ147" s="870">
        <v>9</v>
      </c>
      <c r="AR147" s="870"/>
      <c r="AS147" s="870"/>
      <c r="AT147" s="870"/>
      <c r="AU147" s="870">
        <v>10</v>
      </c>
      <c r="AV147" s="870"/>
      <c r="AW147" s="870"/>
      <c r="AX147" s="870"/>
      <c r="AY147" s="870">
        <v>11</v>
      </c>
      <c r="AZ147" s="870"/>
      <c r="BA147" s="870"/>
      <c r="BB147" s="870"/>
    </row>
    <row r="148" spans="1:61" ht="24.75" customHeight="1" x14ac:dyDescent="0.2">
      <c r="A148" s="618" t="s">
        <v>70</v>
      </c>
      <c r="B148" s="619"/>
      <c r="C148" s="619"/>
      <c r="D148" s="619"/>
      <c r="E148" s="619"/>
      <c r="F148" s="619"/>
      <c r="G148" s="619"/>
      <c r="H148" s="477">
        <f>AO88/V148</f>
        <v>70.412159999999986</v>
      </c>
      <c r="I148" s="477"/>
      <c r="J148" s="477"/>
      <c r="K148" s="477"/>
      <c r="L148" s="477"/>
      <c r="M148" s="477">
        <f>H148</f>
        <v>70.412159999999986</v>
      </c>
      <c r="N148" s="477"/>
      <c r="O148" s="477"/>
      <c r="P148" s="477"/>
      <c r="Q148" s="477"/>
      <c r="R148" s="508">
        <f>U12</f>
        <v>18</v>
      </c>
      <c r="S148" s="509"/>
      <c r="T148" s="509"/>
      <c r="U148" s="510"/>
      <c r="V148" s="807">
        <f>Y16</f>
        <v>12</v>
      </c>
      <c r="W148" s="807"/>
      <c r="X148" s="807"/>
      <c r="Y148" s="807"/>
      <c r="Z148" s="807">
        <f>U16</f>
        <v>1</v>
      </c>
      <c r="AA148" s="807"/>
      <c r="AB148" s="807"/>
      <c r="AC148" s="807"/>
      <c r="AD148" s="809" t="s">
        <v>71</v>
      </c>
      <c r="AE148" s="810"/>
      <c r="AF148" s="810"/>
      <c r="AG148" s="810"/>
      <c r="AH148" s="810"/>
      <c r="AI148" s="811"/>
      <c r="AJ148" s="812"/>
      <c r="AK148" s="813"/>
      <c r="AL148" s="813"/>
      <c r="AM148" s="813"/>
      <c r="AN148" s="813"/>
      <c r="AO148" s="813"/>
      <c r="AP148" s="814"/>
      <c r="AQ148" s="477">
        <f>H148*4</f>
        <v>281.64863999999994</v>
      </c>
      <c r="AR148" s="477"/>
      <c r="AS148" s="477"/>
      <c r="AT148" s="477"/>
      <c r="AU148" s="477">
        <f>M148*1</f>
        <v>70.412159999999986</v>
      </c>
      <c r="AV148" s="477"/>
      <c r="AW148" s="477"/>
      <c r="AX148" s="477"/>
      <c r="AY148" s="477">
        <f>H148*R148</f>
        <v>1267.4188799999997</v>
      </c>
      <c r="AZ148" s="477"/>
      <c r="BA148" s="477"/>
      <c r="BB148" s="481"/>
    </row>
    <row r="149" spans="1:61" ht="12" x14ac:dyDescent="0.2">
      <c r="A149" s="527" t="s">
        <v>72</v>
      </c>
      <c r="B149" s="528"/>
      <c r="C149" s="528"/>
      <c r="D149" s="528"/>
      <c r="E149" s="528"/>
      <c r="F149" s="528"/>
      <c r="G149" s="528"/>
      <c r="H149" s="529">
        <f>AV98</f>
        <v>27.981753675099391</v>
      </c>
      <c r="I149" s="529"/>
      <c r="J149" s="529"/>
      <c r="K149" s="529"/>
      <c r="L149" s="529"/>
      <c r="M149" s="477">
        <f t="shared" ref="M149:M151" si="3">H149</f>
        <v>27.981753675099391</v>
      </c>
      <c r="N149" s="477"/>
      <c r="O149" s="477"/>
      <c r="P149" s="477"/>
      <c r="Q149" s="477"/>
      <c r="R149" s="511"/>
      <c r="S149" s="512"/>
      <c r="T149" s="512"/>
      <c r="U149" s="513"/>
      <c r="V149" s="518"/>
      <c r="W149" s="518"/>
      <c r="X149" s="518"/>
      <c r="Y149" s="518"/>
      <c r="Z149" s="518"/>
      <c r="AA149" s="518"/>
      <c r="AB149" s="518"/>
      <c r="AC149" s="518"/>
      <c r="AD149" s="477" t="s">
        <v>71</v>
      </c>
      <c r="AE149" s="477"/>
      <c r="AF149" s="477"/>
      <c r="AG149" s="477"/>
      <c r="AH149" s="477"/>
      <c r="AI149" s="477"/>
      <c r="AJ149" s="478"/>
      <c r="AK149" s="479"/>
      <c r="AL149" s="479"/>
      <c r="AM149" s="479"/>
      <c r="AN149" s="479"/>
      <c r="AO149" s="479"/>
      <c r="AP149" s="480"/>
      <c r="AQ149" s="477">
        <f>H149*4</f>
        <v>111.92701470039756</v>
      </c>
      <c r="AR149" s="477"/>
      <c r="AS149" s="477"/>
      <c r="AT149" s="477"/>
      <c r="AU149" s="477">
        <f>M149*1</f>
        <v>27.981753675099391</v>
      </c>
      <c r="AV149" s="477"/>
      <c r="AW149" s="477"/>
      <c r="AX149" s="477"/>
      <c r="AY149" s="477">
        <f>H149*R148</f>
        <v>503.67156615178902</v>
      </c>
      <c r="AZ149" s="477"/>
      <c r="BA149" s="477"/>
      <c r="BB149" s="481"/>
    </row>
    <row r="150" spans="1:61" ht="15" customHeight="1" x14ac:dyDescent="0.2">
      <c r="A150" s="527" t="s">
        <v>73</v>
      </c>
      <c r="B150" s="528"/>
      <c r="C150" s="528"/>
      <c r="D150" s="528"/>
      <c r="E150" s="528"/>
      <c r="F150" s="528"/>
      <c r="G150" s="528"/>
      <c r="H150" s="529">
        <f>AU129</f>
        <v>93.913888888888891</v>
      </c>
      <c r="I150" s="529"/>
      <c r="J150" s="529"/>
      <c r="K150" s="529"/>
      <c r="L150" s="529"/>
      <c r="M150" s="477">
        <f t="shared" si="3"/>
        <v>93.913888888888891</v>
      </c>
      <c r="N150" s="477"/>
      <c r="O150" s="477"/>
      <c r="P150" s="477"/>
      <c r="Q150" s="477"/>
      <c r="R150" s="511"/>
      <c r="S150" s="512"/>
      <c r="T150" s="512"/>
      <c r="U150" s="513"/>
      <c r="V150" s="518"/>
      <c r="W150" s="518"/>
      <c r="X150" s="518"/>
      <c r="Y150" s="518"/>
      <c r="Z150" s="518"/>
      <c r="AA150" s="518"/>
      <c r="AB150" s="518"/>
      <c r="AC150" s="518"/>
      <c r="AD150" s="477" t="s">
        <v>71</v>
      </c>
      <c r="AE150" s="477"/>
      <c r="AF150" s="477"/>
      <c r="AG150" s="477"/>
      <c r="AH150" s="477"/>
      <c r="AI150" s="477"/>
      <c r="AJ150" s="478"/>
      <c r="AK150" s="479"/>
      <c r="AL150" s="479"/>
      <c r="AM150" s="479"/>
      <c r="AN150" s="479"/>
      <c r="AO150" s="479"/>
      <c r="AP150" s="480"/>
      <c r="AQ150" s="477">
        <f>H150*4</f>
        <v>375.65555555555557</v>
      </c>
      <c r="AR150" s="477"/>
      <c r="AS150" s="477"/>
      <c r="AT150" s="477"/>
      <c r="AU150" s="477">
        <f>M150*1</f>
        <v>93.913888888888891</v>
      </c>
      <c r="AV150" s="477"/>
      <c r="AW150" s="477"/>
      <c r="AX150" s="477"/>
      <c r="AY150" s="477">
        <f>H150*R148</f>
        <v>1690.45</v>
      </c>
      <c r="AZ150" s="477"/>
      <c r="BA150" s="477"/>
      <c r="BB150" s="481"/>
    </row>
    <row r="151" spans="1:61" ht="12.75" thickBot="1" x14ac:dyDescent="0.25">
      <c r="A151" s="815" t="s">
        <v>74</v>
      </c>
      <c r="B151" s="816"/>
      <c r="C151" s="816"/>
      <c r="D151" s="816"/>
      <c r="E151" s="816"/>
      <c r="F151" s="816"/>
      <c r="G151" s="816"/>
      <c r="H151" s="627">
        <f>AU141</f>
        <v>0</v>
      </c>
      <c r="I151" s="627"/>
      <c r="J151" s="627"/>
      <c r="K151" s="627"/>
      <c r="L151" s="627"/>
      <c r="M151" s="477">
        <f t="shared" si="3"/>
        <v>0</v>
      </c>
      <c r="N151" s="477"/>
      <c r="O151" s="477"/>
      <c r="P151" s="477"/>
      <c r="Q151" s="477"/>
      <c r="R151" s="514"/>
      <c r="S151" s="515"/>
      <c r="T151" s="515"/>
      <c r="U151" s="516"/>
      <c r="V151" s="808"/>
      <c r="W151" s="808"/>
      <c r="X151" s="808"/>
      <c r="Y151" s="808"/>
      <c r="Z151" s="808"/>
      <c r="AA151" s="808"/>
      <c r="AB151" s="808"/>
      <c r="AC151" s="808"/>
      <c r="AD151" s="477" t="s">
        <v>71</v>
      </c>
      <c r="AE151" s="477"/>
      <c r="AF151" s="477"/>
      <c r="AG151" s="477"/>
      <c r="AH151" s="477"/>
      <c r="AI151" s="477"/>
      <c r="AJ151" s="496" t="s">
        <v>17</v>
      </c>
      <c r="AK151" s="497"/>
      <c r="AL151" s="497"/>
      <c r="AM151" s="497"/>
      <c r="AN151" s="497"/>
      <c r="AO151" s="497"/>
      <c r="AP151" s="498"/>
      <c r="AQ151" s="874">
        <f t="shared" ref="AQ151" si="4">H151*8</f>
        <v>0</v>
      </c>
      <c r="AR151" s="874"/>
      <c r="AS151" s="874"/>
      <c r="AT151" s="874"/>
      <c r="AU151" s="874">
        <f t="shared" ref="AU151" si="5">M151*2</f>
        <v>0</v>
      </c>
      <c r="AV151" s="874"/>
      <c r="AW151" s="874"/>
      <c r="AX151" s="874"/>
      <c r="AY151" s="627">
        <f>H151*R148</f>
        <v>0</v>
      </c>
      <c r="AZ151" s="627"/>
      <c r="BA151" s="627"/>
      <c r="BB151" s="875"/>
    </row>
    <row r="152" spans="1:61" ht="25.5" customHeight="1" x14ac:dyDescent="0.2">
      <c r="A152" s="485" t="s">
        <v>80</v>
      </c>
      <c r="B152" s="486"/>
      <c r="C152" s="486"/>
      <c r="D152" s="486"/>
      <c r="E152" s="486"/>
      <c r="F152" s="486"/>
      <c r="G152" s="487"/>
      <c r="H152" s="488">
        <f>SUM(H148:L151)</f>
        <v>192.30780256398828</v>
      </c>
      <c r="I152" s="488"/>
      <c r="J152" s="488"/>
      <c r="K152" s="488"/>
      <c r="L152" s="488"/>
      <c r="M152" s="488">
        <f>SUM(M148:Q151)</f>
        <v>192.30780256398828</v>
      </c>
      <c r="N152" s="488"/>
      <c r="O152" s="488"/>
      <c r="P152" s="488"/>
      <c r="Q152" s="488"/>
      <c r="R152" s="489">
        <f>R148</f>
        <v>18</v>
      </c>
      <c r="S152" s="489"/>
      <c r="T152" s="489"/>
      <c r="U152" s="489"/>
      <c r="V152" s="490">
        <f>V148</f>
        <v>12</v>
      </c>
      <c r="W152" s="490"/>
      <c r="X152" s="490"/>
      <c r="Y152" s="490"/>
      <c r="Z152" s="490">
        <f>Z148</f>
        <v>1</v>
      </c>
      <c r="AA152" s="490"/>
      <c r="AB152" s="490"/>
      <c r="AC152" s="490"/>
      <c r="AD152" s="488" t="s">
        <v>17</v>
      </c>
      <c r="AE152" s="488"/>
      <c r="AF152" s="488"/>
      <c r="AG152" s="488"/>
      <c r="AH152" s="488"/>
      <c r="AI152" s="488"/>
      <c r="AJ152" s="491" t="s">
        <v>17</v>
      </c>
      <c r="AK152" s="492"/>
      <c r="AL152" s="492"/>
      <c r="AM152" s="492"/>
      <c r="AN152" s="492"/>
      <c r="AO152" s="492"/>
      <c r="AP152" s="493"/>
      <c r="AQ152" s="453">
        <f>SUM(AQ148:AT151)</f>
        <v>769.2312102559531</v>
      </c>
      <c r="AR152" s="453"/>
      <c r="AS152" s="453"/>
      <c r="AT152" s="453"/>
      <c r="AU152" s="453">
        <f>SUM(AU148:AX151)</f>
        <v>192.30780256398828</v>
      </c>
      <c r="AV152" s="453"/>
      <c r="AW152" s="453"/>
      <c r="AX152" s="453"/>
      <c r="AY152" s="453">
        <f>SUM(AY148:BB151)</f>
        <v>3461.5404461517887</v>
      </c>
      <c r="AZ152" s="453"/>
      <c r="BA152" s="453"/>
      <c r="BB152" s="454"/>
    </row>
    <row r="153" spans="1:61" ht="30.75" customHeight="1" x14ac:dyDescent="0.2">
      <c r="A153" s="455" t="s">
        <v>75</v>
      </c>
      <c r="B153" s="456"/>
      <c r="C153" s="456"/>
      <c r="D153" s="456"/>
      <c r="E153" s="456"/>
      <c r="F153" s="456"/>
      <c r="G153" s="215">
        <v>0.3</v>
      </c>
      <c r="H153" s="457">
        <f>H152*G153</f>
        <v>57.692340769196477</v>
      </c>
      <c r="I153" s="457"/>
      <c r="J153" s="457"/>
      <c r="K153" s="457"/>
      <c r="L153" s="457"/>
      <c r="M153" s="457">
        <f>M152*G153</f>
        <v>57.692340769196477</v>
      </c>
      <c r="N153" s="457"/>
      <c r="O153" s="457"/>
      <c r="P153" s="457"/>
      <c r="Q153" s="457"/>
      <c r="R153" s="818">
        <f>R148</f>
        <v>18</v>
      </c>
      <c r="S153" s="819"/>
      <c r="T153" s="819"/>
      <c r="U153" s="820"/>
      <c r="V153" s="821">
        <f>V148</f>
        <v>12</v>
      </c>
      <c r="W153" s="819"/>
      <c r="X153" s="819"/>
      <c r="Y153" s="820"/>
      <c r="Z153" s="821">
        <f>Z148</f>
        <v>1</v>
      </c>
      <c r="AA153" s="819"/>
      <c r="AB153" s="819"/>
      <c r="AC153" s="820"/>
      <c r="AD153" s="462" t="s">
        <v>17</v>
      </c>
      <c r="AE153" s="462"/>
      <c r="AF153" s="462"/>
      <c r="AG153" s="462"/>
      <c r="AH153" s="462"/>
      <c r="AI153" s="462"/>
      <c r="AJ153" s="462" t="s">
        <v>17</v>
      </c>
      <c r="AK153" s="462"/>
      <c r="AL153" s="462"/>
      <c r="AM153" s="462"/>
      <c r="AN153" s="462"/>
      <c r="AO153" s="462"/>
      <c r="AP153" s="462"/>
      <c r="AQ153" s="466">
        <f>AQ152*G153</f>
        <v>230.76936307678591</v>
      </c>
      <c r="AR153" s="466"/>
      <c r="AS153" s="466"/>
      <c r="AT153" s="466"/>
      <c r="AU153" s="466">
        <f>AU152*G153</f>
        <v>57.692340769196477</v>
      </c>
      <c r="AV153" s="466"/>
      <c r="AW153" s="466"/>
      <c r="AX153" s="466"/>
      <c r="AY153" s="466">
        <f>AY152*G153</f>
        <v>1038.4621338455365</v>
      </c>
      <c r="AZ153" s="466"/>
      <c r="BA153" s="466"/>
      <c r="BB153" s="467"/>
    </row>
    <row r="154" spans="1:61" ht="30.75" customHeight="1" thickBot="1" x14ac:dyDescent="0.25">
      <c r="A154" s="468" t="s">
        <v>81</v>
      </c>
      <c r="B154" s="469"/>
      <c r="C154" s="469"/>
      <c r="D154" s="469"/>
      <c r="E154" s="469"/>
      <c r="F154" s="469"/>
      <c r="G154" s="470"/>
      <c r="H154" s="464">
        <f>H152+H153</f>
        <v>250.00014333318475</v>
      </c>
      <c r="I154" s="464"/>
      <c r="J154" s="464"/>
      <c r="K154" s="464"/>
      <c r="L154" s="464"/>
      <c r="M154" s="471">
        <f>M152+M153</f>
        <v>250.00014333318475</v>
      </c>
      <c r="N154" s="472"/>
      <c r="O154" s="472"/>
      <c r="P154" s="472"/>
      <c r="Q154" s="473"/>
      <c r="R154" s="825">
        <f>R148</f>
        <v>18</v>
      </c>
      <c r="S154" s="826"/>
      <c r="T154" s="826"/>
      <c r="U154" s="827"/>
      <c r="V154" s="828">
        <f>V148</f>
        <v>12</v>
      </c>
      <c r="W154" s="829"/>
      <c r="X154" s="829"/>
      <c r="Y154" s="830"/>
      <c r="Z154" s="828">
        <f>Z148</f>
        <v>1</v>
      </c>
      <c r="AA154" s="829"/>
      <c r="AB154" s="829"/>
      <c r="AC154" s="830"/>
      <c r="AD154" s="463" t="s">
        <v>17</v>
      </c>
      <c r="AE154" s="463"/>
      <c r="AF154" s="463"/>
      <c r="AG154" s="463"/>
      <c r="AH154" s="463"/>
      <c r="AI154" s="463"/>
      <c r="AJ154" s="463" t="s">
        <v>17</v>
      </c>
      <c r="AK154" s="463"/>
      <c r="AL154" s="463"/>
      <c r="AM154" s="463"/>
      <c r="AN154" s="463"/>
      <c r="AO154" s="463"/>
      <c r="AP154" s="463"/>
      <c r="AQ154" s="464">
        <f>AQ152+AQ153</f>
        <v>1000.000573332739</v>
      </c>
      <c r="AR154" s="464"/>
      <c r="AS154" s="464"/>
      <c r="AT154" s="464"/>
      <c r="AU154" s="464">
        <f>AU152+AU153</f>
        <v>250.00014333318475</v>
      </c>
      <c r="AV154" s="464"/>
      <c r="AW154" s="464"/>
      <c r="AX154" s="464"/>
      <c r="AY154" s="876">
        <f>AY152+AY153</f>
        <v>4500.0025799973255</v>
      </c>
      <c r="AZ154" s="876"/>
      <c r="BA154" s="876"/>
      <c r="BB154" s="877"/>
      <c r="BE154" s="216"/>
      <c r="BF154" s="216"/>
    </row>
    <row r="155" spans="1:61" ht="16.5" customHeight="1" x14ac:dyDescent="0.2">
      <c r="BC155" s="432"/>
      <c r="BD155" s="432"/>
      <c r="BE155" s="216"/>
      <c r="BF155" s="216"/>
      <c r="BG155" s="216"/>
      <c r="BH155" s="216"/>
      <c r="BI155" s="216"/>
    </row>
    <row r="156" spans="1:61" ht="12" customHeight="1" x14ac:dyDescent="0.2">
      <c r="BC156" s="432"/>
      <c r="BD156" s="432"/>
      <c r="BE156" s="216"/>
      <c r="BF156" s="216"/>
    </row>
    <row r="157" spans="1:61" ht="14.25" customHeight="1" x14ac:dyDescent="0.25">
      <c r="B157" s="452" t="s">
        <v>221</v>
      </c>
      <c r="C157" s="452"/>
      <c r="D157" s="452"/>
      <c r="E157" s="452"/>
      <c r="F157" s="452"/>
      <c r="G157" s="452"/>
      <c r="H157" s="452"/>
      <c r="I157" s="452"/>
      <c r="J157" s="452"/>
      <c r="K157" s="452"/>
      <c r="L157" s="452"/>
      <c r="M157" s="452"/>
      <c r="N157" s="452"/>
      <c r="O157" s="452"/>
      <c r="P157" s="452"/>
      <c r="Q157" s="452"/>
      <c r="R157" s="452"/>
      <c r="S157" s="452"/>
      <c r="U157" s="164"/>
      <c r="V157" s="164"/>
      <c r="W157" s="164"/>
      <c r="X157" s="217"/>
      <c r="Y157" s="217"/>
      <c r="Z157" s="217"/>
      <c r="AA157" s="217"/>
      <c r="AB157" s="217"/>
      <c r="AC157" s="217"/>
      <c r="AD157" s="217"/>
      <c r="AE157" s="217"/>
      <c r="AF157" s="217"/>
      <c r="AG157" s="217"/>
      <c r="AH157" s="217"/>
      <c r="AI157" s="217"/>
      <c r="AJ157" s="217"/>
      <c r="AK157" s="217"/>
      <c r="AM157" s="822" t="s">
        <v>222</v>
      </c>
      <c r="AN157" s="443"/>
      <c r="AO157" s="443"/>
      <c r="AP157" s="443"/>
      <c r="AQ157" s="443"/>
      <c r="AR157" s="443"/>
      <c r="AS157" s="443"/>
      <c r="AT157" s="443"/>
      <c r="AU157" s="443"/>
      <c r="AV157" s="443"/>
      <c r="AW157" s="443"/>
      <c r="AX157" s="443"/>
      <c r="AY157" s="443"/>
      <c r="AZ157" s="443"/>
      <c r="BA157" s="443"/>
      <c r="BB157" s="443"/>
      <c r="BC157" s="432"/>
      <c r="BD157" s="432"/>
      <c r="BE157" s="216"/>
      <c r="BF157" s="216"/>
    </row>
    <row r="158" spans="1:61" ht="8.25" customHeight="1" x14ac:dyDescent="0.2">
      <c r="B158" s="452" t="s">
        <v>78</v>
      </c>
      <c r="C158" s="452"/>
      <c r="D158" s="452"/>
      <c r="E158" s="452"/>
      <c r="F158" s="452"/>
      <c r="G158" s="452"/>
      <c r="H158" s="452"/>
      <c r="I158" s="452"/>
      <c r="J158" s="452"/>
      <c r="K158" s="452"/>
      <c r="L158" s="452"/>
      <c r="M158" s="452"/>
      <c r="N158" s="452"/>
      <c r="O158" s="452"/>
      <c r="P158" s="452"/>
      <c r="Q158" s="452"/>
      <c r="R158" s="452"/>
      <c r="S158" s="452"/>
      <c r="AM158" s="822" t="s">
        <v>418</v>
      </c>
      <c r="AN158" s="822"/>
      <c r="AO158" s="822"/>
      <c r="AP158" s="822"/>
      <c r="AQ158" s="822"/>
      <c r="AR158" s="822"/>
      <c r="AS158" s="822"/>
      <c r="AT158" s="822"/>
      <c r="AU158" s="822"/>
      <c r="AV158" s="822"/>
      <c r="AW158" s="822"/>
      <c r="AX158" s="822"/>
      <c r="AY158" s="822"/>
      <c r="AZ158" s="822"/>
      <c r="BA158" s="822"/>
      <c r="BB158" s="822"/>
      <c r="BC158" s="822"/>
    </row>
    <row r="159" spans="1:61" ht="19.5" customHeight="1" x14ac:dyDescent="0.2">
      <c r="B159" s="452"/>
      <c r="C159" s="452"/>
      <c r="D159" s="452"/>
      <c r="E159" s="452"/>
      <c r="F159" s="452"/>
      <c r="G159" s="452"/>
      <c r="H159" s="452"/>
      <c r="I159" s="452"/>
      <c r="J159" s="452"/>
      <c r="K159" s="452"/>
      <c r="L159" s="452"/>
      <c r="M159" s="452"/>
      <c r="N159" s="452"/>
      <c r="O159" s="452"/>
      <c r="P159" s="452"/>
      <c r="Q159" s="452"/>
      <c r="R159" s="452"/>
      <c r="S159" s="452"/>
      <c r="U159" s="164"/>
      <c r="V159" s="164"/>
      <c r="W159" s="164"/>
      <c r="X159" s="217"/>
      <c r="Y159" s="217"/>
      <c r="Z159" s="217"/>
      <c r="AA159" s="217"/>
      <c r="AB159" s="217"/>
      <c r="AC159" s="217"/>
      <c r="AD159" s="217"/>
      <c r="AE159" s="217"/>
      <c r="AF159" s="217"/>
      <c r="AG159" s="217"/>
      <c r="AH159" s="217"/>
      <c r="AI159" s="217"/>
      <c r="AJ159" s="217"/>
      <c r="AK159" s="217"/>
      <c r="AM159" s="822"/>
      <c r="AN159" s="822"/>
      <c r="AO159" s="822"/>
      <c r="AP159" s="822"/>
      <c r="AQ159" s="822"/>
      <c r="AR159" s="822"/>
      <c r="AS159" s="822"/>
      <c r="AT159" s="822"/>
      <c r="AU159" s="822"/>
      <c r="AV159" s="822"/>
      <c r="AW159" s="822"/>
      <c r="AX159" s="822"/>
      <c r="AY159" s="822"/>
      <c r="AZ159" s="822"/>
      <c r="BA159" s="822"/>
      <c r="BB159" s="822"/>
      <c r="BC159" s="822"/>
      <c r="BG159" s="216"/>
    </row>
    <row r="160" spans="1:61" ht="13.5" customHeight="1" x14ac:dyDescent="0.2"/>
    <row r="161" spans="1:91" ht="13.5" customHeight="1" x14ac:dyDescent="0.2">
      <c r="A161" s="219" t="s">
        <v>125</v>
      </c>
      <c r="B161" s="219"/>
      <c r="C161" s="219"/>
      <c r="D161" s="219"/>
      <c r="BG161" s="216"/>
    </row>
    <row r="163" spans="1:91" ht="12" x14ac:dyDescent="0.2">
      <c r="BB163" s="432" t="s">
        <v>634</v>
      </c>
      <c r="BC163" s="432"/>
      <c r="BD163" s="432"/>
      <c r="BE163" s="432"/>
      <c r="BF163" s="432"/>
      <c r="BG163" s="432"/>
      <c r="BH163" s="432"/>
      <c r="BI163" s="432"/>
      <c r="BJ163" s="432"/>
      <c r="BK163" s="432"/>
      <c r="BL163" s="432"/>
      <c r="BM163" s="432"/>
      <c r="BN163" s="432"/>
      <c r="BO163" s="432"/>
      <c r="BP163" s="432"/>
      <c r="BQ163" s="432"/>
      <c r="BR163" s="432"/>
      <c r="BS163" s="432"/>
      <c r="BT163" s="432"/>
      <c r="BU163" s="432"/>
      <c r="BV163" s="432"/>
      <c r="BW163" s="432"/>
      <c r="BX163" s="432"/>
    </row>
    <row r="164" spans="1:91" ht="12" x14ac:dyDescent="0.2">
      <c r="BB164" s="432" t="s">
        <v>126</v>
      </c>
      <c r="BC164" s="432"/>
      <c r="BD164" s="432"/>
      <c r="BE164" s="433">
        <f>250*374</f>
        <v>93500</v>
      </c>
      <c r="BF164" s="433"/>
      <c r="BG164" s="433"/>
      <c r="BH164" s="433"/>
      <c r="BI164" s="433"/>
      <c r="BJ164" s="348" t="s">
        <v>127</v>
      </c>
      <c r="BK164" s="348"/>
      <c r="BL164" s="348"/>
      <c r="BM164" s="348"/>
      <c r="BN164" s="348"/>
      <c r="BO164" s="348"/>
      <c r="BP164" s="348"/>
      <c r="BQ164" s="348"/>
    </row>
    <row r="165" spans="1:91" ht="15" x14ac:dyDescent="0.25">
      <c r="BB165" s="434">
        <v>0.6</v>
      </c>
      <c r="BC165" s="432"/>
      <c r="BD165" s="432"/>
      <c r="BE165" s="216">
        <f>BE164*BB165</f>
        <v>56100</v>
      </c>
      <c r="BF165" s="432" t="s">
        <v>128</v>
      </c>
      <c r="BG165" s="432"/>
      <c r="BH165" s="432"/>
      <c r="BI165" s="432"/>
      <c r="BJ165" s="432"/>
      <c r="BK165" s="432" t="s">
        <v>129</v>
      </c>
      <c r="BL165" s="432"/>
      <c r="BM165" s="432"/>
      <c r="BN165" s="432"/>
      <c r="BO165" s="432"/>
      <c r="BP165" s="432"/>
      <c r="BQ165" s="432"/>
      <c r="BZ165" s="432" t="s">
        <v>368</v>
      </c>
      <c r="CA165" s="443"/>
      <c r="CB165" s="443"/>
      <c r="CC165" s="443"/>
      <c r="CD165" s="443"/>
      <c r="CE165" s="443"/>
      <c r="CH165" s="432" t="s">
        <v>366</v>
      </c>
      <c r="CI165" s="443"/>
      <c r="CJ165" s="443"/>
      <c r="CK165" s="443"/>
      <c r="CL165" s="443"/>
      <c r="CM165" s="443"/>
    </row>
    <row r="166" spans="1:91" ht="15" x14ac:dyDescent="0.25">
      <c r="BB166" s="432">
        <v>211</v>
      </c>
      <c r="BC166" s="432"/>
      <c r="BD166" s="432"/>
      <c r="BE166" s="216">
        <f>BE165-BE167</f>
        <v>43087.557603686633</v>
      </c>
      <c r="BF166" s="435">
        <f>BE166*0.2</f>
        <v>8617.5115207373274</v>
      </c>
      <c r="BG166" s="435"/>
      <c r="BH166" s="435"/>
      <c r="BI166" s="435"/>
      <c r="BJ166" s="435"/>
      <c r="BK166" s="436">
        <f>BE166-BF166</f>
        <v>34470.046082949309</v>
      </c>
      <c r="BL166" s="445"/>
      <c r="BM166" s="445"/>
      <c r="BN166" s="445"/>
      <c r="BO166" s="445"/>
      <c r="BP166" s="445"/>
      <c r="BQ166" s="445"/>
      <c r="BZ166" s="840">
        <f>BF166*15/20</f>
        <v>6463.1336405529955</v>
      </c>
      <c r="CA166" s="841"/>
      <c r="CB166" s="841"/>
      <c r="CC166" s="841"/>
      <c r="CD166" s="841"/>
      <c r="CE166" s="841"/>
      <c r="CH166" s="840">
        <f>BF166*5/20</f>
        <v>2154.3778801843318</v>
      </c>
      <c r="CI166" s="841"/>
      <c r="CJ166" s="841"/>
      <c r="CK166" s="841"/>
      <c r="CL166" s="841"/>
      <c r="CM166" s="841"/>
    </row>
    <row r="167" spans="1:91" ht="12" x14ac:dyDescent="0.2">
      <c r="BB167" s="432">
        <v>213</v>
      </c>
      <c r="BC167" s="432"/>
      <c r="BD167" s="432"/>
      <c r="BE167" s="216">
        <f>BE165*30.2/130.2</f>
        <v>13012.442396313365</v>
      </c>
      <c r="BF167" s="435">
        <f>BF166*30.2%</f>
        <v>2602.4884792626726</v>
      </c>
      <c r="BG167" s="435"/>
      <c r="BH167" s="435"/>
      <c r="BI167" s="435"/>
      <c r="BJ167" s="435"/>
      <c r="BK167" s="435">
        <f>BK166*30.2%</f>
        <v>10409.953917050691</v>
      </c>
      <c r="BL167" s="435"/>
      <c r="BM167" s="435"/>
      <c r="BN167" s="435"/>
      <c r="BO167" s="435"/>
      <c r="BP167" s="435"/>
      <c r="BQ167" s="435"/>
    </row>
    <row r="169" spans="1:91" ht="12" x14ac:dyDescent="0.2"/>
    <row r="170" spans="1:91" ht="12" x14ac:dyDescent="0.2">
      <c r="BB170" s="432" t="s">
        <v>637</v>
      </c>
      <c r="BC170" s="432"/>
      <c r="BD170" s="432"/>
      <c r="BE170" s="432"/>
      <c r="BF170" s="432"/>
      <c r="BG170" s="432"/>
      <c r="BH170" s="432"/>
      <c r="BI170" s="432"/>
      <c r="BJ170" s="432"/>
      <c r="BK170" s="432"/>
      <c r="BL170" s="432"/>
      <c r="BM170" s="432"/>
      <c r="BN170" s="432"/>
      <c r="BO170" s="432"/>
      <c r="BP170" s="432"/>
      <c r="BQ170" s="432"/>
      <c r="BR170" s="432"/>
      <c r="BS170" s="432"/>
      <c r="BT170" s="432"/>
      <c r="BU170" s="432"/>
      <c r="BV170" s="432"/>
      <c r="BW170" s="432"/>
      <c r="BX170" s="432"/>
    </row>
    <row r="171" spans="1:91" ht="12" x14ac:dyDescent="0.2">
      <c r="BB171" s="432" t="s">
        <v>126</v>
      </c>
      <c r="BC171" s="432"/>
      <c r="BD171" s="432"/>
      <c r="BE171" s="433">
        <f>250*133</f>
        <v>33250</v>
      </c>
      <c r="BF171" s="433"/>
      <c r="BG171" s="433"/>
      <c r="BH171" s="433"/>
      <c r="BI171" s="433"/>
      <c r="BJ171" s="385" t="s">
        <v>127</v>
      </c>
      <c r="BK171" s="385"/>
      <c r="BL171" s="385"/>
      <c r="BM171" s="385"/>
      <c r="BN171" s="385"/>
      <c r="BO171" s="385"/>
      <c r="BP171" s="385"/>
      <c r="BQ171" s="385"/>
    </row>
    <row r="172" spans="1:91" ht="15" x14ac:dyDescent="0.25">
      <c r="BB172" s="434">
        <v>0.6</v>
      </c>
      <c r="BC172" s="432"/>
      <c r="BD172" s="432"/>
      <c r="BE172" s="216">
        <f>BE171*BB172</f>
        <v>19950</v>
      </c>
      <c r="BF172" s="432" t="s">
        <v>128</v>
      </c>
      <c r="BG172" s="432"/>
      <c r="BH172" s="432"/>
      <c r="BI172" s="432"/>
      <c r="BJ172" s="432"/>
      <c r="BK172" s="432" t="s">
        <v>129</v>
      </c>
      <c r="BL172" s="432"/>
      <c r="BM172" s="432"/>
      <c r="BN172" s="432"/>
      <c r="BO172" s="432"/>
      <c r="BP172" s="432"/>
      <c r="BQ172" s="432"/>
      <c r="BZ172" s="432" t="s">
        <v>368</v>
      </c>
      <c r="CA172" s="443"/>
      <c r="CB172" s="443"/>
      <c r="CC172" s="443"/>
      <c r="CD172" s="443"/>
      <c r="CE172" s="443"/>
      <c r="CH172" s="432" t="s">
        <v>366</v>
      </c>
      <c r="CI172" s="443"/>
      <c r="CJ172" s="443"/>
      <c r="CK172" s="443"/>
      <c r="CL172" s="443"/>
      <c r="CM172" s="443"/>
    </row>
    <row r="173" spans="1:91" ht="15" x14ac:dyDescent="0.25">
      <c r="BB173" s="432">
        <v>211</v>
      </c>
      <c r="BC173" s="432"/>
      <c r="BD173" s="432"/>
      <c r="BE173" s="216">
        <f>BE172-BE174</f>
        <v>15322.58064516129</v>
      </c>
      <c r="BF173" s="435">
        <f>BE173*0.2</f>
        <v>3064.516129032258</v>
      </c>
      <c r="BG173" s="435"/>
      <c r="BH173" s="435"/>
      <c r="BI173" s="435"/>
      <c r="BJ173" s="435"/>
      <c r="BK173" s="436">
        <f>BE173-BF173</f>
        <v>12258.064516129032</v>
      </c>
      <c r="BL173" s="445"/>
      <c r="BM173" s="445"/>
      <c r="BN173" s="445"/>
      <c r="BO173" s="445"/>
      <c r="BP173" s="445"/>
      <c r="BQ173" s="445"/>
      <c r="BZ173" s="840">
        <f>BF173*15/20</f>
        <v>2298.3870967741937</v>
      </c>
      <c r="CA173" s="841"/>
      <c r="CB173" s="841"/>
      <c r="CC173" s="841"/>
      <c r="CD173" s="841"/>
      <c r="CE173" s="841"/>
      <c r="CH173" s="840">
        <f>BF173*5/20</f>
        <v>766.12903225806451</v>
      </c>
      <c r="CI173" s="841"/>
      <c r="CJ173" s="841"/>
      <c r="CK173" s="841"/>
      <c r="CL173" s="841"/>
      <c r="CM173" s="841"/>
    </row>
    <row r="174" spans="1:91" ht="12" x14ac:dyDescent="0.2">
      <c r="BB174" s="432">
        <v>213</v>
      </c>
      <c r="BC174" s="432"/>
      <c r="BD174" s="432"/>
      <c r="BE174" s="216">
        <f>BE172*30.2/130.2</f>
        <v>4627.4193548387102</v>
      </c>
      <c r="BF174" s="435">
        <f>BF173*30.2%</f>
        <v>925.48387096774195</v>
      </c>
      <c r="BG174" s="435"/>
      <c r="BH174" s="435"/>
      <c r="BI174" s="435"/>
      <c r="BJ174" s="435"/>
      <c r="BK174" s="435">
        <f>BK173*30.2%</f>
        <v>3701.9354838709678</v>
      </c>
      <c r="BL174" s="435"/>
      <c r="BM174" s="435"/>
      <c r="BN174" s="435"/>
      <c r="BO174" s="435"/>
      <c r="BP174" s="435"/>
      <c r="BQ174" s="435"/>
    </row>
  </sheetData>
  <mergeCells count="454">
    <mergeCell ref="A23:BB23"/>
    <mergeCell ref="A24:G25"/>
    <mergeCell ref="H24:Y33"/>
    <mergeCell ref="Z24:AB33"/>
    <mergeCell ref="AC24:AG33"/>
    <mergeCell ref="AH24:AM33"/>
    <mergeCell ref="AN24:AR33"/>
    <mergeCell ref="A7:BA7"/>
    <mergeCell ref="A8:BA8"/>
    <mergeCell ref="C10:E10"/>
    <mergeCell ref="G10:L10"/>
    <mergeCell ref="N10:Q10"/>
    <mergeCell ref="U10:AG10"/>
    <mergeCell ref="AH10:AI10"/>
    <mergeCell ref="AJ10:AL10"/>
    <mergeCell ref="AN10:AT10"/>
    <mergeCell ref="AV10:AY10"/>
    <mergeCell ref="A12:S12"/>
    <mergeCell ref="U12:W12"/>
    <mergeCell ref="A14:S14"/>
    <mergeCell ref="U14:W14"/>
    <mergeCell ref="A16:S16"/>
    <mergeCell ref="U16:W16"/>
    <mergeCell ref="Y16:AA16"/>
    <mergeCell ref="AX19:BB19"/>
    <mergeCell ref="A20:G22"/>
    <mergeCell ref="H20:AB22"/>
    <mergeCell ref="AC20:AG22"/>
    <mergeCell ref="AH20:AM22"/>
    <mergeCell ref="AN20:AR22"/>
    <mergeCell ref="AS20:AW22"/>
    <mergeCell ref="AX20:BB22"/>
    <mergeCell ref="AX51:BB51"/>
    <mergeCell ref="AS34:AW34"/>
    <mergeCell ref="AX34:BB34"/>
    <mergeCell ref="AO35:AR35"/>
    <mergeCell ref="AS35:AW35"/>
    <mergeCell ref="AX35:BB35"/>
    <mergeCell ref="AS24:AW33"/>
    <mergeCell ref="AX24:BB33"/>
    <mergeCell ref="AX37:BB39"/>
    <mergeCell ref="A40:BB4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37:G39"/>
    <mergeCell ref="H37:AB39"/>
    <mergeCell ref="AC37:AG39"/>
    <mergeCell ref="AH37:AM39"/>
    <mergeCell ref="A26:G33"/>
    <mergeCell ref="AN37:AR39"/>
    <mergeCell ref="AS37:AW39"/>
    <mergeCell ref="A54:G56"/>
    <mergeCell ref="H54:AB56"/>
    <mergeCell ref="AC54:AG56"/>
    <mergeCell ref="AH54:AM56"/>
    <mergeCell ref="AN54:AR56"/>
    <mergeCell ref="AS54:AW56"/>
    <mergeCell ref="AO52:AR52"/>
    <mergeCell ref="AS52:AW52"/>
    <mergeCell ref="H51:K51"/>
    <mergeCell ref="AS51:AW51"/>
    <mergeCell ref="AX52:BB52"/>
    <mergeCell ref="AX68:BB72"/>
    <mergeCell ref="H69:M69"/>
    <mergeCell ref="N69:P69"/>
    <mergeCell ref="R69:V69"/>
    <mergeCell ref="I71:K71"/>
    <mergeCell ref="M71:O71"/>
    <mergeCell ref="Q71:S71"/>
    <mergeCell ref="H34:M34"/>
    <mergeCell ref="R59:V59"/>
    <mergeCell ref="I61:K61"/>
    <mergeCell ref="M61:O61"/>
    <mergeCell ref="Q61:S61"/>
    <mergeCell ref="U61:W61"/>
    <mergeCell ref="Z61:AB61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68:G72"/>
    <mergeCell ref="AC68:AG72"/>
    <mergeCell ref="U71:W71"/>
    <mergeCell ref="Z71:AB71"/>
    <mergeCell ref="A63:G67"/>
    <mergeCell ref="AC63:AG67"/>
    <mergeCell ref="AH68:AM72"/>
    <mergeCell ref="AN68:AR72"/>
    <mergeCell ref="Z66:AB66"/>
    <mergeCell ref="AH63:AM67"/>
    <mergeCell ref="AN63:AR67"/>
    <mergeCell ref="AX78:BB82"/>
    <mergeCell ref="H79:M79"/>
    <mergeCell ref="N79:P79"/>
    <mergeCell ref="R79:V79"/>
    <mergeCell ref="I81:K81"/>
    <mergeCell ref="M81:O81"/>
    <mergeCell ref="Q81:S81"/>
    <mergeCell ref="M76:O76"/>
    <mergeCell ref="Q76:S76"/>
    <mergeCell ref="U76:W76"/>
    <mergeCell ref="Z76:AB76"/>
    <mergeCell ref="AX73:BB77"/>
    <mergeCell ref="AS63:AW67"/>
    <mergeCell ref="AS68:AW72"/>
    <mergeCell ref="AX63:BB67"/>
    <mergeCell ref="H64:M64"/>
    <mergeCell ref="N64:P64"/>
    <mergeCell ref="R64:V64"/>
    <mergeCell ref="I66:K66"/>
    <mergeCell ref="M66:O66"/>
    <mergeCell ref="Q66:S66"/>
    <mergeCell ref="U66:W66"/>
    <mergeCell ref="X93:AD93"/>
    <mergeCell ref="A78:G82"/>
    <mergeCell ref="AC78:AG82"/>
    <mergeCell ref="U81:W81"/>
    <mergeCell ref="Z81:AB81"/>
    <mergeCell ref="A73:G77"/>
    <mergeCell ref="AC73:AG77"/>
    <mergeCell ref="O87:AN87"/>
    <mergeCell ref="AE93:AL93"/>
    <mergeCell ref="AM93:AU93"/>
    <mergeCell ref="AH73:AM77"/>
    <mergeCell ref="AN73:AR77"/>
    <mergeCell ref="AS73:AW77"/>
    <mergeCell ref="H74:M74"/>
    <mergeCell ref="N74:P74"/>
    <mergeCell ref="R74:V74"/>
    <mergeCell ref="I76:K76"/>
    <mergeCell ref="AH78:AM82"/>
    <mergeCell ref="AN78:AR82"/>
    <mergeCell ref="AS78:AW82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V92:BB92"/>
    <mergeCell ref="AS83:AW83"/>
    <mergeCell ref="AX83:BB83"/>
    <mergeCell ref="AO84:AR84"/>
    <mergeCell ref="AS84:AW84"/>
    <mergeCell ref="AX84:BB84"/>
    <mergeCell ref="A86:N86"/>
    <mergeCell ref="O86:AN86"/>
    <mergeCell ref="AO86:AU86"/>
    <mergeCell ref="AV86:BB86"/>
    <mergeCell ref="AV93:BB93"/>
    <mergeCell ref="A102:Z102"/>
    <mergeCell ref="AA102:AF102"/>
    <mergeCell ref="AG102:AL102"/>
    <mergeCell ref="AM102:AT102"/>
    <mergeCell ref="AU102:BB102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3:P93"/>
    <mergeCell ref="Q93:W93"/>
    <mergeCell ref="A103:Z103"/>
    <mergeCell ref="AA103:AF103"/>
    <mergeCell ref="AG103:AL103"/>
    <mergeCell ref="AM103:AT103"/>
    <mergeCell ref="AU103:BB103"/>
    <mergeCell ref="A97:P97"/>
    <mergeCell ref="AE97:AL97"/>
    <mergeCell ref="AV97:BB97"/>
    <mergeCell ref="A98:P98"/>
    <mergeCell ref="Q98:W98"/>
    <mergeCell ref="X98:AD98"/>
    <mergeCell ref="AE98:AL98"/>
    <mergeCell ref="AM98:AU98"/>
    <mergeCell ref="AV98:BB98"/>
    <mergeCell ref="A104:Z104"/>
    <mergeCell ref="AA104:AF104"/>
    <mergeCell ref="AG104:AL128"/>
    <mergeCell ref="AM104:AT128"/>
    <mergeCell ref="AU104:BB104"/>
    <mergeCell ref="A105:Z105"/>
    <mergeCell ref="AA105:AF105"/>
    <mergeCell ref="AU105:BB105"/>
    <mergeCell ref="A106:Z106"/>
    <mergeCell ref="AA106:AF106"/>
    <mergeCell ref="A115:Z115"/>
    <mergeCell ref="AA115:AF115"/>
    <mergeCell ref="AU115:BB115"/>
    <mergeCell ref="A116:Z116"/>
    <mergeCell ref="AA116:AF116"/>
    <mergeCell ref="AU116:BB116"/>
    <mergeCell ref="A113:Z113"/>
    <mergeCell ref="AA113:AF113"/>
    <mergeCell ref="AU113:BB113"/>
    <mergeCell ref="AU120:BB120"/>
    <mergeCell ref="A117:Z117"/>
    <mergeCell ref="AA117:AF117"/>
    <mergeCell ref="AU117:BB117"/>
    <mergeCell ref="A118:Z118"/>
    <mergeCell ref="AA118:AF118"/>
    <mergeCell ref="AU118:BB118"/>
    <mergeCell ref="A109:Z109"/>
    <mergeCell ref="AA109:AF109"/>
    <mergeCell ref="AU109:BB109"/>
    <mergeCell ref="A110:Z110"/>
    <mergeCell ref="AA110:AF110"/>
    <mergeCell ref="AU110:BB110"/>
    <mergeCell ref="AU106:BB106"/>
    <mergeCell ref="A107:Z107"/>
    <mergeCell ref="AA107:AF107"/>
    <mergeCell ref="AU107:BB107"/>
    <mergeCell ref="A108:Z108"/>
    <mergeCell ref="AA108:AF108"/>
    <mergeCell ref="AU108:BB108"/>
    <mergeCell ref="A114:Z114"/>
    <mergeCell ref="AA114:AF114"/>
    <mergeCell ref="AU114:BB114"/>
    <mergeCell ref="A111:Z111"/>
    <mergeCell ref="AA111:AF111"/>
    <mergeCell ref="AU111:BB111"/>
    <mergeCell ref="A112:Z112"/>
    <mergeCell ref="AA112:AF112"/>
    <mergeCell ref="AU112:BB112"/>
    <mergeCell ref="A128:Z128"/>
    <mergeCell ref="AA128:AF128"/>
    <mergeCell ref="AU128:BB128"/>
    <mergeCell ref="A119:Z119"/>
    <mergeCell ref="AA119:AF119"/>
    <mergeCell ref="AU119:BB119"/>
    <mergeCell ref="A120:Z120"/>
    <mergeCell ref="AA120:AF120"/>
    <mergeCell ref="A125:Z125"/>
    <mergeCell ref="AA125:AF125"/>
    <mergeCell ref="AU125:BB125"/>
    <mergeCell ref="A126:Z126"/>
    <mergeCell ref="AA126:AF126"/>
    <mergeCell ref="AU126:BB126"/>
    <mergeCell ref="A123:Z123"/>
    <mergeCell ref="AA123:AF123"/>
    <mergeCell ref="AU123:BB123"/>
    <mergeCell ref="A124:Z124"/>
    <mergeCell ref="AA124:AF124"/>
    <mergeCell ref="AU124:BB124"/>
    <mergeCell ref="A121:Z121"/>
    <mergeCell ref="AA121:AF121"/>
    <mergeCell ref="AU121:BB121"/>
    <mergeCell ref="A122:Z122"/>
    <mergeCell ref="AA122:AF122"/>
    <mergeCell ref="AU122:BB122"/>
    <mergeCell ref="A127:Z127"/>
    <mergeCell ref="AA127:AF127"/>
    <mergeCell ref="AU127:BB127"/>
    <mergeCell ref="AA136:AF136"/>
    <mergeCell ref="AU136:BB136"/>
    <mergeCell ref="A137:Z137"/>
    <mergeCell ref="AA137:AF137"/>
    <mergeCell ref="AU137:BB137"/>
    <mergeCell ref="AA133:AF133"/>
    <mergeCell ref="AG133:AL133"/>
    <mergeCell ref="AM133:AT133"/>
    <mergeCell ref="AU133:BB133"/>
    <mergeCell ref="A134:Z134"/>
    <mergeCell ref="AA134:AF134"/>
    <mergeCell ref="AG134:AL134"/>
    <mergeCell ref="A129:Z129"/>
    <mergeCell ref="AA129:AF129"/>
    <mergeCell ref="AG129:AL129"/>
    <mergeCell ref="AM129:AT129"/>
    <mergeCell ref="AU129:BB129"/>
    <mergeCell ref="A133:Z133"/>
    <mergeCell ref="AM134:AT134"/>
    <mergeCell ref="AU134:BB134"/>
    <mergeCell ref="A135:Z135"/>
    <mergeCell ref="AA135:AF135"/>
    <mergeCell ref="AG135:AL140"/>
    <mergeCell ref="AM135:AT140"/>
    <mergeCell ref="AU135:BB135"/>
    <mergeCell ref="AD145:AP145"/>
    <mergeCell ref="AQ145:AT145"/>
    <mergeCell ref="AU145:AX145"/>
    <mergeCell ref="AY145:BB145"/>
    <mergeCell ref="A141:Z141"/>
    <mergeCell ref="AA141:AF141"/>
    <mergeCell ref="AG141:AL141"/>
    <mergeCell ref="AM141:AT141"/>
    <mergeCell ref="AU141:BB141"/>
    <mergeCell ref="A140:Z140"/>
    <mergeCell ref="AA140:AF140"/>
    <mergeCell ref="AU140:BB140"/>
    <mergeCell ref="A139:Z139"/>
    <mergeCell ref="AA139:AF139"/>
    <mergeCell ref="AU139:BB139"/>
    <mergeCell ref="A138:Z138"/>
    <mergeCell ref="AA138:AF138"/>
    <mergeCell ref="AU138:BB138"/>
    <mergeCell ref="A136:Z136"/>
    <mergeCell ref="AJ151:AP151"/>
    <mergeCell ref="AQ151:AT151"/>
    <mergeCell ref="AY149:BB149"/>
    <mergeCell ref="A150:G150"/>
    <mergeCell ref="H150:L150"/>
    <mergeCell ref="M150:Q150"/>
    <mergeCell ref="AD150:AI150"/>
    <mergeCell ref="AJ150:AP150"/>
    <mergeCell ref="AQ150:AT150"/>
    <mergeCell ref="AU150:AX150"/>
    <mergeCell ref="AY150:BB150"/>
    <mergeCell ref="AY146:BB146"/>
    <mergeCell ref="A147:G147"/>
    <mergeCell ref="H147:L147"/>
    <mergeCell ref="M147:Q147"/>
    <mergeCell ref="R147:U147"/>
    <mergeCell ref="V147:Y147"/>
    <mergeCell ref="Z147:AC147"/>
    <mergeCell ref="AD147:AI147"/>
    <mergeCell ref="AJ147:AP147"/>
    <mergeCell ref="AQ147:AT147"/>
    <mergeCell ref="AU147:AX147"/>
    <mergeCell ref="AY147:BB147"/>
    <mergeCell ref="H146:L146"/>
    <mergeCell ref="M146:Q146"/>
    <mergeCell ref="AD146:AI146"/>
    <mergeCell ref="AJ146:AP146"/>
    <mergeCell ref="AQ146:AT146"/>
    <mergeCell ref="AU146:AX146"/>
    <mergeCell ref="A145:G146"/>
    <mergeCell ref="H145:L145"/>
    <mergeCell ref="M145:Q145"/>
    <mergeCell ref="R145:U146"/>
    <mergeCell ref="V145:Y146"/>
    <mergeCell ref="Z145:AC146"/>
    <mergeCell ref="AQ148:AT148"/>
    <mergeCell ref="AU148:AX148"/>
    <mergeCell ref="AY148:BB148"/>
    <mergeCell ref="A149:G149"/>
    <mergeCell ref="H149:L149"/>
    <mergeCell ref="M149:Q149"/>
    <mergeCell ref="AD149:AI149"/>
    <mergeCell ref="AJ149:AP149"/>
    <mergeCell ref="AQ149:AT149"/>
    <mergeCell ref="AU149:AX149"/>
    <mergeCell ref="A148:G148"/>
    <mergeCell ref="H148:L148"/>
    <mergeCell ref="M148:Q148"/>
    <mergeCell ref="R148:U151"/>
    <mergeCell ref="V148:Y151"/>
    <mergeCell ref="Z148:AC151"/>
    <mergeCell ref="AD148:AI148"/>
    <mergeCell ref="AJ148:AP148"/>
    <mergeCell ref="AU151:AX151"/>
    <mergeCell ref="AY151:BB151"/>
    <mergeCell ref="A151:G151"/>
    <mergeCell ref="H151:L151"/>
    <mergeCell ref="M151:Q151"/>
    <mergeCell ref="AD151:AI151"/>
    <mergeCell ref="AJ153:AP153"/>
    <mergeCell ref="AQ153:AT153"/>
    <mergeCell ref="AU153:AX153"/>
    <mergeCell ref="AY153:BB153"/>
    <mergeCell ref="AQ152:AT152"/>
    <mergeCell ref="AU152:AX152"/>
    <mergeCell ref="AY152:BB152"/>
    <mergeCell ref="A153:F153"/>
    <mergeCell ref="H153:L153"/>
    <mergeCell ref="M153:Q153"/>
    <mergeCell ref="R153:U153"/>
    <mergeCell ref="V153:Y153"/>
    <mergeCell ref="Z153:AC153"/>
    <mergeCell ref="AD153:AI153"/>
    <mergeCell ref="A152:G152"/>
    <mergeCell ref="H152:L152"/>
    <mergeCell ref="M152:Q152"/>
    <mergeCell ref="R152:U152"/>
    <mergeCell ref="V152:Y152"/>
    <mergeCell ref="Z152:AC152"/>
    <mergeCell ref="AD152:AI152"/>
    <mergeCell ref="AJ152:AP152"/>
    <mergeCell ref="AD154:AI154"/>
    <mergeCell ref="AJ154:AP154"/>
    <mergeCell ref="AQ154:AT154"/>
    <mergeCell ref="AU154:AX154"/>
    <mergeCell ref="AY154:BB154"/>
    <mergeCell ref="BC155:BD155"/>
    <mergeCell ref="A154:G154"/>
    <mergeCell ref="H154:L154"/>
    <mergeCell ref="M154:Q154"/>
    <mergeCell ref="R154:U154"/>
    <mergeCell ref="V154:Y154"/>
    <mergeCell ref="Z154:AC154"/>
    <mergeCell ref="BZ165:CE165"/>
    <mergeCell ref="CH165:CM165"/>
    <mergeCell ref="BB166:BD166"/>
    <mergeCell ref="BF166:BJ166"/>
    <mergeCell ref="BK166:BQ166"/>
    <mergeCell ref="BZ166:CE166"/>
    <mergeCell ref="CH166:CM166"/>
    <mergeCell ref="BC156:BD156"/>
    <mergeCell ref="B157:S157"/>
    <mergeCell ref="AM157:BB157"/>
    <mergeCell ref="BC157:BD157"/>
    <mergeCell ref="B158:S159"/>
    <mergeCell ref="AM158:BC159"/>
    <mergeCell ref="BB163:BX163"/>
    <mergeCell ref="BB164:BD164"/>
    <mergeCell ref="BE164:BI164"/>
    <mergeCell ref="BB165:BD165"/>
    <mergeCell ref="BF165:BJ165"/>
    <mergeCell ref="BK165:BQ165"/>
    <mergeCell ref="BB170:BX170"/>
    <mergeCell ref="BB171:BD171"/>
    <mergeCell ref="BE171:BI171"/>
    <mergeCell ref="BB172:BD172"/>
    <mergeCell ref="BF172:BJ172"/>
    <mergeCell ref="BK172:BQ172"/>
    <mergeCell ref="BB167:BD167"/>
    <mergeCell ref="BF167:BJ167"/>
    <mergeCell ref="BK167:BQ167"/>
    <mergeCell ref="BZ172:CE172"/>
    <mergeCell ref="CH172:CM172"/>
    <mergeCell ref="BB173:BD173"/>
    <mergeCell ref="BF173:BJ173"/>
    <mergeCell ref="BK173:BQ173"/>
    <mergeCell ref="BZ173:CE173"/>
    <mergeCell ref="CH173:CM173"/>
    <mergeCell ref="BB174:BD174"/>
    <mergeCell ref="BF174:BJ174"/>
    <mergeCell ref="BK174:BQ174"/>
  </mergeCells>
  <pageMargins left="0" right="0" top="0" bottom="0" header="0.31496062992125984" footer="0.31496062992125984"/>
  <pageSetup paperSize="9" scale="77" fitToHeight="0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S356"/>
  <sheetViews>
    <sheetView topLeftCell="A105" workbookViewId="0">
      <selection activeCell="A8" sqref="A8:BA8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5" width="1.85546875" style="117"/>
    <col min="26" max="26" width="9.85546875" style="117" bestFit="1" customWidth="1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4.42578125" style="117" customWidth="1"/>
    <col min="55" max="55" width="4.5703125" style="117" customWidth="1"/>
    <col min="56" max="56" width="4.7109375" style="117" customWidth="1"/>
    <col min="57" max="57" width="17.42578125" style="117" customWidth="1"/>
    <col min="58" max="58" width="9.7109375" style="117" customWidth="1"/>
    <col min="59" max="59" width="10.140625" style="117" customWidth="1"/>
    <col min="60" max="60" width="10.42578125" style="117" customWidth="1"/>
    <col min="61" max="61" width="8.140625" style="117" customWidth="1"/>
    <col min="62" max="83" width="1.85546875" style="117" customWidth="1"/>
    <col min="84" max="16384" width="1.85546875" style="117"/>
  </cols>
  <sheetData>
    <row r="1" spans="1:53" s="100" customFormat="1" ht="15" customHeight="1" x14ac:dyDescent="0.25">
      <c r="AW1" s="100" t="s">
        <v>83</v>
      </c>
    </row>
    <row r="2" spans="1:53" s="100" customFormat="1" ht="5.0999999999999996" customHeight="1" x14ac:dyDescent="0.25"/>
    <row r="3" spans="1:53" s="100" customFormat="1" ht="15" customHeight="1" x14ac:dyDescent="0.25">
      <c r="AQ3" s="100" t="s">
        <v>91</v>
      </c>
    </row>
    <row r="4" spans="1:53" s="100" customFormat="1" ht="5.0999999999999996" customHeight="1" x14ac:dyDescent="0.25"/>
    <row r="5" spans="1:53" s="100" customFormat="1" ht="15" customHeight="1" x14ac:dyDescent="0.25"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 t="s">
        <v>85</v>
      </c>
      <c r="AX5" s="100" t="s">
        <v>515</v>
      </c>
    </row>
    <row r="6" spans="1:53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3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3" s="100" customFormat="1" ht="15" customHeight="1" x14ac:dyDescent="0.25">
      <c r="A8" s="756" t="s">
        <v>317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3" s="100" customFormat="1" ht="26.25" customHeight="1" x14ac:dyDescent="0.25">
      <c r="A9" s="330"/>
      <c r="B9" s="330"/>
      <c r="C9" s="330"/>
      <c r="D9" s="330"/>
      <c r="E9" s="330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30"/>
      <c r="AR9" s="330"/>
      <c r="AS9" s="330"/>
      <c r="AT9" s="330"/>
      <c r="AU9" s="330"/>
      <c r="AV9" s="330"/>
      <c r="AW9" s="330"/>
      <c r="AX9" s="330"/>
      <c r="AY9" s="330"/>
      <c r="AZ9" s="330"/>
      <c r="BA9" s="330"/>
    </row>
    <row r="10" spans="1:53" s="100" customFormat="1" ht="15" customHeight="1" x14ac:dyDescent="0.25">
      <c r="A10" s="330"/>
      <c r="B10" s="330" t="s">
        <v>113</v>
      </c>
      <c r="C10" s="757">
        <v>16</v>
      </c>
      <c r="D10" s="757"/>
      <c r="E10" s="757"/>
      <c r="F10" s="330"/>
      <c r="G10" s="757" t="s">
        <v>196</v>
      </c>
      <c r="H10" s="757"/>
      <c r="I10" s="757"/>
      <c r="J10" s="757"/>
      <c r="K10" s="757"/>
      <c r="L10" s="757"/>
      <c r="M10" s="330"/>
      <c r="N10" s="756">
        <v>2019</v>
      </c>
      <c r="O10" s="756"/>
      <c r="P10" s="756"/>
      <c r="Q10" s="756"/>
      <c r="R10" s="330"/>
      <c r="S10" s="330" t="s">
        <v>114</v>
      </c>
      <c r="T10" s="330"/>
      <c r="U10" s="756" t="s">
        <v>115</v>
      </c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758"/>
      <c r="AI10" s="758"/>
      <c r="AJ10" s="757">
        <v>31</v>
      </c>
      <c r="AK10" s="757"/>
      <c r="AL10" s="757"/>
      <c r="AM10" s="330"/>
      <c r="AN10" s="757" t="s">
        <v>116</v>
      </c>
      <c r="AO10" s="757"/>
      <c r="AP10" s="757"/>
      <c r="AQ10" s="757"/>
      <c r="AR10" s="757"/>
      <c r="AS10" s="757"/>
      <c r="AT10" s="757"/>
      <c r="AU10" s="330"/>
      <c r="AV10" s="756">
        <v>2020</v>
      </c>
      <c r="AW10" s="756"/>
      <c r="AX10" s="756"/>
      <c r="AY10" s="756"/>
      <c r="AZ10" s="330"/>
      <c r="BA10" s="330" t="s">
        <v>114</v>
      </c>
    </row>
    <row r="11" spans="1:53" s="82" customFormat="1" ht="6" customHeight="1" x14ac:dyDescent="0.2"/>
    <row r="12" spans="1:53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36</v>
      </c>
      <c r="V12" s="761"/>
      <c r="W12" s="761"/>
    </row>
    <row r="13" spans="1:53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3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2">
        <v>36</v>
      </c>
      <c r="V14" s="762"/>
      <c r="W14" s="762"/>
    </row>
    <row r="15" spans="1:53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3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3</v>
      </c>
      <c r="V16" s="761"/>
      <c r="W16" s="761"/>
      <c r="X16" s="333" t="s">
        <v>4</v>
      </c>
      <c r="Y16" s="761">
        <v>12</v>
      </c>
      <c r="Z16" s="761"/>
      <c r="AA16" s="761"/>
    </row>
    <row r="17" spans="1:54" ht="13.5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531</v>
      </c>
      <c r="AR19" s="162"/>
      <c r="AS19" s="164"/>
      <c r="AX19" s="708">
        <v>15600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11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4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customHeight="1" x14ac:dyDescent="0.2">
      <c r="A24" s="764" t="s">
        <v>417</v>
      </c>
      <c r="B24" s="765"/>
      <c r="C24" s="765"/>
      <c r="D24" s="765"/>
      <c r="E24" s="765"/>
      <c r="F24" s="765"/>
      <c r="G24" s="766"/>
      <c r="H24" s="714" t="s">
        <v>16</v>
      </c>
      <c r="I24" s="704"/>
      <c r="J24" s="704"/>
      <c r="K24" s="704"/>
      <c r="L24" s="704"/>
      <c r="M24" s="704"/>
      <c r="N24" s="704"/>
      <c r="O24" s="704"/>
      <c r="P24" s="704"/>
      <c r="Q24" s="704"/>
      <c r="R24" s="704"/>
      <c r="S24" s="704"/>
      <c r="T24" s="704"/>
      <c r="U24" s="704"/>
      <c r="V24" s="704"/>
      <c r="W24" s="704"/>
      <c r="X24" s="704"/>
      <c r="Y24" s="704"/>
      <c r="Z24" s="723">
        <v>0.2</v>
      </c>
      <c r="AA24" s="723"/>
      <c r="AB24" s="723"/>
      <c r="AC24" s="781">
        <f>(AX51+AX83)*Z24*AH24</f>
        <v>4867.2</v>
      </c>
      <c r="AD24" s="781"/>
      <c r="AE24" s="781"/>
      <c r="AF24" s="781"/>
      <c r="AG24" s="781"/>
      <c r="AH24" s="668">
        <v>2</v>
      </c>
      <c r="AI24" s="668"/>
      <c r="AJ24" s="668"/>
      <c r="AK24" s="668"/>
      <c r="AL24" s="668"/>
      <c r="AM24" s="668"/>
      <c r="AN24" s="781">
        <f>AC24/U12</f>
        <v>135.19999999999999</v>
      </c>
      <c r="AO24" s="781"/>
      <c r="AP24" s="781"/>
      <c r="AQ24" s="781"/>
      <c r="AR24" s="781"/>
      <c r="AS24" s="668" t="s">
        <v>17</v>
      </c>
      <c r="AT24" s="668"/>
      <c r="AU24" s="668"/>
      <c r="AV24" s="668"/>
      <c r="AW24" s="668"/>
      <c r="AX24" s="781" t="s">
        <v>17</v>
      </c>
      <c r="AY24" s="781"/>
      <c r="AZ24" s="781"/>
      <c r="BA24" s="781"/>
      <c r="BB24" s="782"/>
    </row>
    <row r="25" spans="1:54" s="165" customFormat="1" ht="26.25" customHeight="1" x14ac:dyDescent="0.2">
      <c r="A25" s="767"/>
      <c r="B25" s="768"/>
      <c r="C25" s="768"/>
      <c r="D25" s="768"/>
      <c r="E25" s="768"/>
      <c r="F25" s="768"/>
      <c r="G25" s="769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771" t="s">
        <v>89</v>
      </c>
      <c r="B26" s="772"/>
      <c r="C26" s="772"/>
      <c r="D26" s="772"/>
      <c r="E26" s="772"/>
      <c r="F26" s="772"/>
      <c r="G26" s="773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11.25" customHeight="1" x14ac:dyDescent="0.2">
      <c r="A27" s="750"/>
      <c r="B27" s="751"/>
      <c r="C27" s="751"/>
      <c r="D27" s="751"/>
      <c r="E27" s="751"/>
      <c r="F27" s="751"/>
      <c r="G27" s="7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17.25" customHeight="1" thickBot="1" x14ac:dyDescent="0.25">
      <c r="A33" s="753"/>
      <c r="B33" s="754"/>
      <c r="C33" s="754"/>
      <c r="D33" s="754"/>
      <c r="E33" s="754"/>
      <c r="F33" s="754"/>
      <c r="G33" s="775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9"/>
      <c r="AA33" s="729"/>
      <c r="AB33" s="729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95"/>
      <c r="R34" s="169" t="s">
        <v>18</v>
      </c>
      <c r="S34" s="170"/>
      <c r="T34" s="170"/>
      <c r="U34" s="171"/>
      <c r="V34" s="171"/>
      <c r="W34" s="171"/>
      <c r="X34" s="171"/>
      <c r="Y34" s="171"/>
      <c r="Z34" s="162"/>
      <c r="AA34" s="162"/>
      <c r="AB34" s="162"/>
      <c r="AC34" s="171"/>
      <c r="AD34" s="171" t="s">
        <v>19</v>
      </c>
      <c r="AE34" s="171" t="s">
        <v>20</v>
      </c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2"/>
      <c r="AS34" s="453">
        <f>AN24</f>
        <v>135.19999999999999</v>
      </c>
      <c r="AT34" s="453"/>
      <c r="AU34" s="453"/>
      <c r="AV34" s="453"/>
      <c r="AW34" s="453"/>
      <c r="AX34" s="453">
        <f>AC24</f>
        <v>4867.2</v>
      </c>
      <c r="AY34" s="453"/>
      <c r="AZ34" s="453"/>
      <c r="BA34" s="453"/>
      <c r="BB34" s="454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331"/>
      <c r="I35" s="331"/>
      <c r="J35" s="331"/>
      <c r="K35" s="331"/>
      <c r="L35" s="331"/>
      <c r="M35" s="331"/>
      <c r="P35" s="168"/>
      <c r="Q35" s="329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40.830399999999997</v>
      </c>
      <c r="AT35" s="463"/>
      <c r="AU35" s="463"/>
      <c r="AV35" s="463"/>
      <c r="AW35" s="463"/>
      <c r="AX35" s="463">
        <f>AX34*AO35</f>
        <v>1469.8943999999999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331"/>
      <c r="I36" s="331"/>
      <c r="J36" s="331"/>
      <c r="K36" s="331"/>
      <c r="L36" s="331"/>
      <c r="M36" s="331"/>
      <c r="P36" s="168"/>
      <c r="Q36" s="329"/>
      <c r="R36" s="329"/>
      <c r="S36" s="329"/>
      <c r="U36" s="329"/>
      <c r="V36" s="329"/>
      <c r="W36" s="329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334"/>
      <c r="AT36" s="336"/>
      <c r="AU36" s="336"/>
      <c r="AV36" s="336"/>
      <c r="AW36" s="336"/>
      <c r="AX36" s="334"/>
      <c r="AY36" s="336"/>
      <c r="AZ36" s="336"/>
      <c r="BA36" s="336"/>
      <c r="BB36" s="336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22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842"/>
      <c r="B41" s="843"/>
      <c r="C41" s="843"/>
      <c r="D41" s="843"/>
      <c r="E41" s="843"/>
      <c r="F41" s="843"/>
      <c r="G41" s="843"/>
      <c r="H41" s="848" t="s">
        <v>16</v>
      </c>
      <c r="I41" s="848"/>
      <c r="J41" s="848"/>
      <c r="K41" s="848"/>
      <c r="L41" s="848"/>
      <c r="M41" s="848"/>
      <c r="N41" s="848"/>
      <c r="O41" s="848"/>
      <c r="P41" s="848"/>
      <c r="Q41" s="848"/>
      <c r="R41" s="848"/>
      <c r="S41" s="848"/>
      <c r="T41" s="848"/>
      <c r="U41" s="848"/>
      <c r="V41" s="848"/>
      <c r="W41" s="848"/>
      <c r="X41" s="848"/>
      <c r="Y41" s="848"/>
      <c r="Z41" s="723">
        <v>0</v>
      </c>
      <c r="AA41" s="723"/>
      <c r="AB41" s="723"/>
      <c r="AC41" s="848">
        <f>AX83*Z41*AH41</f>
        <v>0</v>
      </c>
      <c r="AD41" s="848"/>
      <c r="AE41" s="848"/>
      <c r="AF41" s="848"/>
      <c r="AG41" s="848"/>
      <c r="AH41" s="1327"/>
      <c r="AI41" s="1327"/>
      <c r="AJ41" s="1327"/>
      <c r="AK41" s="1327"/>
      <c r="AL41" s="1327"/>
      <c r="AM41" s="1327"/>
      <c r="AN41" s="711">
        <f>AC41/U12</f>
        <v>0</v>
      </c>
      <c r="AO41" s="712"/>
      <c r="AP41" s="712"/>
      <c r="AQ41" s="712"/>
      <c r="AR41" s="734"/>
      <c r="AS41" s="508" t="s">
        <v>17</v>
      </c>
      <c r="AT41" s="509"/>
      <c r="AU41" s="509"/>
      <c r="AV41" s="509"/>
      <c r="AW41" s="510"/>
      <c r="AX41" s="711" t="s">
        <v>17</v>
      </c>
      <c r="AY41" s="712"/>
      <c r="AZ41" s="712"/>
      <c r="BA41" s="712"/>
      <c r="BB41" s="713"/>
    </row>
    <row r="42" spans="1:54" s="165" customFormat="1" ht="0.75" hidden="1" customHeight="1" x14ac:dyDescent="0.2">
      <c r="A42" s="844"/>
      <c r="B42" s="845"/>
      <c r="C42" s="845"/>
      <c r="D42" s="845"/>
      <c r="E42" s="845"/>
      <c r="F42" s="845"/>
      <c r="G42" s="845"/>
      <c r="H42" s="849"/>
      <c r="I42" s="849"/>
      <c r="J42" s="849"/>
      <c r="K42" s="849"/>
      <c r="L42" s="849"/>
      <c r="M42" s="849"/>
      <c r="N42" s="849"/>
      <c r="O42" s="849"/>
      <c r="P42" s="849"/>
      <c r="Q42" s="849"/>
      <c r="R42" s="849"/>
      <c r="S42" s="849"/>
      <c r="T42" s="849"/>
      <c r="U42" s="849"/>
      <c r="V42" s="849"/>
      <c r="W42" s="849"/>
      <c r="X42" s="849"/>
      <c r="Y42" s="849"/>
      <c r="Z42" s="726"/>
      <c r="AA42" s="726"/>
      <c r="AB42" s="726"/>
      <c r="AC42" s="849"/>
      <c r="AD42" s="849"/>
      <c r="AE42" s="849"/>
      <c r="AF42" s="849"/>
      <c r="AG42" s="849"/>
      <c r="AH42" s="1328"/>
      <c r="AI42" s="1328"/>
      <c r="AJ42" s="1328"/>
      <c r="AK42" s="1328"/>
      <c r="AL42" s="1328"/>
      <c r="AM42" s="1328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714"/>
      <c r="AY42" s="704"/>
      <c r="AZ42" s="704"/>
      <c r="BA42" s="704"/>
      <c r="BB42" s="715"/>
    </row>
    <row r="43" spans="1:54" ht="18" customHeight="1" thickBot="1" x14ac:dyDescent="0.25">
      <c r="A43" s="844"/>
      <c r="B43" s="845"/>
      <c r="C43" s="845"/>
      <c r="D43" s="845"/>
      <c r="E43" s="845"/>
      <c r="F43" s="845"/>
      <c r="G43" s="845"/>
      <c r="H43" s="849"/>
      <c r="I43" s="849"/>
      <c r="J43" s="849"/>
      <c r="K43" s="849"/>
      <c r="L43" s="849"/>
      <c r="M43" s="849"/>
      <c r="N43" s="849"/>
      <c r="O43" s="849"/>
      <c r="P43" s="849"/>
      <c r="Q43" s="849"/>
      <c r="R43" s="849"/>
      <c r="S43" s="849"/>
      <c r="T43" s="849"/>
      <c r="U43" s="849"/>
      <c r="V43" s="849"/>
      <c r="W43" s="849"/>
      <c r="X43" s="849"/>
      <c r="Y43" s="849"/>
      <c r="Z43" s="726"/>
      <c r="AA43" s="726"/>
      <c r="AB43" s="726"/>
      <c r="AC43" s="850"/>
      <c r="AD43" s="850"/>
      <c r="AE43" s="850"/>
      <c r="AF43" s="850"/>
      <c r="AG43" s="850"/>
      <c r="AH43" s="1329"/>
      <c r="AI43" s="1329"/>
      <c r="AJ43" s="1329"/>
      <c r="AK43" s="1329"/>
      <c r="AL43" s="1329"/>
      <c r="AM43" s="1329"/>
      <c r="AN43" s="770"/>
      <c r="AO43" s="721"/>
      <c r="AP43" s="721"/>
      <c r="AQ43" s="721"/>
      <c r="AR43" s="851"/>
      <c r="AS43" s="514"/>
      <c r="AT43" s="515"/>
      <c r="AU43" s="515"/>
      <c r="AV43" s="515"/>
      <c r="AW43" s="516"/>
      <c r="AX43" s="770"/>
      <c r="AY43" s="721"/>
      <c r="AZ43" s="721"/>
      <c r="BA43" s="721"/>
      <c r="BB43" s="908"/>
    </row>
    <row r="44" spans="1:54" s="165" customFormat="1" ht="21" hidden="1" customHeight="1" x14ac:dyDescent="0.2">
      <c r="A44" s="844"/>
      <c r="B44" s="845"/>
      <c r="C44" s="845"/>
      <c r="D44" s="845"/>
      <c r="E44" s="845"/>
      <c r="F44" s="845"/>
      <c r="G44" s="845"/>
      <c r="H44" s="849"/>
      <c r="I44" s="849"/>
      <c r="J44" s="849"/>
      <c r="K44" s="849"/>
      <c r="L44" s="849"/>
      <c r="M44" s="849"/>
      <c r="N44" s="849"/>
      <c r="O44" s="849"/>
      <c r="P44" s="849"/>
      <c r="Q44" s="849"/>
      <c r="R44" s="849"/>
      <c r="S44" s="849"/>
      <c r="T44" s="849"/>
      <c r="U44" s="849"/>
      <c r="V44" s="849"/>
      <c r="W44" s="849"/>
      <c r="X44" s="849"/>
      <c r="Y44" s="849"/>
      <c r="Z44" s="726"/>
      <c r="AA44" s="726"/>
      <c r="AB44" s="726"/>
      <c r="AC44" s="277"/>
      <c r="AD44" s="277"/>
      <c r="AE44" s="277"/>
      <c r="AF44" s="277"/>
      <c r="AG44" s="277"/>
      <c r="AH44" s="281"/>
      <c r="AI44" s="281"/>
      <c r="AJ44" s="281"/>
      <c r="AK44" s="281"/>
      <c r="AL44" s="281"/>
      <c r="AM44" s="281"/>
      <c r="AN44" s="86"/>
      <c r="AO44" s="84"/>
      <c r="AP44" s="84"/>
      <c r="AQ44" s="84"/>
      <c r="AR44" s="85"/>
      <c r="AS44" s="180"/>
      <c r="AT44" s="181"/>
      <c r="AU44" s="181"/>
      <c r="AV44" s="181"/>
      <c r="AW44" s="182"/>
      <c r="AX44" s="86"/>
      <c r="AY44" s="84"/>
      <c r="AZ44" s="84"/>
      <c r="BA44" s="84"/>
      <c r="BB44" s="255"/>
    </row>
    <row r="45" spans="1:54" s="165" customFormat="1" ht="21.75" hidden="1" customHeight="1" x14ac:dyDescent="0.2">
      <c r="A45" s="844"/>
      <c r="B45" s="845"/>
      <c r="C45" s="845"/>
      <c r="D45" s="845"/>
      <c r="E45" s="845"/>
      <c r="F45" s="845"/>
      <c r="G45" s="845"/>
      <c r="H45" s="849"/>
      <c r="I45" s="849"/>
      <c r="J45" s="849"/>
      <c r="K45" s="849"/>
      <c r="L45" s="849"/>
      <c r="M45" s="849"/>
      <c r="N45" s="849"/>
      <c r="O45" s="849"/>
      <c r="P45" s="849"/>
      <c r="Q45" s="849"/>
      <c r="R45" s="849"/>
      <c r="S45" s="849"/>
      <c r="T45" s="849"/>
      <c r="U45" s="849"/>
      <c r="V45" s="849"/>
      <c r="W45" s="849"/>
      <c r="X45" s="849"/>
      <c r="Y45" s="849"/>
      <c r="Z45" s="726"/>
      <c r="AA45" s="726"/>
      <c r="AB45" s="726"/>
      <c r="AC45" s="277"/>
      <c r="AD45" s="277"/>
      <c r="AE45" s="277"/>
      <c r="AF45" s="277"/>
      <c r="AG45" s="277"/>
      <c r="AH45" s="281"/>
      <c r="AI45" s="281"/>
      <c r="AJ45" s="281"/>
      <c r="AK45" s="281"/>
      <c r="AL45" s="281"/>
      <c r="AM45" s="281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255"/>
    </row>
    <row r="46" spans="1:54" s="165" customFormat="1" ht="24" hidden="1" customHeight="1" x14ac:dyDescent="0.2">
      <c r="A46" s="844"/>
      <c r="B46" s="845"/>
      <c r="C46" s="845"/>
      <c r="D46" s="845"/>
      <c r="E46" s="845"/>
      <c r="F46" s="845"/>
      <c r="G46" s="845"/>
      <c r="H46" s="849"/>
      <c r="I46" s="849"/>
      <c r="J46" s="849"/>
      <c r="K46" s="849"/>
      <c r="L46" s="849"/>
      <c r="M46" s="849"/>
      <c r="N46" s="849"/>
      <c r="O46" s="849"/>
      <c r="P46" s="849"/>
      <c r="Q46" s="849"/>
      <c r="R46" s="849"/>
      <c r="S46" s="849"/>
      <c r="T46" s="849"/>
      <c r="U46" s="849"/>
      <c r="V46" s="849"/>
      <c r="W46" s="849"/>
      <c r="X46" s="849"/>
      <c r="Y46" s="849"/>
      <c r="Z46" s="726"/>
      <c r="AA46" s="726"/>
      <c r="AB46" s="726"/>
      <c r="AC46" s="277"/>
      <c r="AD46" s="277"/>
      <c r="AE46" s="277"/>
      <c r="AF46" s="277"/>
      <c r="AG46" s="277"/>
      <c r="AH46" s="281"/>
      <c r="AI46" s="281"/>
      <c r="AJ46" s="281"/>
      <c r="AK46" s="281"/>
      <c r="AL46" s="281"/>
      <c r="AM46" s="281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255"/>
    </row>
    <row r="47" spans="1:54" s="165" customFormat="1" ht="18" hidden="1" customHeight="1" x14ac:dyDescent="0.2">
      <c r="A47" s="844"/>
      <c r="B47" s="845"/>
      <c r="C47" s="845"/>
      <c r="D47" s="845"/>
      <c r="E47" s="845"/>
      <c r="F47" s="845"/>
      <c r="G47" s="845"/>
      <c r="H47" s="849"/>
      <c r="I47" s="849"/>
      <c r="J47" s="849"/>
      <c r="K47" s="849"/>
      <c r="L47" s="849"/>
      <c r="M47" s="849"/>
      <c r="N47" s="849"/>
      <c r="O47" s="849"/>
      <c r="P47" s="849"/>
      <c r="Q47" s="849"/>
      <c r="R47" s="849"/>
      <c r="S47" s="849"/>
      <c r="T47" s="849"/>
      <c r="U47" s="849"/>
      <c r="V47" s="849"/>
      <c r="W47" s="849"/>
      <c r="X47" s="849"/>
      <c r="Y47" s="849"/>
      <c r="Z47" s="726"/>
      <c r="AA47" s="726"/>
      <c r="AB47" s="726"/>
      <c r="AC47" s="277"/>
      <c r="AD47" s="277"/>
      <c r="AE47" s="277"/>
      <c r="AF47" s="277"/>
      <c r="AG47" s="277"/>
      <c r="AH47" s="281"/>
      <c r="AI47" s="281"/>
      <c r="AJ47" s="281"/>
      <c r="AK47" s="281"/>
      <c r="AL47" s="281"/>
      <c r="AM47" s="281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255"/>
    </row>
    <row r="48" spans="1:54" s="165" customFormat="1" ht="17.25" hidden="1" customHeight="1" x14ac:dyDescent="0.2">
      <c r="A48" s="844"/>
      <c r="B48" s="845"/>
      <c r="C48" s="845"/>
      <c r="D48" s="845"/>
      <c r="E48" s="845"/>
      <c r="F48" s="845"/>
      <c r="G48" s="845"/>
      <c r="H48" s="849"/>
      <c r="I48" s="849"/>
      <c r="J48" s="849"/>
      <c r="K48" s="849"/>
      <c r="L48" s="849"/>
      <c r="M48" s="849"/>
      <c r="N48" s="849"/>
      <c r="O48" s="849"/>
      <c r="P48" s="849"/>
      <c r="Q48" s="849"/>
      <c r="R48" s="849"/>
      <c r="S48" s="849"/>
      <c r="T48" s="849"/>
      <c r="U48" s="849"/>
      <c r="V48" s="849"/>
      <c r="W48" s="849"/>
      <c r="X48" s="849"/>
      <c r="Y48" s="849"/>
      <c r="Z48" s="726"/>
      <c r="AA48" s="726"/>
      <c r="AB48" s="726"/>
      <c r="AC48" s="277"/>
      <c r="AD48" s="277"/>
      <c r="AE48" s="277"/>
      <c r="AF48" s="277"/>
      <c r="AG48" s="277"/>
      <c r="AH48" s="281"/>
      <c r="AI48" s="281"/>
      <c r="AJ48" s="281"/>
      <c r="AK48" s="281"/>
      <c r="AL48" s="281"/>
      <c r="AM48" s="281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255"/>
    </row>
    <row r="49" spans="1:54" s="165" customFormat="1" ht="14.25" hidden="1" customHeight="1" x14ac:dyDescent="0.2">
      <c r="A49" s="844"/>
      <c r="B49" s="845"/>
      <c r="C49" s="845"/>
      <c r="D49" s="845"/>
      <c r="E49" s="845"/>
      <c r="F49" s="845"/>
      <c r="G49" s="845"/>
      <c r="H49" s="849"/>
      <c r="I49" s="849"/>
      <c r="J49" s="849"/>
      <c r="K49" s="849"/>
      <c r="L49" s="849"/>
      <c r="M49" s="849"/>
      <c r="N49" s="849"/>
      <c r="O49" s="849"/>
      <c r="P49" s="849"/>
      <c r="Q49" s="849"/>
      <c r="R49" s="849"/>
      <c r="S49" s="849"/>
      <c r="T49" s="849"/>
      <c r="U49" s="849"/>
      <c r="V49" s="849"/>
      <c r="W49" s="849"/>
      <c r="X49" s="849"/>
      <c r="Y49" s="849"/>
      <c r="Z49" s="726"/>
      <c r="AA49" s="726"/>
      <c r="AB49" s="726"/>
      <c r="AC49" s="277"/>
      <c r="AD49" s="277"/>
      <c r="AE49" s="277"/>
      <c r="AF49" s="277"/>
      <c r="AG49" s="277"/>
      <c r="AH49" s="281"/>
      <c r="AI49" s="281"/>
      <c r="AJ49" s="281"/>
      <c r="AK49" s="281"/>
      <c r="AL49" s="281"/>
      <c r="AM49" s="281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255"/>
    </row>
    <row r="50" spans="1:54" ht="0.75" customHeight="1" thickBot="1" x14ac:dyDescent="0.25">
      <c r="A50" s="846"/>
      <c r="B50" s="847"/>
      <c r="C50" s="847"/>
      <c r="D50" s="847"/>
      <c r="E50" s="847"/>
      <c r="F50" s="847"/>
      <c r="G50" s="847"/>
      <c r="H50" s="850"/>
      <c r="I50" s="850"/>
      <c r="J50" s="850"/>
      <c r="K50" s="850"/>
      <c r="L50" s="850"/>
      <c r="M50" s="850"/>
      <c r="N50" s="850"/>
      <c r="O50" s="850"/>
      <c r="P50" s="850"/>
      <c r="Q50" s="850"/>
      <c r="R50" s="850"/>
      <c r="S50" s="850"/>
      <c r="T50" s="850"/>
      <c r="U50" s="850"/>
      <c r="V50" s="850"/>
      <c r="W50" s="850"/>
      <c r="X50" s="850"/>
      <c r="Y50" s="850"/>
      <c r="Z50" s="729"/>
      <c r="AA50" s="729"/>
      <c r="AB50" s="729"/>
      <c r="AC50" s="278"/>
      <c r="AD50" s="278"/>
      <c r="AE50" s="278"/>
      <c r="AF50" s="278"/>
      <c r="AG50" s="278"/>
      <c r="AH50" s="282"/>
      <c r="AI50" s="282"/>
      <c r="AJ50" s="282"/>
      <c r="AK50" s="282"/>
      <c r="AL50" s="282"/>
      <c r="AM50" s="282"/>
      <c r="AN50" s="256"/>
      <c r="AO50" s="257"/>
      <c r="AP50" s="257"/>
      <c r="AQ50" s="257"/>
      <c r="AR50" s="258"/>
      <c r="AS50" s="259"/>
      <c r="AT50" s="260"/>
      <c r="AU50" s="260"/>
      <c r="AV50" s="260"/>
      <c r="AW50" s="261"/>
      <c r="AX50" s="256"/>
      <c r="AY50" s="257"/>
      <c r="AZ50" s="257"/>
      <c r="BA50" s="257"/>
      <c r="BB50" s="262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326"/>
      <c r="I52" s="326"/>
      <c r="J52" s="326"/>
      <c r="K52" s="326"/>
      <c r="L52" s="164"/>
      <c r="M52" s="164"/>
      <c r="N52" s="164"/>
      <c r="O52" s="164"/>
      <c r="P52" s="164"/>
      <c r="Q52" s="327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660" t="s">
        <v>106</v>
      </c>
      <c r="B58" s="661"/>
      <c r="C58" s="661"/>
      <c r="D58" s="661"/>
      <c r="E58" s="661"/>
      <c r="F58" s="661"/>
      <c r="G58" s="661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275"/>
      <c r="AC58" s="606">
        <f>((R59+(R59*U61)+(R59*Q61)+(R59*M61)+(R59*I61))*Z61)</f>
        <v>40560</v>
      </c>
      <c r="AD58" s="662"/>
      <c r="AE58" s="662"/>
      <c r="AF58" s="662"/>
      <c r="AG58" s="662"/>
      <c r="AH58" s="662">
        <v>120</v>
      </c>
      <c r="AI58" s="662"/>
      <c r="AJ58" s="662"/>
      <c r="AK58" s="662"/>
      <c r="AL58" s="662"/>
      <c r="AM58" s="662"/>
      <c r="AN58" s="662">
        <f>AC58/AH58</f>
        <v>338</v>
      </c>
      <c r="AO58" s="662"/>
      <c r="AP58" s="662"/>
      <c r="AQ58" s="662"/>
      <c r="AR58" s="662"/>
      <c r="AS58" s="663">
        <f>U12</f>
        <v>36</v>
      </c>
      <c r="AT58" s="663"/>
      <c r="AU58" s="663"/>
      <c r="AV58" s="663"/>
      <c r="AW58" s="663"/>
      <c r="AX58" s="662">
        <f>AN58*AS58</f>
        <v>12168</v>
      </c>
      <c r="AY58" s="662"/>
      <c r="AZ58" s="662"/>
      <c r="BA58" s="662"/>
      <c r="BB58" s="684"/>
    </row>
    <row r="59" spans="1:54" s="165" customFormat="1" ht="20.25" customHeight="1" x14ac:dyDescent="0.2">
      <c r="A59" s="652"/>
      <c r="B59" s="653"/>
      <c r="C59" s="653"/>
      <c r="D59" s="653"/>
      <c r="E59" s="653"/>
      <c r="F59" s="653"/>
      <c r="G59" s="653"/>
      <c r="H59" s="714" t="s">
        <v>26</v>
      </c>
      <c r="I59" s="704"/>
      <c r="J59" s="704"/>
      <c r="K59" s="704"/>
      <c r="L59" s="704"/>
      <c r="M59" s="704"/>
      <c r="N59" s="669">
        <v>0</v>
      </c>
      <c r="O59" s="669"/>
      <c r="P59" s="669"/>
      <c r="Q59" s="84" t="s">
        <v>27</v>
      </c>
      <c r="R59" s="669">
        <v>15600</v>
      </c>
      <c r="S59" s="669"/>
      <c r="T59" s="669"/>
      <c r="U59" s="669"/>
      <c r="V59" s="669"/>
      <c r="W59" s="84" t="s">
        <v>28</v>
      </c>
      <c r="X59" s="84" t="s">
        <v>29</v>
      </c>
      <c r="Y59" s="84"/>
      <c r="Z59" s="84"/>
      <c r="AA59" s="84"/>
      <c r="AB59" s="255"/>
      <c r="AC59" s="598"/>
      <c r="AD59" s="601"/>
      <c r="AE59" s="601"/>
      <c r="AF59" s="601"/>
      <c r="AG59" s="601"/>
      <c r="AH59" s="601"/>
      <c r="AI59" s="601"/>
      <c r="AJ59" s="601"/>
      <c r="AK59" s="601"/>
      <c r="AL59" s="601"/>
      <c r="AM59" s="601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652"/>
      <c r="B60" s="653"/>
      <c r="C60" s="653"/>
      <c r="D60" s="653"/>
      <c r="E60" s="653"/>
      <c r="F60" s="653"/>
      <c r="G60" s="653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255"/>
      <c r="AC60" s="598"/>
      <c r="AD60" s="601"/>
      <c r="AE60" s="601"/>
      <c r="AF60" s="601"/>
      <c r="AG60" s="601"/>
      <c r="AH60" s="601"/>
      <c r="AI60" s="601"/>
      <c r="AJ60" s="601"/>
      <c r="AK60" s="601"/>
      <c r="AL60" s="601"/>
      <c r="AM60" s="601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1.25" customHeight="1" x14ac:dyDescent="0.2">
      <c r="A61" s="652"/>
      <c r="B61" s="653"/>
      <c r="C61" s="653"/>
      <c r="D61" s="653"/>
      <c r="E61" s="653"/>
      <c r="F61" s="653"/>
      <c r="G61" s="653"/>
      <c r="H61" s="97" t="s">
        <v>30</v>
      </c>
      <c r="I61" s="792">
        <v>0</v>
      </c>
      <c r="J61" s="792"/>
      <c r="K61" s="792"/>
      <c r="L61" s="84" t="s">
        <v>79</v>
      </c>
      <c r="M61" s="792">
        <v>0</v>
      </c>
      <c r="N61" s="792"/>
      <c r="O61" s="792"/>
      <c r="P61" s="84" t="s">
        <v>79</v>
      </c>
      <c r="Q61" s="792">
        <v>0</v>
      </c>
      <c r="R61" s="792"/>
      <c r="S61" s="792"/>
      <c r="T61" s="84" t="s">
        <v>79</v>
      </c>
      <c r="U61" s="792">
        <v>0</v>
      </c>
      <c r="V61" s="792"/>
      <c r="W61" s="792"/>
      <c r="X61" s="84" t="s">
        <v>31</v>
      </c>
      <c r="Y61" s="84" t="s">
        <v>28</v>
      </c>
      <c r="Z61" s="669">
        <v>2.6</v>
      </c>
      <c r="AA61" s="669"/>
      <c r="AB61" s="717"/>
      <c r="AC61" s="598"/>
      <c r="AD61" s="601"/>
      <c r="AE61" s="601"/>
      <c r="AF61" s="601"/>
      <c r="AG61" s="601"/>
      <c r="AH61" s="601"/>
      <c r="AI61" s="601"/>
      <c r="AJ61" s="601"/>
      <c r="AK61" s="601"/>
      <c r="AL61" s="601"/>
      <c r="AM61" s="601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" customHeight="1" thickBot="1" x14ac:dyDescent="0.25">
      <c r="A62" s="681"/>
      <c r="B62" s="682"/>
      <c r="C62" s="682"/>
      <c r="D62" s="682"/>
      <c r="E62" s="682"/>
      <c r="F62" s="682"/>
      <c r="G62" s="682"/>
      <c r="H62" s="256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62"/>
      <c r="AC62" s="598"/>
      <c r="AD62" s="601"/>
      <c r="AE62" s="601"/>
      <c r="AF62" s="601"/>
      <c r="AG62" s="601"/>
      <c r="AH62" s="601"/>
      <c r="AI62" s="601"/>
      <c r="AJ62" s="601"/>
      <c r="AK62" s="601"/>
      <c r="AL62" s="601"/>
      <c r="AM62" s="601"/>
      <c r="AN62" s="601"/>
      <c r="AO62" s="601"/>
      <c r="AP62" s="601"/>
      <c r="AQ62" s="601"/>
      <c r="AR62" s="601"/>
      <c r="AS62" s="664"/>
      <c r="AT62" s="664"/>
      <c r="AU62" s="664"/>
      <c r="AV62" s="664"/>
      <c r="AW62" s="664"/>
      <c r="AX62" s="601"/>
      <c r="AY62" s="601"/>
      <c r="AZ62" s="601"/>
      <c r="BA62" s="601"/>
      <c r="BB62" s="655"/>
    </row>
    <row r="63" spans="1:54" ht="5.0999999999999996" hidden="1" customHeight="1" x14ac:dyDescent="0.2">
      <c r="A63" s="666"/>
      <c r="B63" s="667"/>
      <c r="C63" s="667"/>
      <c r="D63" s="667"/>
      <c r="E63" s="667"/>
      <c r="F63" s="667"/>
      <c r="G63" s="667"/>
      <c r="H63" s="193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94" t="e">
        <f>#REF!</f>
        <v>#REF!</v>
      </c>
      <c r="AA63" s="191"/>
      <c r="AB63" s="195"/>
      <c r="AC63" s="507">
        <f>((R64+(R64*U66)+(R64*Q66)+(R64*M66)+(R64*I66))*Z66)*1.15</f>
        <v>0</v>
      </c>
      <c r="AD63" s="507"/>
      <c r="AE63" s="507"/>
      <c r="AF63" s="507"/>
      <c r="AG63" s="507"/>
      <c r="AH63" s="529">
        <v>1</v>
      </c>
      <c r="AI63" s="529"/>
      <c r="AJ63" s="529"/>
      <c r="AK63" s="529"/>
      <c r="AL63" s="529"/>
      <c r="AM63" s="529"/>
      <c r="AN63" s="529">
        <f>AC63/AH63</f>
        <v>0</v>
      </c>
      <c r="AO63" s="529"/>
      <c r="AP63" s="529"/>
      <c r="AQ63" s="529"/>
      <c r="AR63" s="529"/>
      <c r="AS63" s="663">
        <f t="shared" ref="AS63" si="0">U17</f>
        <v>0</v>
      </c>
      <c r="AT63" s="663"/>
      <c r="AU63" s="663"/>
      <c r="AV63" s="663"/>
      <c r="AW63" s="663"/>
      <c r="AX63" s="529">
        <f>AN63*AS63</f>
        <v>0</v>
      </c>
      <c r="AY63" s="529"/>
      <c r="AZ63" s="529"/>
      <c r="BA63" s="529"/>
      <c r="BB63" s="665"/>
    </row>
    <row r="64" spans="1:54" s="165" customFormat="1" ht="11.25" hidden="1" customHeight="1" x14ac:dyDescent="0.2">
      <c r="A64" s="652"/>
      <c r="B64" s="653"/>
      <c r="C64" s="653"/>
      <c r="D64" s="653"/>
      <c r="E64" s="653"/>
      <c r="F64" s="653"/>
      <c r="G64" s="653"/>
      <c r="H64" s="658" t="s">
        <v>26</v>
      </c>
      <c r="I64" s="659"/>
      <c r="J64" s="659"/>
      <c r="K64" s="659"/>
      <c r="L64" s="659"/>
      <c r="M64" s="659"/>
      <c r="N64" s="650">
        <v>0</v>
      </c>
      <c r="O64" s="650"/>
      <c r="P64" s="650"/>
      <c r="Q64" s="191" t="s">
        <v>27</v>
      </c>
      <c r="R64" s="650">
        <f>$AX$19*N64</f>
        <v>0</v>
      </c>
      <c r="S64" s="650"/>
      <c r="T64" s="650"/>
      <c r="U64" s="650"/>
      <c r="V64" s="650"/>
      <c r="W64" s="191" t="s">
        <v>28</v>
      </c>
      <c r="X64" s="191" t="s">
        <v>29</v>
      </c>
      <c r="Y64" s="191"/>
      <c r="Z64" s="191"/>
      <c r="AA64" s="191"/>
      <c r="AB64" s="195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664"/>
      <c r="AT64" s="664"/>
      <c r="AU64" s="664"/>
      <c r="AV64" s="664"/>
      <c r="AW64" s="664"/>
      <c r="AX64" s="529"/>
      <c r="AY64" s="529"/>
      <c r="AZ64" s="529"/>
      <c r="BA64" s="529"/>
      <c r="BB64" s="665"/>
    </row>
    <row r="65" spans="1:54" s="165" customFormat="1" ht="5.0999999999999996" hidden="1" customHeight="1" x14ac:dyDescent="0.2">
      <c r="A65" s="652"/>
      <c r="B65" s="653"/>
      <c r="C65" s="653"/>
      <c r="D65" s="653"/>
      <c r="E65" s="653"/>
      <c r="F65" s="653"/>
      <c r="G65" s="653"/>
      <c r="H65" s="196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91"/>
      <c r="AA65" s="191"/>
      <c r="AB65" s="195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65" customFormat="1" ht="11.25" hidden="1" customHeight="1" x14ac:dyDescent="0.2">
      <c r="A66" s="652"/>
      <c r="B66" s="653"/>
      <c r="C66" s="653"/>
      <c r="D66" s="653"/>
      <c r="E66" s="653"/>
      <c r="F66" s="653"/>
      <c r="G66" s="653"/>
      <c r="H66" s="197" t="s">
        <v>30</v>
      </c>
      <c r="I66" s="654">
        <v>0</v>
      </c>
      <c r="J66" s="654"/>
      <c r="K66" s="654"/>
      <c r="L66" s="191" t="s">
        <v>28</v>
      </c>
      <c r="M66" s="654">
        <v>0</v>
      </c>
      <c r="N66" s="654"/>
      <c r="O66" s="654"/>
      <c r="P66" s="191" t="s">
        <v>28</v>
      </c>
      <c r="Q66" s="654"/>
      <c r="R66" s="654"/>
      <c r="S66" s="654"/>
      <c r="T66" s="191" t="s">
        <v>28</v>
      </c>
      <c r="U66" s="654"/>
      <c r="V66" s="654"/>
      <c r="W66" s="654"/>
      <c r="X66" s="191" t="s">
        <v>31</v>
      </c>
      <c r="Y66" s="191" t="s">
        <v>28</v>
      </c>
      <c r="Z66" s="650">
        <v>2.6</v>
      </c>
      <c r="AA66" s="650"/>
      <c r="AB66" s="651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65" customFormat="1" ht="5.0999999999999996" hidden="1" customHeight="1" thickBot="1" x14ac:dyDescent="0.25">
      <c r="A67" s="652"/>
      <c r="B67" s="653"/>
      <c r="C67" s="653"/>
      <c r="D67" s="653"/>
      <c r="E67" s="653"/>
      <c r="F67" s="653"/>
      <c r="G67" s="653"/>
      <c r="H67" s="198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328"/>
      <c r="AA67" s="328"/>
      <c r="AB67" s="201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65" customFormat="1" ht="5.0999999999999996" hidden="1" customHeight="1" x14ac:dyDescent="0.2">
      <c r="A68" s="652"/>
      <c r="B68" s="653"/>
      <c r="C68" s="653"/>
      <c r="D68" s="653"/>
      <c r="E68" s="653"/>
      <c r="F68" s="653"/>
      <c r="G68" s="653"/>
      <c r="H68" s="19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94" t="e">
        <f>#REF!</f>
        <v>#REF!</v>
      </c>
      <c r="AA68" s="191"/>
      <c r="AB68" s="195"/>
      <c r="AC68" s="507">
        <f>((R69+(R69*U71)+(R69*Q71)+(R69*M71)+(R69*I71))*Z71)*1.15</f>
        <v>0</v>
      </c>
      <c r="AD68" s="507"/>
      <c r="AE68" s="507"/>
      <c r="AF68" s="507"/>
      <c r="AG68" s="507"/>
      <c r="AH68" s="529">
        <v>1</v>
      </c>
      <c r="AI68" s="529"/>
      <c r="AJ68" s="529"/>
      <c r="AK68" s="529"/>
      <c r="AL68" s="529"/>
      <c r="AM68" s="529"/>
      <c r="AN68" s="529">
        <f>AC68/AH68</f>
        <v>0</v>
      </c>
      <c r="AO68" s="529"/>
      <c r="AP68" s="529"/>
      <c r="AQ68" s="529"/>
      <c r="AR68" s="529"/>
      <c r="AS68" s="663">
        <f t="shared" ref="AS68" si="1">U22</f>
        <v>0</v>
      </c>
      <c r="AT68" s="663"/>
      <c r="AU68" s="663"/>
      <c r="AV68" s="663"/>
      <c r="AW68" s="663"/>
      <c r="AX68" s="529">
        <f>AN68*AS68</f>
        <v>0</v>
      </c>
      <c r="AY68" s="529"/>
      <c r="AZ68" s="529"/>
      <c r="BA68" s="529"/>
      <c r="BB68" s="665"/>
    </row>
    <row r="69" spans="1:54" s="165" customFormat="1" ht="11.25" hidden="1" customHeight="1" x14ac:dyDescent="0.2">
      <c r="A69" s="652"/>
      <c r="B69" s="653"/>
      <c r="C69" s="653"/>
      <c r="D69" s="653"/>
      <c r="E69" s="653"/>
      <c r="F69" s="653"/>
      <c r="G69" s="653"/>
      <c r="H69" s="658" t="s">
        <v>26</v>
      </c>
      <c r="I69" s="659"/>
      <c r="J69" s="659"/>
      <c r="K69" s="659"/>
      <c r="L69" s="659"/>
      <c r="M69" s="659"/>
      <c r="N69" s="650">
        <v>0</v>
      </c>
      <c r="O69" s="650"/>
      <c r="P69" s="650"/>
      <c r="Q69" s="191" t="s">
        <v>27</v>
      </c>
      <c r="R69" s="650">
        <f>$AX$19*N69</f>
        <v>0</v>
      </c>
      <c r="S69" s="650"/>
      <c r="T69" s="650"/>
      <c r="U69" s="650"/>
      <c r="V69" s="650"/>
      <c r="W69" s="191" t="s">
        <v>28</v>
      </c>
      <c r="X69" s="191" t="s">
        <v>29</v>
      </c>
      <c r="Y69" s="191"/>
      <c r="Z69" s="191"/>
      <c r="AA69" s="191"/>
      <c r="AB69" s="195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529"/>
      <c r="AP69" s="529"/>
      <c r="AQ69" s="529"/>
      <c r="AR69" s="529"/>
      <c r="AS69" s="664"/>
      <c r="AT69" s="664"/>
      <c r="AU69" s="664"/>
      <c r="AV69" s="664"/>
      <c r="AW69" s="664"/>
      <c r="AX69" s="529"/>
      <c r="AY69" s="529"/>
      <c r="AZ69" s="529"/>
      <c r="BA69" s="529"/>
      <c r="BB69" s="665"/>
    </row>
    <row r="70" spans="1:54" ht="5.0999999999999996" hidden="1" customHeight="1" x14ac:dyDescent="0.2">
      <c r="A70" s="652"/>
      <c r="B70" s="653"/>
      <c r="C70" s="653"/>
      <c r="D70" s="653"/>
      <c r="E70" s="653"/>
      <c r="F70" s="653"/>
      <c r="G70" s="653"/>
      <c r="H70" s="19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91"/>
      <c r="AA70" s="191"/>
      <c r="AB70" s="195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s="165" customFormat="1" ht="11.25" hidden="1" customHeight="1" x14ac:dyDescent="0.2">
      <c r="A71" s="652"/>
      <c r="B71" s="653"/>
      <c r="C71" s="653"/>
      <c r="D71" s="653"/>
      <c r="E71" s="653"/>
      <c r="F71" s="653"/>
      <c r="G71" s="653"/>
      <c r="H71" s="197" t="s">
        <v>30</v>
      </c>
      <c r="I71" s="654">
        <v>0</v>
      </c>
      <c r="J71" s="654"/>
      <c r="K71" s="654"/>
      <c r="L71" s="191" t="s">
        <v>28</v>
      </c>
      <c r="M71" s="654">
        <v>0</v>
      </c>
      <c r="N71" s="654"/>
      <c r="O71" s="654"/>
      <c r="P71" s="191" t="s">
        <v>28</v>
      </c>
      <c r="Q71" s="654"/>
      <c r="R71" s="654"/>
      <c r="S71" s="654"/>
      <c r="T71" s="191" t="s">
        <v>28</v>
      </c>
      <c r="U71" s="654"/>
      <c r="V71" s="654"/>
      <c r="W71" s="654"/>
      <c r="X71" s="191" t="s">
        <v>31</v>
      </c>
      <c r="Y71" s="191" t="s">
        <v>28</v>
      </c>
      <c r="Z71" s="650">
        <v>2.6</v>
      </c>
      <c r="AA71" s="650"/>
      <c r="AB71" s="651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65" customFormat="1" ht="11.25" hidden="1" customHeight="1" thickBot="1" x14ac:dyDescent="0.25">
      <c r="A72" s="652"/>
      <c r="B72" s="653"/>
      <c r="C72" s="653"/>
      <c r="D72" s="653"/>
      <c r="E72" s="653"/>
      <c r="F72" s="653"/>
      <c r="G72" s="653"/>
      <c r="H72" s="198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328"/>
      <c r="AA72" s="328"/>
      <c r="AB72" s="201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65" customFormat="1" ht="15" hidden="1" customHeight="1" x14ac:dyDescent="0.2">
      <c r="A73" s="660" t="s">
        <v>84</v>
      </c>
      <c r="B73" s="661"/>
      <c r="C73" s="661"/>
      <c r="D73" s="661"/>
      <c r="E73" s="661"/>
      <c r="F73" s="661"/>
      <c r="G73" s="661"/>
      <c r="H73" s="19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94" t="e">
        <f>#REF!</f>
        <v>#REF!</v>
      </c>
      <c r="AA73" s="191"/>
      <c r="AB73" s="195"/>
      <c r="AC73" s="507">
        <f>((R74+(R74*U76)+(R74*Q76)+(R74*M76)+(R74*I76))*Z76)</f>
        <v>0</v>
      </c>
      <c r="AD73" s="507"/>
      <c r="AE73" s="507"/>
      <c r="AF73" s="507"/>
      <c r="AG73" s="507"/>
      <c r="AH73" s="529">
        <v>75</v>
      </c>
      <c r="AI73" s="529"/>
      <c r="AJ73" s="529"/>
      <c r="AK73" s="529"/>
      <c r="AL73" s="529"/>
      <c r="AM73" s="529"/>
      <c r="AN73" s="529">
        <f>AC73/AH73</f>
        <v>0</v>
      </c>
      <c r="AO73" s="529"/>
      <c r="AP73" s="529"/>
      <c r="AQ73" s="529"/>
      <c r="AR73" s="529"/>
      <c r="AS73" s="663">
        <f t="shared" ref="AS73" si="2">U27</f>
        <v>0</v>
      </c>
      <c r="AT73" s="663"/>
      <c r="AU73" s="663"/>
      <c r="AV73" s="663"/>
      <c r="AW73" s="663"/>
      <c r="AX73" s="529">
        <f>AN73*AS73</f>
        <v>0</v>
      </c>
      <c r="AY73" s="529"/>
      <c r="AZ73" s="529"/>
      <c r="BA73" s="529"/>
      <c r="BB73" s="665"/>
    </row>
    <row r="74" spans="1:54" s="165" customFormat="1" ht="21" hidden="1" customHeight="1" thickBot="1" x14ac:dyDescent="0.25">
      <c r="A74" s="652"/>
      <c r="B74" s="653"/>
      <c r="C74" s="653"/>
      <c r="D74" s="653"/>
      <c r="E74" s="653"/>
      <c r="F74" s="653"/>
      <c r="G74" s="653"/>
      <c r="H74" s="658" t="s">
        <v>26</v>
      </c>
      <c r="I74" s="659"/>
      <c r="J74" s="659"/>
      <c r="K74" s="659"/>
      <c r="L74" s="659"/>
      <c r="M74" s="659"/>
      <c r="N74" s="650">
        <v>0</v>
      </c>
      <c r="O74" s="650"/>
      <c r="P74" s="650"/>
      <c r="Q74" s="191" t="s">
        <v>27</v>
      </c>
      <c r="R74" s="650">
        <f>$AX$19*N74</f>
        <v>0</v>
      </c>
      <c r="S74" s="650"/>
      <c r="T74" s="650"/>
      <c r="U74" s="650"/>
      <c r="V74" s="650"/>
      <c r="W74" s="191" t="s">
        <v>28</v>
      </c>
      <c r="X74" s="191" t="s">
        <v>29</v>
      </c>
      <c r="Y74" s="191"/>
      <c r="Z74" s="191"/>
      <c r="AA74" s="191"/>
      <c r="AB74" s="195"/>
      <c r="AC74" s="529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29"/>
      <c r="AS74" s="664"/>
      <c r="AT74" s="664"/>
      <c r="AU74" s="664"/>
      <c r="AV74" s="664"/>
      <c r="AW74" s="664"/>
      <c r="AX74" s="529"/>
      <c r="AY74" s="529"/>
      <c r="AZ74" s="529"/>
      <c r="BA74" s="529"/>
      <c r="BB74" s="665"/>
    </row>
    <row r="75" spans="1:54" s="165" customFormat="1" ht="12" hidden="1" customHeight="1" thickBot="1" x14ac:dyDescent="0.25">
      <c r="A75" s="652"/>
      <c r="B75" s="653"/>
      <c r="C75" s="653"/>
      <c r="D75" s="653"/>
      <c r="E75" s="653"/>
      <c r="F75" s="653"/>
      <c r="G75" s="653"/>
      <c r="H75" s="196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91"/>
      <c r="AA75" s="191"/>
      <c r="AB75" s="195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29"/>
      <c r="AS75" s="664"/>
      <c r="AT75" s="664"/>
      <c r="AU75" s="664"/>
      <c r="AV75" s="664"/>
      <c r="AW75" s="664"/>
      <c r="AX75" s="529"/>
      <c r="AY75" s="529"/>
      <c r="AZ75" s="529"/>
      <c r="BA75" s="529"/>
      <c r="BB75" s="665"/>
    </row>
    <row r="76" spans="1:54" s="165" customFormat="1" ht="15.75" hidden="1" customHeight="1" thickBot="1" x14ac:dyDescent="0.25">
      <c r="A76" s="652"/>
      <c r="B76" s="653"/>
      <c r="C76" s="653"/>
      <c r="D76" s="653"/>
      <c r="E76" s="653"/>
      <c r="F76" s="653"/>
      <c r="G76" s="653"/>
      <c r="H76" s="197" t="s">
        <v>30</v>
      </c>
      <c r="I76" s="654">
        <v>0.2</v>
      </c>
      <c r="J76" s="654"/>
      <c r="K76" s="654"/>
      <c r="L76" s="191" t="s">
        <v>28</v>
      </c>
      <c r="M76" s="654">
        <v>0.15</v>
      </c>
      <c r="N76" s="654"/>
      <c r="O76" s="654"/>
      <c r="P76" s="191" t="s">
        <v>28</v>
      </c>
      <c r="Q76" s="654">
        <v>0.5</v>
      </c>
      <c r="R76" s="654"/>
      <c r="S76" s="654"/>
      <c r="T76" s="191" t="s">
        <v>28</v>
      </c>
      <c r="U76" s="654">
        <v>0</v>
      </c>
      <c r="V76" s="654"/>
      <c r="W76" s="654"/>
      <c r="X76" s="191" t="s">
        <v>31</v>
      </c>
      <c r="Y76" s="191" t="s">
        <v>28</v>
      </c>
      <c r="Z76" s="650">
        <v>2.6</v>
      </c>
      <c r="AA76" s="650"/>
      <c r="AB76" s="651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29"/>
      <c r="AS76" s="664"/>
      <c r="AT76" s="664"/>
      <c r="AU76" s="664"/>
      <c r="AV76" s="664"/>
      <c r="AW76" s="664"/>
      <c r="AX76" s="529"/>
      <c r="AY76" s="529"/>
      <c r="AZ76" s="529"/>
      <c r="BA76" s="529"/>
      <c r="BB76" s="665"/>
    </row>
    <row r="77" spans="1:54" ht="13.5" hidden="1" customHeight="1" thickBot="1" x14ac:dyDescent="0.25">
      <c r="A77" s="652"/>
      <c r="B77" s="653"/>
      <c r="C77" s="653"/>
      <c r="D77" s="653"/>
      <c r="E77" s="653"/>
      <c r="F77" s="653"/>
      <c r="G77" s="653"/>
      <c r="H77" s="198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328"/>
      <c r="AA77" s="328"/>
      <c r="AB77" s="201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29"/>
      <c r="AS77" s="664"/>
      <c r="AT77" s="664"/>
      <c r="AU77" s="664"/>
      <c r="AV77" s="664"/>
      <c r="AW77" s="664"/>
      <c r="AX77" s="529"/>
      <c r="AY77" s="529"/>
      <c r="AZ77" s="529"/>
      <c r="BA77" s="529"/>
      <c r="BB77" s="665"/>
    </row>
    <row r="78" spans="1:54" s="165" customFormat="1" ht="8.25" hidden="1" customHeight="1" x14ac:dyDescent="0.2">
      <c r="A78" s="660" t="s">
        <v>86</v>
      </c>
      <c r="B78" s="661"/>
      <c r="C78" s="661"/>
      <c r="D78" s="661"/>
      <c r="E78" s="661"/>
      <c r="F78" s="661"/>
      <c r="G78" s="661"/>
      <c r="H78" s="19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94" t="e">
        <f>#REF!</f>
        <v>#REF!</v>
      </c>
      <c r="AA78" s="191"/>
      <c r="AB78" s="195"/>
      <c r="AC78" s="662">
        <f>((R79+(R79*U81)+(R79*Q81)+(R79*M81)+(R79*I81))*Z81)*1.15</f>
        <v>0</v>
      </c>
      <c r="AD78" s="662"/>
      <c r="AE78" s="662"/>
      <c r="AF78" s="662"/>
      <c r="AG78" s="662"/>
      <c r="AH78" s="601">
        <v>144</v>
      </c>
      <c r="AI78" s="601"/>
      <c r="AJ78" s="601"/>
      <c r="AK78" s="601"/>
      <c r="AL78" s="601"/>
      <c r="AM78" s="601"/>
      <c r="AN78" s="601">
        <f>AC78/AH78</f>
        <v>0</v>
      </c>
      <c r="AO78" s="601"/>
      <c r="AP78" s="601"/>
      <c r="AQ78" s="601"/>
      <c r="AR78" s="601"/>
      <c r="AS78" s="663">
        <v>72</v>
      </c>
      <c r="AT78" s="663"/>
      <c r="AU78" s="663"/>
      <c r="AV78" s="663"/>
      <c r="AW78" s="663"/>
      <c r="AX78" s="601">
        <f>AN78*AS78</f>
        <v>0</v>
      </c>
      <c r="AY78" s="601"/>
      <c r="AZ78" s="601"/>
      <c r="BA78" s="601"/>
      <c r="BB78" s="655"/>
    </row>
    <row r="79" spans="1:54" s="165" customFormat="1" ht="27" hidden="1" customHeight="1" thickBot="1" x14ac:dyDescent="0.25">
      <c r="A79" s="652"/>
      <c r="B79" s="653"/>
      <c r="C79" s="653"/>
      <c r="D79" s="653"/>
      <c r="E79" s="653"/>
      <c r="F79" s="653"/>
      <c r="G79" s="653"/>
      <c r="H79" s="658" t="s">
        <v>26</v>
      </c>
      <c r="I79" s="659"/>
      <c r="J79" s="659"/>
      <c r="K79" s="659"/>
      <c r="L79" s="659"/>
      <c r="M79" s="659"/>
      <c r="N79" s="650">
        <v>0</v>
      </c>
      <c r="O79" s="650"/>
      <c r="P79" s="650"/>
      <c r="Q79" s="191" t="s">
        <v>27</v>
      </c>
      <c r="R79" s="650">
        <f>$AX$19*N79</f>
        <v>0</v>
      </c>
      <c r="S79" s="650"/>
      <c r="T79" s="650"/>
      <c r="U79" s="650"/>
      <c r="V79" s="650"/>
      <c r="W79" s="191" t="s">
        <v>28</v>
      </c>
      <c r="X79" s="191" t="s">
        <v>29</v>
      </c>
      <c r="Y79" s="191"/>
      <c r="Z79" s="191"/>
      <c r="AA79" s="191"/>
      <c r="AB79" s="195"/>
      <c r="AC79" s="601"/>
      <c r="AD79" s="601"/>
      <c r="AE79" s="601"/>
      <c r="AF79" s="601"/>
      <c r="AG79" s="601"/>
      <c r="AH79" s="601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64"/>
      <c r="AT79" s="664"/>
      <c r="AU79" s="664"/>
      <c r="AV79" s="664"/>
      <c r="AW79" s="664"/>
      <c r="AX79" s="601"/>
      <c r="AY79" s="601"/>
      <c r="AZ79" s="601"/>
      <c r="BA79" s="601"/>
      <c r="BB79" s="655"/>
    </row>
    <row r="80" spans="1:54" s="165" customFormat="1" ht="6.75" hidden="1" customHeight="1" thickBot="1" x14ac:dyDescent="0.25">
      <c r="A80" s="652"/>
      <c r="B80" s="653"/>
      <c r="C80" s="653"/>
      <c r="D80" s="653"/>
      <c r="E80" s="653"/>
      <c r="F80" s="653"/>
      <c r="G80" s="653"/>
      <c r="H80" s="19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91"/>
      <c r="AA80" s="191"/>
      <c r="AB80" s="195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ht="12" hidden="1" customHeight="1" thickBot="1" x14ac:dyDescent="0.25">
      <c r="A81" s="652"/>
      <c r="B81" s="653"/>
      <c r="C81" s="653"/>
      <c r="D81" s="653"/>
      <c r="E81" s="653"/>
      <c r="F81" s="653"/>
      <c r="G81" s="653"/>
      <c r="H81" s="197" t="s">
        <v>30</v>
      </c>
      <c r="I81" s="654">
        <v>0.2</v>
      </c>
      <c r="J81" s="654"/>
      <c r="K81" s="654"/>
      <c r="L81" s="191" t="s">
        <v>28</v>
      </c>
      <c r="M81" s="654">
        <v>0</v>
      </c>
      <c r="N81" s="654"/>
      <c r="O81" s="654"/>
      <c r="P81" s="191" t="s">
        <v>28</v>
      </c>
      <c r="Q81" s="654">
        <v>0</v>
      </c>
      <c r="R81" s="654"/>
      <c r="S81" s="654"/>
      <c r="T81" s="191" t="s">
        <v>28</v>
      </c>
      <c r="U81" s="654">
        <v>0</v>
      </c>
      <c r="V81" s="654"/>
      <c r="W81" s="654"/>
      <c r="X81" s="191" t="s">
        <v>31</v>
      </c>
      <c r="Y81" s="191" t="s">
        <v>28</v>
      </c>
      <c r="Z81" s="650">
        <v>2.6</v>
      </c>
      <c r="AA81" s="650"/>
      <c r="AB81" s="651"/>
      <c r="AC81" s="601"/>
      <c r="AD81" s="601"/>
      <c r="AE81" s="601"/>
      <c r="AF81" s="601"/>
      <c r="AG81" s="601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3.5" hidden="1" customHeight="1" thickBot="1" x14ac:dyDescent="0.25">
      <c r="A82" s="652"/>
      <c r="B82" s="653"/>
      <c r="C82" s="653"/>
      <c r="D82" s="653"/>
      <c r="E82" s="653"/>
      <c r="F82" s="653"/>
      <c r="G82" s="653"/>
      <c r="H82" s="202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4"/>
      <c r="AA82" s="204"/>
      <c r="AB82" s="205"/>
      <c r="AC82" s="601"/>
      <c r="AD82" s="601"/>
      <c r="AE82" s="601"/>
      <c r="AF82" s="601"/>
      <c r="AG82" s="601"/>
      <c r="AH82" s="656"/>
      <c r="AI82" s="656"/>
      <c r="AJ82" s="656"/>
      <c r="AK82" s="656"/>
      <c r="AL82" s="656"/>
      <c r="AM82" s="656"/>
      <c r="AN82" s="656"/>
      <c r="AO82" s="656"/>
      <c r="AP82" s="656"/>
      <c r="AQ82" s="656"/>
      <c r="AR82" s="656"/>
      <c r="AS82" s="664"/>
      <c r="AT82" s="664"/>
      <c r="AU82" s="664"/>
      <c r="AV82" s="664"/>
      <c r="AW82" s="664"/>
      <c r="AX82" s="656"/>
      <c r="AY82" s="656"/>
      <c r="AZ82" s="656"/>
      <c r="BA82" s="656"/>
      <c r="BB82" s="657"/>
    </row>
    <row r="83" spans="1:54" ht="11.25" customHeight="1" x14ac:dyDescent="0.2">
      <c r="R83" s="169" t="s">
        <v>18</v>
      </c>
      <c r="S83" s="170"/>
      <c r="T83" s="170"/>
      <c r="U83" s="171"/>
      <c r="V83" s="171"/>
      <c r="W83" s="171"/>
      <c r="X83" s="171"/>
      <c r="Y83" s="171"/>
      <c r="Z83" s="171"/>
      <c r="AA83" s="171"/>
      <c r="AB83" s="171"/>
      <c r="AC83" s="171"/>
      <c r="AD83" s="171" t="s">
        <v>19</v>
      </c>
      <c r="AE83" s="171" t="s">
        <v>20</v>
      </c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2"/>
      <c r="AS83" s="453">
        <f>AX83/U12</f>
        <v>338</v>
      </c>
      <c r="AT83" s="453"/>
      <c r="AU83" s="453"/>
      <c r="AV83" s="453"/>
      <c r="AW83" s="453"/>
      <c r="AX83" s="453">
        <f>SUM(AX58:BB82)</f>
        <v>12168</v>
      </c>
      <c r="AY83" s="453"/>
      <c r="AZ83" s="453"/>
      <c r="BA83" s="453"/>
      <c r="BB83" s="454"/>
    </row>
    <row r="84" spans="1:54" ht="11.25" customHeight="1" thickBot="1" x14ac:dyDescent="0.25">
      <c r="R84" s="175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 t="s">
        <v>19</v>
      </c>
      <c r="AE84" s="176" t="s">
        <v>21</v>
      </c>
      <c r="AF84" s="176"/>
      <c r="AG84" s="176"/>
      <c r="AH84" s="176"/>
      <c r="AI84" s="176"/>
      <c r="AJ84" s="176"/>
      <c r="AK84" s="176"/>
      <c r="AL84" s="176"/>
      <c r="AM84" s="176"/>
      <c r="AN84" s="176"/>
      <c r="AO84" s="630">
        <v>0.30199999999999999</v>
      </c>
      <c r="AP84" s="631"/>
      <c r="AQ84" s="631"/>
      <c r="AR84" s="632"/>
      <c r="AS84" s="463">
        <f>AX84/U12</f>
        <v>102.07599999999999</v>
      </c>
      <c r="AT84" s="463"/>
      <c r="AU84" s="463"/>
      <c r="AV84" s="463"/>
      <c r="AW84" s="463"/>
      <c r="AX84" s="463">
        <f>AX83*AO84</f>
        <v>3674.7359999999999</v>
      </c>
      <c r="AY84" s="463"/>
      <c r="AZ84" s="463"/>
      <c r="BA84" s="463"/>
      <c r="BB84" s="633"/>
    </row>
    <row r="85" spans="1:54" ht="11.25" customHeight="1" thickBot="1" x14ac:dyDescent="0.25">
      <c r="M85" s="164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206"/>
      <c r="AP85" s="336"/>
      <c r="AQ85" s="336"/>
      <c r="AR85" s="336"/>
      <c r="AS85" s="335"/>
      <c r="AT85" s="335"/>
      <c r="AU85" s="335"/>
      <c r="AV85" s="335"/>
      <c r="AW85" s="335"/>
      <c r="AX85" s="335"/>
      <c r="AY85" s="335"/>
      <c r="AZ85" s="335"/>
      <c r="BA85" s="335"/>
      <c r="BB85" s="335"/>
    </row>
    <row r="86" spans="1:54" ht="12" customHeight="1" x14ac:dyDescent="0.2">
      <c r="A86" s="634" t="s">
        <v>32</v>
      </c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34"/>
      <c r="O86" s="635" t="s">
        <v>33</v>
      </c>
      <c r="P86" s="636"/>
      <c r="Q86" s="636"/>
      <c r="R86" s="636"/>
      <c r="S86" s="636"/>
      <c r="T86" s="636"/>
      <c r="U86" s="636"/>
      <c r="V86" s="636"/>
      <c r="W86" s="636"/>
      <c r="X86" s="636"/>
      <c r="Y86" s="636"/>
      <c r="Z86" s="636"/>
      <c r="AA86" s="636"/>
      <c r="AB86" s="636"/>
      <c r="AC86" s="636"/>
      <c r="AD86" s="636"/>
      <c r="AE86" s="636"/>
      <c r="AF86" s="636"/>
      <c r="AG86" s="636"/>
      <c r="AH86" s="636"/>
      <c r="AI86" s="636"/>
      <c r="AJ86" s="636"/>
      <c r="AK86" s="636"/>
      <c r="AL86" s="636"/>
      <c r="AM86" s="636"/>
      <c r="AN86" s="636"/>
      <c r="AO86" s="637">
        <f>AS34+AS51+AS83</f>
        <v>473.2</v>
      </c>
      <c r="AP86" s="637"/>
      <c r="AQ86" s="637"/>
      <c r="AR86" s="637"/>
      <c r="AS86" s="637"/>
      <c r="AT86" s="637"/>
      <c r="AU86" s="637"/>
      <c r="AV86" s="637">
        <f>AX34+AX51+AX83</f>
        <v>17035.2</v>
      </c>
      <c r="AW86" s="637"/>
      <c r="AX86" s="637"/>
      <c r="AY86" s="637"/>
      <c r="AZ86" s="637"/>
      <c r="BA86" s="637"/>
      <c r="BB86" s="638"/>
    </row>
    <row r="87" spans="1:54" ht="12" customHeight="1" thickBot="1" x14ac:dyDescent="0.25">
      <c r="M87" s="163"/>
      <c r="O87" s="643" t="s">
        <v>34</v>
      </c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4"/>
      <c r="AI87" s="644"/>
      <c r="AJ87" s="644"/>
      <c r="AK87" s="644"/>
      <c r="AL87" s="644"/>
      <c r="AM87" s="644"/>
      <c r="AN87" s="644"/>
      <c r="AO87" s="645">
        <f>AS35+AS52+AS84</f>
        <v>142.90639999999999</v>
      </c>
      <c r="AP87" s="645"/>
      <c r="AQ87" s="645"/>
      <c r="AR87" s="645"/>
      <c r="AS87" s="645"/>
      <c r="AT87" s="645"/>
      <c r="AU87" s="645"/>
      <c r="AV87" s="645">
        <f>AX35+AX52+AX84</f>
        <v>5144.6304</v>
      </c>
      <c r="AW87" s="645"/>
      <c r="AX87" s="645"/>
      <c r="AY87" s="645"/>
      <c r="AZ87" s="645"/>
      <c r="BA87" s="645"/>
      <c r="BB87" s="646"/>
    </row>
    <row r="88" spans="1:54" ht="12" customHeight="1" thickBot="1" x14ac:dyDescent="0.25">
      <c r="M88" s="208" t="s">
        <v>35</v>
      </c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10"/>
      <c r="AO88" s="647">
        <f>AO87+AO86</f>
        <v>616.10640000000001</v>
      </c>
      <c r="AP88" s="648"/>
      <c r="AQ88" s="648"/>
      <c r="AR88" s="648"/>
      <c r="AS88" s="648"/>
      <c r="AT88" s="648"/>
      <c r="AU88" s="648"/>
      <c r="AV88" s="648">
        <f>AV86+AV87</f>
        <v>22179.830399999999</v>
      </c>
      <c r="AW88" s="648"/>
      <c r="AX88" s="648"/>
      <c r="AY88" s="648"/>
      <c r="AZ88" s="648"/>
      <c r="BA88" s="648"/>
      <c r="BB88" s="649"/>
    </row>
    <row r="89" spans="1:54" ht="18" customHeight="1" x14ac:dyDescent="0.2"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</row>
    <row r="90" spans="1:54" s="159" customFormat="1" ht="15" customHeight="1" x14ac:dyDescent="0.2">
      <c r="A90" s="159" t="s">
        <v>36</v>
      </c>
      <c r="C90" s="159" t="s">
        <v>37</v>
      </c>
      <c r="AX90" s="160"/>
      <c r="AY90" s="160"/>
      <c r="AZ90" s="160"/>
      <c r="BA90" s="160"/>
      <c r="BB90" s="160"/>
    </row>
    <row r="91" spans="1:54" ht="21.75" customHeight="1" thickBot="1" x14ac:dyDescent="0.25"/>
    <row r="92" spans="1:54" s="163" customFormat="1" ht="39" customHeight="1" x14ac:dyDescent="0.2">
      <c r="A92" s="499" t="s">
        <v>38</v>
      </c>
      <c r="B92" s="500"/>
      <c r="C92" s="500"/>
      <c r="D92" s="500"/>
      <c r="E92" s="500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35" t="s">
        <v>39</v>
      </c>
      <c r="R92" s="535"/>
      <c r="S92" s="535"/>
      <c r="T92" s="535"/>
      <c r="U92" s="535"/>
      <c r="V92" s="535"/>
      <c r="W92" s="535"/>
      <c r="X92" s="535" t="s">
        <v>40</v>
      </c>
      <c r="Y92" s="535"/>
      <c r="Z92" s="535"/>
      <c r="AA92" s="535"/>
      <c r="AB92" s="535"/>
      <c r="AC92" s="535"/>
      <c r="AD92" s="535"/>
      <c r="AE92" s="535" t="s">
        <v>41</v>
      </c>
      <c r="AF92" s="535"/>
      <c r="AG92" s="535"/>
      <c r="AH92" s="535"/>
      <c r="AI92" s="535"/>
      <c r="AJ92" s="535"/>
      <c r="AK92" s="535"/>
      <c r="AL92" s="535"/>
      <c r="AM92" s="500" t="s">
        <v>42</v>
      </c>
      <c r="AN92" s="500"/>
      <c r="AO92" s="500"/>
      <c r="AP92" s="500"/>
      <c r="AQ92" s="500"/>
      <c r="AR92" s="500"/>
      <c r="AS92" s="500"/>
      <c r="AT92" s="500"/>
      <c r="AU92" s="500"/>
      <c r="AV92" s="500" t="s">
        <v>43</v>
      </c>
      <c r="AW92" s="500"/>
      <c r="AX92" s="500"/>
      <c r="AY92" s="500"/>
      <c r="AZ92" s="500"/>
      <c r="BA92" s="500"/>
      <c r="BB92" s="639"/>
    </row>
    <row r="93" spans="1:54" s="163" customFormat="1" ht="12" customHeight="1" thickBot="1" x14ac:dyDescent="0.25">
      <c r="A93" s="640">
        <v>1</v>
      </c>
      <c r="B93" s="641"/>
      <c r="C93" s="641"/>
      <c r="D93" s="641"/>
      <c r="E93" s="641"/>
      <c r="F93" s="641"/>
      <c r="G93" s="641"/>
      <c r="H93" s="641"/>
      <c r="I93" s="641"/>
      <c r="J93" s="641"/>
      <c r="K93" s="641"/>
      <c r="L93" s="641"/>
      <c r="M93" s="641"/>
      <c r="N93" s="641"/>
      <c r="O93" s="641"/>
      <c r="P93" s="641"/>
      <c r="Q93" s="641">
        <v>2</v>
      </c>
      <c r="R93" s="641"/>
      <c r="S93" s="641"/>
      <c r="T93" s="641"/>
      <c r="U93" s="641"/>
      <c r="V93" s="641"/>
      <c r="W93" s="641"/>
      <c r="X93" s="641">
        <v>3</v>
      </c>
      <c r="Y93" s="641"/>
      <c r="Z93" s="641"/>
      <c r="AA93" s="641"/>
      <c r="AB93" s="641"/>
      <c r="AC93" s="641"/>
      <c r="AD93" s="641"/>
      <c r="AE93" s="641">
        <v>4</v>
      </c>
      <c r="AF93" s="641"/>
      <c r="AG93" s="641"/>
      <c r="AH93" s="641"/>
      <c r="AI93" s="641"/>
      <c r="AJ93" s="641"/>
      <c r="AK93" s="641"/>
      <c r="AL93" s="641"/>
      <c r="AM93" s="641">
        <v>5</v>
      </c>
      <c r="AN93" s="641"/>
      <c r="AO93" s="641"/>
      <c r="AP93" s="641"/>
      <c r="AQ93" s="641"/>
      <c r="AR93" s="641"/>
      <c r="AS93" s="641"/>
      <c r="AT93" s="641"/>
      <c r="AU93" s="641"/>
      <c r="AV93" s="641">
        <v>6</v>
      </c>
      <c r="AW93" s="641"/>
      <c r="AX93" s="641"/>
      <c r="AY93" s="641"/>
      <c r="AZ93" s="641"/>
      <c r="BA93" s="641"/>
      <c r="BB93" s="642"/>
    </row>
    <row r="94" spans="1:54" ht="15" customHeight="1" x14ac:dyDescent="0.2">
      <c r="A94" s="618" t="s">
        <v>44</v>
      </c>
      <c r="B94" s="619"/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9"/>
      <c r="Q94" s="572">
        <v>5014.7</v>
      </c>
      <c r="R94" s="573"/>
      <c r="S94" s="573"/>
      <c r="T94" s="573"/>
      <c r="U94" s="573"/>
      <c r="V94" s="573"/>
      <c r="W94" s="574"/>
      <c r="X94" s="572">
        <v>153</v>
      </c>
      <c r="Y94" s="573"/>
      <c r="Z94" s="573"/>
      <c r="AA94" s="573"/>
      <c r="AB94" s="573"/>
      <c r="AC94" s="573"/>
      <c r="AD94" s="574"/>
      <c r="AE94" s="477">
        <v>1312893.28</v>
      </c>
      <c r="AF94" s="477"/>
      <c r="AG94" s="477"/>
      <c r="AH94" s="477"/>
      <c r="AI94" s="477"/>
      <c r="AJ94" s="477"/>
      <c r="AK94" s="477"/>
      <c r="AL94" s="477"/>
      <c r="AM94" s="620" t="s">
        <v>45</v>
      </c>
      <c r="AN94" s="621"/>
      <c r="AO94" s="621"/>
      <c r="AP94" s="621"/>
      <c r="AQ94" s="621"/>
      <c r="AR94" s="621"/>
      <c r="AS94" s="621"/>
      <c r="AT94" s="621"/>
      <c r="AU94" s="622"/>
      <c r="AV94" s="615">
        <f>AE94/$Q$94*$X$94/($AN$95*$AN$96)</f>
        <v>13.514428971536235</v>
      </c>
      <c r="AW94" s="615"/>
      <c r="AX94" s="615"/>
      <c r="AY94" s="615"/>
      <c r="AZ94" s="615"/>
      <c r="BA94" s="615"/>
      <c r="BB94" s="616"/>
    </row>
    <row r="95" spans="1:54" ht="15" customHeight="1" x14ac:dyDescent="0.2">
      <c r="A95" s="618" t="s">
        <v>46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/>
      <c r="R95" s="573"/>
      <c r="S95" s="573"/>
      <c r="T95" s="573"/>
      <c r="U95" s="573"/>
      <c r="V95" s="573"/>
      <c r="W95" s="574"/>
      <c r="X95" s="572"/>
      <c r="Y95" s="573"/>
      <c r="Z95" s="573"/>
      <c r="AA95" s="573"/>
      <c r="AB95" s="573"/>
      <c r="AC95" s="573"/>
      <c r="AD95" s="574"/>
      <c r="AE95" s="529">
        <v>2160860.7999999998</v>
      </c>
      <c r="AF95" s="529"/>
      <c r="AG95" s="529"/>
      <c r="AH95" s="529"/>
      <c r="AI95" s="529"/>
      <c r="AJ95" s="529"/>
      <c r="AK95" s="529"/>
      <c r="AL95" s="529"/>
      <c r="AM95" s="213"/>
      <c r="AN95" s="623">
        <v>247</v>
      </c>
      <c r="AO95" s="623"/>
      <c r="AP95" s="623"/>
      <c r="AQ95" s="617" t="s">
        <v>47</v>
      </c>
      <c r="AR95" s="617"/>
      <c r="AS95" s="617"/>
      <c r="AT95" s="617"/>
      <c r="AU95" s="214"/>
      <c r="AV95" s="615">
        <f>AE95/$Q$94*$X$94/($AN$95*$AN$96)</f>
        <v>22.243087266755573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449" t="s">
        <v>48</v>
      </c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  <c r="M96" s="450"/>
      <c r="N96" s="450"/>
      <c r="O96" s="450"/>
      <c r="P96" s="451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529">
        <v>2993420.26</v>
      </c>
      <c r="AF96" s="529"/>
      <c r="AG96" s="529"/>
      <c r="AH96" s="529"/>
      <c r="AI96" s="529"/>
      <c r="AJ96" s="529"/>
      <c r="AK96" s="529"/>
      <c r="AL96" s="529"/>
      <c r="AM96" s="213"/>
      <c r="AN96" s="562">
        <v>12</v>
      </c>
      <c r="AO96" s="562"/>
      <c r="AP96" s="562"/>
      <c r="AQ96" s="617" t="s">
        <v>49</v>
      </c>
      <c r="AR96" s="617"/>
      <c r="AS96" s="617"/>
      <c r="AT96" s="617"/>
      <c r="AU96" s="214"/>
      <c r="AV96" s="615">
        <f>AE96/$Q$94*$X$94/($AN$95*$AN$96)</f>
        <v>30.813140795211872</v>
      </c>
      <c r="AW96" s="615"/>
      <c r="AX96" s="615"/>
      <c r="AY96" s="615"/>
      <c r="AZ96" s="615"/>
      <c r="BA96" s="615"/>
      <c r="BB96" s="616"/>
    </row>
    <row r="97" spans="1:57" ht="15" customHeight="1" thickBot="1" x14ac:dyDescent="0.25">
      <c r="A97" s="624" t="s">
        <v>50</v>
      </c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6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627">
        <f>572353.29+691118.78</f>
        <v>1263472.07</v>
      </c>
      <c r="AF97" s="627"/>
      <c r="AG97" s="627"/>
      <c r="AH97" s="627"/>
      <c r="AI97" s="627"/>
      <c r="AJ97" s="627"/>
      <c r="AK97" s="627"/>
      <c r="AL97" s="627"/>
      <c r="AM97" s="213"/>
      <c r="AN97" s="186"/>
      <c r="AO97" s="186"/>
      <c r="AP97" s="186"/>
      <c r="AQ97" s="186"/>
      <c r="AR97" s="186"/>
      <c r="AS97" s="186"/>
      <c r="AT97" s="186"/>
      <c r="AU97" s="214"/>
      <c r="AV97" s="628">
        <f>AE97/$Q$94*$X$94/($AN$95*$AN$96)</f>
        <v>13.005705648470421</v>
      </c>
      <c r="AW97" s="628"/>
      <c r="AX97" s="628"/>
      <c r="AY97" s="628"/>
      <c r="AZ97" s="628"/>
      <c r="BA97" s="628"/>
      <c r="BB97" s="629"/>
    </row>
    <row r="98" spans="1:57" s="161" customFormat="1" ht="15" customHeight="1" thickBot="1" x14ac:dyDescent="0.25">
      <c r="A98" s="610" t="s">
        <v>51</v>
      </c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531">
        <f>Q94</f>
        <v>5014.7</v>
      </c>
      <c r="R98" s="533"/>
      <c r="S98" s="533"/>
      <c r="T98" s="533"/>
      <c r="U98" s="533"/>
      <c r="V98" s="533"/>
      <c r="W98" s="534"/>
      <c r="X98" s="531">
        <f>X94</f>
        <v>153</v>
      </c>
      <c r="Y98" s="533"/>
      <c r="Z98" s="533"/>
      <c r="AA98" s="533"/>
      <c r="AB98" s="533"/>
      <c r="AC98" s="533"/>
      <c r="AD98" s="534"/>
      <c r="AE98" s="612">
        <f>SUM(AE94:AL97)</f>
        <v>7730646.4100000001</v>
      </c>
      <c r="AF98" s="612"/>
      <c r="AG98" s="612"/>
      <c r="AH98" s="612"/>
      <c r="AI98" s="612"/>
      <c r="AJ98" s="612"/>
      <c r="AK98" s="612"/>
      <c r="AL98" s="612"/>
      <c r="AM98" s="531" t="s">
        <v>17</v>
      </c>
      <c r="AN98" s="533"/>
      <c r="AO98" s="533"/>
      <c r="AP98" s="533"/>
      <c r="AQ98" s="533"/>
      <c r="AR98" s="533"/>
      <c r="AS98" s="533"/>
      <c r="AT98" s="533"/>
      <c r="AU98" s="534"/>
      <c r="AV98" s="613">
        <f>SUM(AV94:BB97)</f>
        <v>79.576362681974103</v>
      </c>
      <c r="AW98" s="613"/>
      <c r="AX98" s="613"/>
      <c r="AY98" s="613"/>
      <c r="AZ98" s="613"/>
      <c r="BA98" s="613"/>
      <c r="BB98" s="614"/>
    </row>
    <row r="99" spans="1:57" ht="31.5" customHeight="1" x14ac:dyDescent="0.2"/>
    <row r="100" spans="1:57" s="159" customFormat="1" ht="15" customHeight="1" x14ac:dyDescent="0.2">
      <c r="A100" s="159" t="s">
        <v>52</v>
      </c>
      <c r="C100" s="159" t="s">
        <v>53</v>
      </c>
      <c r="AX100" s="160"/>
      <c r="AY100" s="160"/>
      <c r="AZ100" s="160"/>
      <c r="BA100" s="160"/>
      <c r="BB100" s="160"/>
    </row>
    <row r="101" spans="1:57" ht="12" customHeight="1" thickBot="1" x14ac:dyDescent="0.25"/>
    <row r="102" spans="1:57" ht="39" customHeight="1" x14ac:dyDescent="0.2">
      <c r="A102" s="585" t="s">
        <v>54</v>
      </c>
      <c r="B102" s="586"/>
      <c r="C102" s="586"/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7"/>
      <c r="AA102" s="536" t="s">
        <v>55</v>
      </c>
      <c r="AB102" s="537"/>
      <c r="AC102" s="537"/>
      <c r="AD102" s="537"/>
      <c r="AE102" s="537"/>
      <c r="AF102" s="538"/>
      <c r="AG102" s="536" t="s">
        <v>56</v>
      </c>
      <c r="AH102" s="537"/>
      <c r="AI102" s="537"/>
      <c r="AJ102" s="537"/>
      <c r="AK102" s="537"/>
      <c r="AL102" s="538"/>
      <c r="AM102" s="588" t="s">
        <v>57</v>
      </c>
      <c r="AN102" s="586"/>
      <c r="AO102" s="586"/>
      <c r="AP102" s="586"/>
      <c r="AQ102" s="586"/>
      <c r="AR102" s="586"/>
      <c r="AS102" s="586"/>
      <c r="AT102" s="587"/>
      <c r="AU102" s="588" t="s">
        <v>43</v>
      </c>
      <c r="AV102" s="586"/>
      <c r="AW102" s="586"/>
      <c r="AX102" s="586"/>
      <c r="AY102" s="586"/>
      <c r="AZ102" s="586"/>
      <c r="BA102" s="586"/>
      <c r="BB102" s="589"/>
    </row>
    <row r="103" spans="1:57" ht="15.75" customHeight="1" thickBot="1" x14ac:dyDescent="0.25">
      <c r="A103" s="564">
        <v>1</v>
      </c>
      <c r="B103" s="475"/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5"/>
      <c r="O103" s="475"/>
      <c r="P103" s="475"/>
      <c r="Q103" s="475"/>
      <c r="R103" s="475"/>
      <c r="S103" s="475"/>
      <c r="T103" s="475"/>
      <c r="U103" s="475"/>
      <c r="V103" s="475"/>
      <c r="W103" s="475"/>
      <c r="X103" s="475"/>
      <c r="Y103" s="475"/>
      <c r="Z103" s="476"/>
      <c r="AA103" s="474">
        <v>2</v>
      </c>
      <c r="AB103" s="475"/>
      <c r="AC103" s="475"/>
      <c r="AD103" s="475"/>
      <c r="AE103" s="475"/>
      <c r="AF103" s="476"/>
      <c r="AG103" s="474">
        <v>3</v>
      </c>
      <c r="AH103" s="475"/>
      <c r="AI103" s="475"/>
      <c r="AJ103" s="475"/>
      <c r="AK103" s="475"/>
      <c r="AL103" s="476"/>
      <c r="AM103" s="474">
        <v>4</v>
      </c>
      <c r="AN103" s="475"/>
      <c r="AO103" s="475"/>
      <c r="AP103" s="475"/>
      <c r="AQ103" s="475"/>
      <c r="AR103" s="475"/>
      <c r="AS103" s="475"/>
      <c r="AT103" s="476"/>
      <c r="AU103" s="474">
        <v>5</v>
      </c>
      <c r="AV103" s="475"/>
      <c r="AW103" s="475"/>
      <c r="AX103" s="475"/>
      <c r="AY103" s="475"/>
      <c r="AZ103" s="475"/>
      <c r="BA103" s="475"/>
      <c r="BB103" s="565"/>
    </row>
    <row r="104" spans="1:57" ht="1.5" hidden="1" customHeight="1" x14ac:dyDescent="0.2">
      <c r="A104" s="566" t="s">
        <v>77</v>
      </c>
      <c r="B104" s="567"/>
      <c r="C104" s="567"/>
      <c r="D104" s="567"/>
      <c r="E104" s="567"/>
      <c r="F104" s="567"/>
      <c r="G104" s="567"/>
      <c r="H104" s="567"/>
      <c r="I104" s="567"/>
      <c r="J104" s="567"/>
      <c r="K104" s="567"/>
      <c r="L104" s="567"/>
      <c r="M104" s="567"/>
      <c r="N104" s="567"/>
      <c r="O104" s="567"/>
      <c r="P104" s="567"/>
      <c r="Q104" s="567"/>
      <c r="R104" s="567"/>
      <c r="S104" s="567"/>
      <c r="T104" s="567"/>
      <c r="U104" s="567"/>
      <c r="V104" s="567"/>
      <c r="W104" s="567"/>
      <c r="X104" s="567"/>
      <c r="Y104" s="567"/>
      <c r="Z104" s="568"/>
      <c r="AA104" s="604"/>
      <c r="AB104" s="605"/>
      <c r="AC104" s="605"/>
      <c r="AD104" s="605"/>
      <c r="AE104" s="605"/>
      <c r="AF104" s="606"/>
      <c r="AG104" s="569">
        <f>U12</f>
        <v>36</v>
      </c>
      <c r="AH104" s="570"/>
      <c r="AI104" s="570"/>
      <c r="AJ104" s="570"/>
      <c r="AK104" s="570"/>
      <c r="AL104" s="571"/>
      <c r="AM104" s="569" t="s">
        <v>58</v>
      </c>
      <c r="AN104" s="570"/>
      <c r="AO104" s="570"/>
      <c r="AP104" s="570"/>
      <c r="AQ104" s="570"/>
      <c r="AR104" s="570"/>
      <c r="AS104" s="570"/>
      <c r="AT104" s="571"/>
      <c r="AU104" s="607">
        <f>AA104/AG104</f>
        <v>0</v>
      </c>
      <c r="AV104" s="608"/>
      <c r="AW104" s="608"/>
      <c r="AX104" s="608"/>
      <c r="AY104" s="608"/>
      <c r="AZ104" s="608"/>
      <c r="BA104" s="608"/>
      <c r="BB104" s="609"/>
    </row>
    <row r="105" spans="1:57" ht="16.5" customHeight="1" x14ac:dyDescent="0.2">
      <c r="A105" s="449" t="s">
        <v>145</v>
      </c>
      <c r="B105" s="450"/>
      <c r="C105" s="450"/>
      <c r="D105" s="450"/>
      <c r="E105" s="450"/>
      <c r="F105" s="450"/>
      <c r="G105" s="450"/>
      <c r="H105" s="450"/>
      <c r="I105" s="450"/>
      <c r="J105" s="450"/>
      <c r="K105" s="450"/>
      <c r="L105" s="450"/>
      <c r="M105" s="450"/>
      <c r="N105" s="450"/>
      <c r="O105" s="450"/>
      <c r="P105" s="450"/>
      <c r="Q105" s="450"/>
      <c r="R105" s="450"/>
      <c r="S105" s="450"/>
      <c r="T105" s="450"/>
      <c r="U105" s="450"/>
      <c r="V105" s="450"/>
      <c r="W105" s="450"/>
      <c r="X105" s="450"/>
      <c r="Y105" s="450"/>
      <c r="Z105" s="451"/>
      <c r="AA105" s="1546">
        <v>600</v>
      </c>
      <c r="AB105" s="1547"/>
      <c r="AC105" s="1547"/>
      <c r="AD105" s="1547"/>
      <c r="AE105" s="1547"/>
      <c r="AF105" s="154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590">
        <f>AA105/AG104</f>
        <v>16.666666666666668</v>
      </c>
      <c r="AV105" s="591"/>
      <c r="AW105" s="591"/>
      <c r="AX105" s="591"/>
      <c r="AY105" s="591"/>
      <c r="AZ105" s="591"/>
      <c r="BA105" s="591"/>
      <c r="BB105" s="592"/>
    </row>
    <row r="106" spans="1:57" ht="17.25" customHeight="1" x14ac:dyDescent="0.2">
      <c r="A106" s="593" t="s">
        <v>579</v>
      </c>
      <c r="B106" s="594"/>
      <c r="C106" s="594"/>
      <c r="D106" s="594"/>
      <c r="E106" s="594"/>
      <c r="F106" s="594"/>
      <c r="G106" s="594"/>
      <c r="H106" s="594"/>
      <c r="I106" s="594"/>
      <c r="J106" s="594"/>
      <c r="K106" s="594"/>
      <c r="L106" s="594"/>
      <c r="M106" s="594"/>
      <c r="N106" s="594"/>
      <c r="O106" s="594"/>
      <c r="P106" s="594"/>
      <c r="Q106" s="594"/>
      <c r="R106" s="594"/>
      <c r="S106" s="594"/>
      <c r="T106" s="594"/>
      <c r="U106" s="594"/>
      <c r="V106" s="594"/>
      <c r="W106" s="594"/>
      <c r="X106" s="594"/>
      <c r="Y106" s="594"/>
      <c r="Z106" s="595"/>
      <c r="AA106" s="1546">
        <v>300</v>
      </c>
      <c r="AB106" s="1547"/>
      <c r="AC106" s="1547"/>
      <c r="AD106" s="1547"/>
      <c r="AE106" s="1547"/>
      <c r="AF106" s="154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AA106/AG104</f>
        <v>8.3333333333333339</v>
      </c>
      <c r="AV106" s="591"/>
      <c r="AW106" s="591"/>
      <c r="AX106" s="591"/>
      <c r="AY106" s="591"/>
      <c r="AZ106" s="591"/>
      <c r="BA106" s="591"/>
      <c r="BB106" s="592"/>
    </row>
    <row r="107" spans="1:57" ht="25.5" hidden="1" customHeight="1" x14ac:dyDescent="0.2">
      <c r="A107" s="593"/>
      <c r="B107" s="594"/>
      <c r="C107" s="594"/>
      <c r="D107" s="594"/>
      <c r="E107" s="594"/>
      <c r="F107" s="594"/>
      <c r="G107" s="594"/>
      <c r="H107" s="594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4"/>
      <c r="Z107" s="595"/>
      <c r="AA107" s="596">
        <v>0</v>
      </c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AA107/AG104</f>
        <v>0</v>
      </c>
      <c r="AV107" s="591"/>
      <c r="AW107" s="591"/>
      <c r="AX107" s="591"/>
      <c r="AY107" s="591"/>
      <c r="AZ107" s="591"/>
      <c r="BA107" s="591"/>
      <c r="BB107" s="592"/>
      <c r="BE107" s="117">
        <f>AU107*12*4</f>
        <v>0</v>
      </c>
    </row>
    <row r="108" spans="1:57" ht="25.5" hidden="1" customHeight="1" x14ac:dyDescent="0.2">
      <c r="A108" s="593"/>
      <c r="B108" s="594"/>
      <c r="C108" s="594"/>
      <c r="D108" s="594"/>
      <c r="E108" s="594"/>
      <c r="F108" s="594"/>
      <c r="G108" s="594"/>
      <c r="H108" s="594"/>
      <c r="I108" s="594"/>
      <c r="J108" s="594"/>
      <c r="K108" s="594"/>
      <c r="L108" s="594"/>
      <c r="M108" s="594"/>
      <c r="N108" s="594"/>
      <c r="O108" s="594"/>
      <c r="P108" s="594"/>
      <c r="Q108" s="594"/>
      <c r="R108" s="594"/>
      <c r="S108" s="594"/>
      <c r="T108" s="594"/>
      <c r="U108" s="594"/>
      <c r="V108" s="594"/>
      <c r="W108" s="594"/>
      <c r="X108" s="594"/>
      <c r="Y108" s="594"/>
      <c r="Z108" s="595"/>
      <c r="AA108" s="596"/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>
        <f>AA108/AG104</f>
        <v>0</v>
      </c>
      <c r="AV108" s="591"/>
      <c r="AW108" s="591"/>
      <c r="AX108" s="591"/>
      <c r="AY108" s="591"/>
      <c r="AZ108" s="591"/>
      <c r="BA108" s="591"/>
      <c r="BB108" s="592"/>
    </row>
    <row r="109" spans="1:57" ht="26.25" hidden="1" customHeight="1" x14ac:dyDescent="0.2">
      <c r="A109" s="449"/>
      <c r="B109" s="450"/>
      <c r="C109" s="450"/>
      <c r="D109" s="450"/>
      <c r="E109" s="450"/>
      <c r="F109" s="450"/>
      <c r="G109" s="450"/>
      <c r="H109" s="450"/>
      <c r="I109" s="450"/>
      <c r="J109" s="450"/>
      <c r="K109" s="450"/>
      <c r="L109" s="450"/>
      <c r="M109" s="450"/>
      <c r="N109" s="450"/>
      <c r="O109" s="450"/>
      <c r="P109" s="450"/>
      <c r="Q109" s="450"/>
      <c r="R109" s="450"/>
      <c r="S109" s="450"/>
      <c r="T109" s="450"/>
      <c r="U109" s="450"/>
      <c r="V109" s="450"/>
      <c r="W109" s="450"/>
      <c r="X109" s="450"/>
      <c r="Y109" s="450"/>
      <c r="Z109" s="451"/>
      <c r="AA109" s="596"/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590">
        <f>AA109/AG104</f>
        <v>0</v>
      </c>
      <c r="AV109" s="591"/>
      <c r="AW109" s="591"/>
      <c r="AX109" s="591"/>
      <c r="AY109" s="591"/>
      <c r="AZ109" s="591"/>
      <c r="BA109" s="591"/>
      <c r="BB109" s="592"/>
    </row>
    <row r="110" spans="1:57" ht="19.5" hidden="1" customHeight="1" x14ac:dyDescent="0.2">
      <c r="A110" s="593"/>
      <c r="B110" s="594"/>
      <c r="C110" s="594"/>
      <c r="D110" s="594"/>
      <c r="E110" s="594"/>
      <c r="F110" s="594"/>
      <c r="G110" s="594"/>
      <c r="H110" s="594"/>
      <c r="I110" s="594"/>
      <c r="J110" s="594"/>
      <c r="K110" s="594"/>
      <c r="L110" s="594"/>
      <c r="M110" s="594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4"/>
      <c r="Z110" s="595"/>
      <c r="AA110" s="596"/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590">
        <f>AA110/AG104</f>
        <v>0</v>
      </c>
      <c r="AV110" s="591"/>
      <c r="AW110" s="591"/>
      <c r="AX110" s="591"/>
      <c r="AY110" s="591"/>
      <c r="AZ110" s="591"/>
      <c r="BA110" s="591"/>
      <c r="BB110" s="592"/>
    </row>
    <row r="111" spans="1:57" ht="0.75" hidden="1" customHeight="1" x14ac:dyDescent="0.2">
      <c r="A111" s="593"/>
      <c r="B111" s="594"/>
      <c r="C111" s="594"/>
      <c r="D111" s="594"/>
      <c r="E111" s="594"/>
      <c r="F111" s="594"/>
      <c r="G111" s="594"/>
      <c r="H111" s="594"/>
      <c r="I111" s="594"/>
      <c r="J111" s="594"/>
      <c r="K111" s="594"/>
      <c r="L111" s="594"/>
      <c r="M111" s="594"/>
      <c r="N111" s="594"/>
      <c r="O111" s="594"/>
      <c r="P111" s="594"/>
      <c r="Q111" s="594"/>
      <c r="R111" s="594"/>
      <c r="S111" s="594"/>
      <c r="T111" s="594"/>
      <c r="U111" s="594"/>
      <c r="V111" s="594"/>
      <c r="W111" s="594"/>
      <c r="X111" s="594"/>
      <c r="Y111" s="594"/>
      <c r="Z111" s="595"/>
      <c r="AA111" s="596"/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AA111/AG104</f>
        <v>0</v>
      </c>
      <c r="AV111" s="591"/>
      <c r="AW111" s="591"/>
      <c r="AX111" s="591"/>
      <c r="AY111" s="591"/>
      <c r="AZ111" s="591"/>
      <c r="BA111" s="591"/>
      <c r="BB111" s="592"/>
    </row>
    <row r="112" spans="1:57" ht="19.5" hidden="1" customHeight="1" x14ac:dyDescent="0.2">
      <c r="A112" s="593"/>
      <c r="B112" s="594"/>
      <c r="C112" s="594"/>
      <c r="D112" s="594"/>
      <c r="E112" s="594"/>
      <c r="F112" s="594"/>
      <c r="G112" s="594"/>
      <c r="H112" s="594"/>
      <c r="I112" s="594"/>
      <c r="J112" s="594"/>
      <c r="K112" s="594"/>
      <c r="L112" s="594"/>
      <c r="M112" s="594"/>
      <c r="N112" s="594"/>
      <c r="O112" s="594"/>
      <c r="P112" s="594"/>
      <c r="Q112" s="594"/>
      <c r="R112" s="594"/>
      <c r="S112" s="594"/>
      <c r="T112" s="594"/>
      <c r="U112" s="594"/>
      <c r="V112" s="594"/>
      <c r="W112" s="594"/>
      <c r="X112" s="594"/>
      <c r="Y112" s="594"/>
      <c r="Z112" s="595"/>
      <c r="AA112" s="596"/>
      <c r="AB112" s="597"/>
      <c r="AC112" s="597"/>
      <c r="AD112" s="597"/>
      <c r="AE112" s="597"/>
      <c r="AF112" s="598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AA112/AG104</f>
        <v>0</v>
      </c>
      <c r="AV112" s="591"/>
      <c r="AW112" s="591"/>
      <c r="AX112" s="591"/>
      <c r="AY112" s="591"/>
      <c r="AZ112" s="591"/>
      <c r="BA112" s="591"/>
      <c r="BB112" s="592"/>
    </row>
    <row r="113" spans="1:54" ht="20.25" hidden="1" customHeight="1" x14ac:dyDescent="0.2">
      <c r="A113" s="593"/>
      <c r="B113" s="594"/>
      <c r="C113" s="594"/>
      <c r="D113" s="594"/>
      <c r="E113" s="594"/>
      <c r="F113" s="594"/>
      <c r="G113" s="594"/>
      <c r="H113" s="594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4"/>
      <c r="Z113" s="595"/>
      <c r="AA113" s="596"/>
      <c r="AB113" s="597"/>
      <c r="AC113" s="597"/>
      <c r="AD113" s="597"/>
      <c r="AE113" s="597"/>
      <c r="AF113" s="598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AA113/AG104</f>
        <v>0</v>
      </c>
      <c r="AV113" s="591"/>
      <c r="AW113" s="591"/>
      <c r="AX113" s="591"/>
      <c r="AY113" s="591"/>
      <c r="AZ113" s="591"/>
      <c r="BA113" s="591"/>
      <c r="BB113" s="592"/>
    </row>
    <row r="114" spans="1:54" ht="16.5" hidden="1" customHeight="1" x14ac:dyDescent="0.2">
      <c r="A114" s="593"/>
      <c r="B114" s="594"/>
      <c r="C114" s="594"/>
      <c r="D114" s="594"/>
      <c r="E114" s="594"/>
      <c r="F114" s="594"/>
      <c r="G114" s="594"/>
      <c r="H114" s="594"/>
      <c r="I114" s="594"/>
      <c r="J114" s="594"/>
      <c r="K114" s="594"/>
      <c r="L114" s="594"/>
      <c r="M114" s="594"/>
      <c r="N114" s="594"/>
      <c r="O114" s="594"/>
      <c r="P114" s="594"/>
      <c r="Q114" s="594"/>
      <c r="R114" s="594"/>
      <c r="S114" s="594"/>
      <c r="T114" s="594"/>
      <c r="U114" s="594"/>
      <c r="V114" s="594"/>
      <c r="W114" s="594"/>
      <c r="X114" s="594"/>
      <c r="Y114" s="594"/>
      <c r="Z114" s="595"/>
      <c r="AA114" s="596"/>
      <c r="AB114" s="597"/>
      <c r="AC114" s="597"/>
      <c r="AD114" s="597"/>
      <c r="AE114" s="597"/>
      <c r="AF114" s="598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AA114/AG104</f>
        <v>0</v>
      </c>
      <c r="AV114" s="591"/>
      <c r="AW114" s="591"/>
      <c r="AX114" s="591"/>
      <c r="AY114" s="591"/>
      <c r="AZ114" s="591"/>
      <c r="BA114" s="591"/>
      <c r="BB114" s="592"/>
    </row>
    <row r="115" spans="1:54" s="161" customFormat="1" ht="19.5" hidden="1" customHeight="1" x14ac:dyDescent="0.2">
      <c r="A115" s="593"/>
      <c r="B115" s="594"/>
      <c r="C115" s="594"/>
      <c r="D115" s="594"/>
      <c r="E115" s="594"/>
      <c r="F115" s="594"/>
      <c r="G115" s="594"/>
      <c r="H115" s="594"/>
      <c r="I115" s="594"/>
      <c r="J115" s="594"/>
      <c r="K115" s="594"/>
      <c r="L115" s="594"/>
      <c r="M115" s="594"/>
      <c r="N115" s="594"/>
      <c r="O115" s="594"/>
      <c r="P115" s="594"/>
      <c r="Q115" s="594"/>
      <c r="R115" s="594"/>
      <c r="S115" s="594"/>
      <c r="T115" s="594"/>
      <c r="U115" s="594"/>
      <c r="V115" s="594"/>
      <c r="W115" s="594"/>
      <c r="X115" s="594"/>
      <c r="Y115" s="594"/>
      <c r="Z115" s="595"/>
      <c r="AA115" s="596"/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AA115/AG104</f>
        <v>0</v>
      </c>
      <c r="AV115" s="591"/>
      <c r="AW115" s="591"/>
      <c r="AX115" s="591"/>
      <c r="AY115" s="591"/>
      <c r="AZ115" s="591"/>
      <c r="BA115" s="591"/>
      <c r="BB115" s="592"/>
    </row>
    <row r="116" spans="1:54" ht="1.5" hidden="1" customHeight="1" x14ac:dyDescent="0.2">
      <c r="A116" s="593"/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5"/>
      <c r="AA116" s="596"/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AA116/AG104</f>
        <v>0</v>
      </c>
      <c r="AV116" s="591"/>
      <c r="AW116" s="591"/>
      <c r="AX116" s="591"/>
      <c r="AY116" s="591"/>
      <c r="AZ116" s="591"/>
      <c r="BA116" s="591"/>
      <c r="BB116" s="592"/>
    </row>
    <row r="117" spans="1:54" s="159" customFormat="1" ht="17.25" hidden="1" customHeight="1" x14ac:dyDescent="0.2">
      <c r="A117" s="593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AA117/AG104</f>
        <v>0</v>
      </c>
      <c r="AV117" s="591"/>
      <c r="AW117" s="591"/>
      <c r="AX117" s="591"/>
      <c r="AY117" s="591"/>
      <c r="AZ117" s="591"/>
      <c r="BA117" s="591"/>
      <c r="BB117" s="592"/>
    </row>
    <row r="118" spans="1:54" ht="17.25" customHeight="1" x14ac:dyDescent="0.2">
      <c r="A118" s="593" t="s">
        <v>580</v>
      </c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1546">
        <v>100</v>
      </c>
      <c r="AB118" s="1547"/>
      <c r="AC118" s="1547"/>
      <c r="AD118" s="1547"/>
      <c r="AE118" s="1547"/>
      <c r="AF118" s="154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AA118/AG104</f>
        <v>2.7777777777777777</v>
      </c>
      <c r="AV118" s="591"/>
      <c r="AW118" s="591"/>
      <c r="AX118" s="591"/>
      <c r="AY118" s="591"/>
      <c r="AZ118" s="591"/>
      <c r="BA118" s="591"/>
      <c r="BB118" s="592"/>
    </row>
    <row r="119" spans="1:54" ht="14.25" customHeight="1" x14ac:dyDescent="0.2">
      <c r="A119" s="593" t="s">
        <v>581</v>
      </c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1546">
        <v>2500</v>
      </c>
      <c r="AB119" s="1547"/>
      <c r="AC119" s="1547"/>
      <c r="AD119" s="1547"/>
      <c r="AE119" s="1547"/>
      <c r="AF119" s="154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AA119/AG104</f>
        <v>69.444444444444443</v>
      </c>
      <c r="AV119" s="591"/>
      <c r="AW119" s="591"/>
      <c r="AX119" s="591"/>
      <c r="AY119" s="591"/>
      <c r="AZ119" s="591"/>
      <c r="BA119" s="591"/>
      <c r="BB119" s="592"/>
    </row>
    <row r="120" spans="1:54" ht="19.5" hidden="1" customHeight="1" x14ac:dyDescent="0.2">
      <c r="A120" s="593"/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5"/>
      <c r="AA120" s="596"/>
      <c r="AB120" s="597"/>
      <c r="AC120" s="597"/>
      <c r="AD120" s="597"/>
      <c r="AE120" s="597"/>
      <c r="AF120" s="598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90">
        <f>AA120/AG104</f>
        <v>0</v>
      </c>
      <c r="AV120" s="591"/>
      <c r="AW120" s="591"/>
      <c r="AX120" s="591"/>
      <c r="AY120" s="591"/>
      <c r="AZ120" s="591"/>
      <c r="BA120" s="591"/>
      <c r="BB120" s="592"/>
    </row>
    <row r="121" spans="1:54" ht="14.25" hidden="1" customHeight="1" x14ac:dyDescent="0.2">
      <c r="A121" s="593" t="s">
        <v>516</v>
      </c>
      <c r="B121" s="594"/>
      <c r="C121" s="594"/>
      <c r="D121" s="594"/>
      <c r="E121" s="594"/>
      <c r="F121" s="594"/>
      <c r="G121" s="594"/>
      <c r="H121" s="594"/>
      <c r="I121" s="594"/>
      <c r="J121" s="594"/>
      <c r="K121" s="594"/>
      <c r="L121" s="594"/>
      <c r="M121" s="594"/>
      <c r="N121" s="594"/>
      <c r="O121" s="594"/>
      <c r="P121" s="594"/>
      <c r="Q121" s="594"/>
      <c r="R121" s="594"/>
      <c r="S121" s="594"/>
      <c r="T121" s="594"/>
      <c r="U121" s="594"/>
      <c r="V121" s="594"/>
      <c r="W121" s="594"/>
      <c r="X121" s="594"/>
      <c r="Y121" s="594"/>
      <c r="Z121" s="595"/>
      <c r="AA121" s="596">
        <v>0</v>
      </c>
      <c r="AB121" s="597"/>
      <c r="AC121" s="597"/>
      <c r="AD121" s="597"/>
      <c r="AE121" s="597"/>
      <c r="AF121" s="598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590">
        <f>AA121/AG104</f>
        <v>0</v>
      </c>
      <c r="AV121" s="591"/>
      <c r="AW121" s="591"/>
      <c r="AX121" s="591"/>
      <c r="AY121" s="591"/>
      <c r="AZ121" s="591"/>
      <c r="BA121" s="591"/>
      <c r="BB121" s="592"/>
    </row>
    <row r="122" spans="1:54" ht="15.75" customHeight="1" thickBot="1" x14ac:dyDescent="0.25">
      <c r="A122" s="593" t="s">
        <v>147</v>
      </c>
      <c r="B122" s="594"/>
      <c r="C122" s="594"/>
      <c r="D122" s="594"/>
      <c r="E122" s="594"/>
      <c r="F122" s="594"/>
      <c r="G122" s="594"/>
      <c r="H122" s="594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4"/>
      <c r="Z122" s="595"/>
      <c r="AA122" s="1546">
        <v>550</v>
      </c>
      <c r="AB122" s="1547"/>
      <c r="AC122" s="1547"/>
      <c r="AD122" s="1547"/>
      <c r="AE122" s="1547"/>
      <c r="AF122" s="1548"/>
      <c r="AG122" s="572"/>
      <c r="AH122" s="573"/>
      <c r="AI122" s="573"/>
      <c r="AJ122" s="573"/>
      <c r="AK122" s="573"/>
      <c r="AL122" s="574"/>
      <c r="AM122" s="572"/>
      <c r="AN122" s="573"/>
      <c r="AO122" s="573"/>
      <c r="AP122" s="573"/>
      <c r="AQ122" s="573"/>
      <c r="AR122" s="573"/>
      <c r="AS122" s="573"/>
      <c r="AT122" s="574"/>
      <c r="AU122" s="590">
        <f>AA122/AG104</f>
        <v>15.277777777777779</v>
      </c>
      <c r="AV122" s="591"/>
      <c r="AW122" s="591"/>
      <c r="AX122" s="591"/>
      <c r="AY122" s="591"/>
      <c r="AZ122" s="591"/>
      <c r="BA122" s="591"/>
      <c r="BB122" s="592"/>
    </row>
    <row r="123" spans="1:54" ht="13.5" hidden="1" customHeight="1" thickBot="1" x14ac:dyDescent="0.25">
      <c r="A123" s="593" t="s">
        <v>148</v>
      </c>
      <c r="B123" s="594"/>
      <c r="C123" s="594"/>
      <c r="D123" s="594"/>
      <c r="E123" s="594"/>
      <c r="F123" s="594"/>
      <c r="G123" s="594"/>
      <c r="H123" s="594"/>
      <c r="I123" s="594"/>
      <c r="J123" s="594"/>
      <c r="K123" s="594"/>
      <c r="L123" s="594"/>
      <c r="M123" s="594"/>
      <c r="N123" s="594"/>
      <c r="O123" s="594"/>
      <c r="P123" s="594"/>
      <c r="Q123" s="594"/>
      <c r="R123" s="594"/>
      <c r="S123" s="594"/>
      <c r="T123" s="594"/>
      <c r="U123" s="594"/>
      <c r="V123" s="594"/>
      <c r="W123" s="594"/>
      <c r="X123" s="594"/>
      <c r="Y123" s="594"/>
      <c r="Z123" s="595"/>
      <c r="AA123" s="596">
        <v>0</v>
      </c>
      <c r="AB123" s="597"/>
      <c r="AC123" s="597"/>
      <c r="AD123" s="597"/>
      <c r="AE123" s="597"/>
      <c r="AF123" s="598"/>
      <c r="AG123" s="572"/>
      <c r="AH123" s="573"/>
      <c r="AI123" s="573"/>
      <c r="AJ123" s="573"/>
      <c r="AK123" s="573"/>
      <c r="AL123" s="574"/>
      <c r="AM123" s="572"/>
      <c r="AN123" s="573"/>
      <c r="AO123" s="573"/>
      <c r="AP123" s="573"/>
      <c r="AQ123" s="573"/>
      <c r="AR123" s="573"/>
      <c r="AS123" s="573"/>
      <c r="AT123" s="574"/>
      <c r="AU123" s="590">
        <f>AA123/AG104</f>
        <v>0</v>
      </c>
      <c r="AV123" s="591"/>
      <c r="AW123" s="591"/>
      <c r="AX123" s="591"/>
      <c r="AY123" s="591"/>
      <c r="AZ123" s="591"/>
      <c r="BA123" s="591"/>
      <c r="BB123" s="592"/>
    </row>
    <row r="124" spans="1:54" ht="13.5" hidden="1" customHeight="1" x14ac:dyDescent="0.2">
      <c r="A124" s="599"/>
      <c r="B124" s="600"/>
      <c r="C124" s="600"/>
      <c r="D124" s="600"/>
      <c r="E124" s="600"/>
      <c r="F124" s="600"/>
      <c r="G124" s="600"/>
      <c r="H124" s="600"/>
      <c r="I124" s="600"/>
      <c r="J124" s="600"/>
      <c r="K124" s="600"/>
      <c r="L124" s="600"/>
      <c r="M124" s="600"/>
      <c r="N124" s="600"/>
      <c r="O124" s="600"/>
      <c r="P124" s="600"/>
      <c r="Q124" s="600"/>
      <c r="R124" s="600"/>
      <c r="S124" s="600"/>
      <c r="T124" s="600"/>
      <c r="U124" s="600"/>
      <c r="V124" s="600"/>
      <c r="W124" s="600"/>
      <c r="X124" s="600"/>
      <c r="Y124" s="600"/>
      <c r="Z124" s="600"/>
      <c r="AA124" s="601"/>
      <c r="AB124" s="601"/>
      <c r="AC124" s="601"/>
      <c r="AD124" s="601"/>
      <c r="AE124" s="601"/>
      <c r="AF124" s="601"/>
      <c r="AG124" s="572"/>
      <c r="AH124" s="573"/>
      <c r="AI124" s="573"/>
      <c r="AJ124" s="573"/>
      <c r="AK124" s="573"/>
      <c r="AL124" s="574"/>
      <c r="AM124" s="572"/>
      <c r="AN124" s="573"/>
      <c r="AO124" s="573"/>
      <c r="AP124" s="573"/>
      <c r="AQ124" s="573"/>
      <c r="AR124" s="573"/>
      <c r="AS124" s="573"/>
      <c r="AT124" s="574"/>
      <c r="AU124" s="602">
        <f>AA124/AG104</f>
        <v>0</v>
      </c>
      <c r="AV124" s="602"/>
      <c r="AW124" s="602"/>
      <c r="AX124" s="602"/>
      <c r="AY124" s="602"/>
      <c r="AZ124" s="602"/>
      <c r="BA124" s="602"/>
      <c r="BB124" s="603"/>
    </row>
    <row r="125" spans="1:54" ht="13.5" hidden="1" customHeight="1" thickBot="1" x14ac:dyDescent="0.25">
      <c r="A125" s="864"/>
      <c r="B125" s="865"/>
      <c r="C125" s="865"/>
      <c r="D125" s="865"/>
      <c r="E125" s="865"/>
      <c r="F125" s="865"/>
      <c r="G125" s="865"/>
      <c r="H125" s="865"/>
      <c r="I125" s="865"/>
      <c r="J125" s="865"/>
      <c r="K125" s="865"/>
      <c r="L125" s="865"/>
      <c r="M125" s="865"/>
      <c r="N125" s="865"/>
      <c r="O125" s="865"/>
      <c r="P125" s="865"/>
      <c r="Q125" s="865"/>
      <c r="R125" s="865"/>
      <c r="S125" s="865"/>
      <c r="T125" s="865"/>
      <c r="U125" s="865"/>
      <c r="V125" s="865"/>
      <c r="W125" s="865"/>
      <c r="X125" s="865"/>
      <c r="Y125" s="865"/>
      <c r="Z125" s="865"/>
      <c r="AA125" s="656"/>
      <c r="AB125" s="656"/>
      <c r="AC125" s="656"/>
      <c r="AD125" s="656"/>
      <c r="AE125" s="656"/>
      <c r="AF125" s="656"/>
      <c r="AG125" s="859"/>
      <c r="AH125" s="860"/>
      <c r="AI125" s="860"/>
      <c r="AJ125" s="860"/>
      <c r="AK125" s="860"/>
      <c r="AL125" s="861"/>
      <c r="AM125" s="859"/>
      <c r="AN125" s="860"/>
      <c r="AO125" s="860"/>
      <c r="AP125" s="860"/>
      <c r="AQ125" s="860"/>
      <c r="AR125" s="860"/>
      <c r="AS125" s="860"/>
      <c r="AT125" s="861"/>
      <c r="AU125" s="866">
        <f>AA125/AG104</f>
        <v>0</v>
      </c>
      <c r="AV125" s="866"/>
      <c r="AW125" s="866"/>
      <c r="AX125" s="866"/>
      <c r="AY125" s="866"/>
      <c r="AZ125" s="866"/>
      <c r="BA125" s="866"/>
      <c r="BB125" s="867"/>
    </row>
    <row r="126" spans="1:54" ht="16.5" customHeight="1" thickBot="1" x14ac:dyDescent="0.25">
      <c r="A126" s="545" t="s">
        <v>51</v>
      </c>
      <c r="B126" s="546"/>
      <c r="C126" s="546"/>
      <c r="D126" s="546"/>
      <c r="E126" s="546"/>
      <c r="F126" s="546"/>
      <c r="G126" s="546"/>
      <c r="H126" s="546"/>
      <c r="I126" s="546"/>
      <c r="J126" s="546"/>
      <c r="K126" s="546"/>
      <c r="L126" s="546"/>
      <c r="M126" s="546"/>
      <c r="N126" s="546"/>
      <c r="O126" s="546"/>
      <c r="P126" s="546"/>
      <c r="Q126" s="546"/>
      <c r="R126" s="546"/>
      <c r="S126" s="546"/>
      <c r="T126" s="546"/>
      <c r="U126" s="546"/>
      <c r="V126" s="546"/>
      <c r="W126" s="546"/>
      <c r="X126" s="546"/>
      <c r="Y126" s="546"/>
      <c r="Z126" s="547"/>
      <c r="AA126" s="582">
        <f>SUM(AA104:AF125)</f>
        <v>4050</v>
      </c>
      <c r="AB126" s="583"/>
      <c r="AC126" s="583"/>
      <c r="AD126" s="583"/>
      <c r="AE126" s="583"/>
      <c r="AF126" s="583"/>
      <c r="AG126" s="532">
        <f>AG104</f>
        <v>36</v>
      </c>
      <c r="AH126" s="533"/>
      <c r="AI126" s="533"/>
      <c r="AJ126" s="533"/>
      <c r="AK126" s="533"/>
      <c r="AL126" s="534"/>
      <c r="AM126" s="551" t="s">
        <v>17</v>
      </c>
      <c r="AN126" s="552"/>
      <c r="AO126" s="552"/>
      <c r="AP126" s="552"/>
      <c r="AQ126" s="552"/>
      <c r="AR126" s="552"/>
      <c r="AS126" s="552"/>
      <c r="AT126" s="584"/>
      <c r="AU126" s="555">
        <f>SUM(AU104:BB125)</f>
        <v>112.5</v>
      </c>
      <c r="AV126" s="555"/>
      <c r="AW126" s="555"/>
      <c r="AX126" s="555"/>
      <c r="AY126" s="555"/>
      <c r="AZ126" s="555"/>
      <c r="BA126" s="555"/>
      <c r="BB126" s="556"/>
    </row>
    <row r="127" spans="1:54" ht="45" customHeight="1" x14ac:dyDescent="0.2"/>
    <row r="128" spans="1:54" s="161" customFormat="1" ht="42.75" customHeight="1" x14ac:dyDescent="0.2">
      <c r="A128" s="159" t="s">
        <v>59</v>
      </c>
      <c r="B128" s="159"/>
      <c r="C128" s="159" t="s">
        <v>60</v>
      </c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  <c r="AU128" s="159"/>
      <c r="AV128" s="159"/>
      <c r="AW128" s="159"/>
      <c r="AX128" s="160"/>
      <c r="AY128" s="160"/>
      <c r="AZ128" s="160"/>
      <c r="BA128" s="160"/>
      <c r="BB128" s="160"/>
    </row>
    <row r="129" spans="1:54" ht="12" customHeight="1" thickBot="1" x14ac:dyDescent="0.25"/>
    <row r="130" spans="1:54" s="159" customFormat="1" ht="12" customHeight="1" x14ac:dyDescent="0.2">
      <c r="A130" s="585" t="s">
        <v>54</v>
      </c>
      <c r="B130" s="586"/>
      <c r="C130" s="586"/>
      <c r="D130" s="586"/>
      <c r="E130" s="586"/>
      <c r="F130" s="586"/>
      <c r="G130" s="586"/>
      <c r="H130" s="586"/>
      <c r="I130" s="586"/>
      <c r="J130" s="586"/>
      <c r="K130" s="586"/>
      <c r="L130" s="586"/>
      <c r="M130" s="586"/>
      <c r="N130" s="586"/>
      <c r="O130" s="586"/>
      <c r="P130" s="586"/>
      <c r="Q130" s="586"/>
      <c r="R130" s="586"/>
      <c r="S130" s="586"/>
      <c r="T130" s="586"/>
      <c r="U130" s="586"/>
      <c r="V130" s="586"/>
      <c r="W130" s="586"/>
      <c r="X130" s="586"/>
      <c r="Y130" s="586"/>
      <c r="Z130" s="587"/>
      <c r="AA130" s="536" t="s">
        <v>55</v>
      </c>
      <c r="AB130" s="537"/>
      <c r="AC130" s="537"/>
      <c r="AD130" s="537"/>
      <c r="AE130" s="537"/>
      <c r="AF130" s="538"/>
      <c r="AG130" s="536" t="s">
        <v>56</v>
      </c>
      <c r="AH130" s="537"/>
      <c r="AI130" s="537"/>
      <c r="AJ130" s="537"/>
      <c r="AK130" s="537"/>
      <c r="AL130" s="538"/>
      <c r="AM130" s="588" t="s">
        <v>57</v>
      </c>
      <c r="AN130" s="586"/>
      <c r="AO130" s="586"/>
      <c r="AP130" s="586"/>
      <c r="AQ130" s="586"/>
      <c r="AR130" s="586"/>
      <c r="AS130" s="586"/>
      <c r="AT130" s="587"/>
      <c r="AU130" s="588" t="s">
        <v>43</v>
      </c>
      <c r="AV130" s="586"/>
      <c r="AW130" s="586"/>
      <c r="AX130" s="586"/>
      <c r="AY130" s="586"/>
      <c r="AZ130" s="586"/>
      <c r="BA130" s="586"/>
      <c r="BB130" s="589"/>
    </row>
    <row r="131" spans="1:54" ht="11.25" customHeight="1" thickBot="1" x14ac:dyDescent="0.25">
      <c r="A131" s="564">
        <v>1</v>
      </c>
      <c r="B131" s="475"/>
      <c r="C131" s="475"/>
      <c r="D131" s="475"/>
      <c r="E131" s="475"/>
      <c r="F131" s="475"/>
      <c r="G131" s="475"/>
      <c r="H131" s="475"/>
      <c r="I131" s="475"/>
      <c r="J131" s="475"/>
      <c r="K131" s="475"/>
      <c r="L131" s="475"/>
      <c r="M131" s="475"/>
      <c r="N131" s="475"/>
      <c r="O131" s="475"/>
      <c r="P131" s="475"/>
      <c r="Q131" s="475"/>
      <c r="R131" s="475"/>
      <c r="S131" s="475"/>
      <c r="T131" s="475"/>
      <c r="U131" s="475"/>
      <c r="V131" s="475"/>
      <c r="W131" s="475"/>
      <c r="X131" s="475"/>
      <c r="Y131" s="475"/>
      <c r="Z131" s="476"/>
      <c r="AA131" s="474">
        <v>2</v>
      </c>
      <c r="AB131" s="475"/>
      <c r="AC131" s="475"/>
      <c r="AD131" s="475"/>
      <c r="AE131" s="475"/>
      <c r="AF131" s="476"/>
      <c r="AG131" s="474">
        <v>3</v>
      </c>
      <c r="AH131" s="475"/>
      <c r="AI131" s="475"/>
      <c r="AJ131" s="475"/>
      <c r="AK131" s="475"/>
      <c r="AL131" s="476"/>
      <c r="AM131" s="474">
        <v>4</v>
      </c>
      <c r="AN131" s="475"/>
      <c r="AO131" s="475"/>
      <c r="AP131" s="475"/>
      <c r="AQ131" s="475"/>
      <c r="AR131" s="475"/>
      <c r="AS131" s="475"/>
      <c r="AT131" s="476"/>
      <c r="AU131" s="474">
        <v>5</v>
      </c>
      <c r="AV131" s="475"/>
      <c r="AW131" s="475"/>
      <c r="AX131" s="475"/>
      <c r="AY131" s="475"/>
      <c r="AZ131" s="475"/>
      <c r="BA131" s="475"/>
      <c r="BB131" s="565"/>
    </row>
    <row r="132" spans="1:54" ht="31.5" hidden="1" customHeight="1" x14ac:dyDescent="0.2">
      <c r="A132" s="566"/>
      <c r="B132" s="567"/>
      <c r="C132" s="567"/>
      <c r="D132" s="567"/>
      <c r="E132" s="567"/>
      <c r="F132" s="567"/>
      <c r="G132" s="567"/>
      <c r="H132" s="567"/>
      <c r="I132" s="567"/>
      <c r="J132" s="567"/>
      <c r="K132" s="567"/>
      <c r="L132" s="567"/>
      <c r="M132" s="567"/>
      <c r="N132" s="567"/>
      <c r="O132" s="567"/>
      <c r="P132" s="567"/>
      <c r="Q132" s="567"/>
      <c r="R132" s="567"/>
      <c r="S132" s="567"/>
      <c r="T132" s="567"/>
      <c r="U132" s="567"/>
      <c r="V132" s="567"/>
      <c r="W132" s="567"/>
      <c r="X132" s="567"/>
      <c r="Y132" s="567"/>
      <c r="Z132" s="568"/>
      <c r="AA132" s="569">
        <v>0</v>
      </c>
      <c r="AB132" s="570"/>
      <c r="AC132" s="570"/>
      <c r="AD132" s="570"/>
      <c r="AE132" s="570"/>
      <c r="AF132" s="571"/>
      <c r="AG132" s="569">
        <f>U12</f>
        <v>36</v>
      </c>
      <c r="AH132" s="570"/>
      <c r="AI132" s="570"/>
      <c r="AJ132" s="570"/>
      <c r="AK132" s="570"/>
      <c r="AL132" s="571"/>
      <c r="AM132" s="569" t="s">
        <v>61</v>
      </c>
      <c r="AN132" s="570"/>
      <c r="AO132" s="570"/>
      <c r="AP132" s="570"/>
      <c r="AQ132" s="570"/>
      <c r="AR132" s="570"/>
      <c r="AS132" s="570"/>
      <c r="AT132" s="571"/>
      <c r="AU132" s="558">
        <f>AA132/AG132</f>
        <v>0</v>
      </c>
      <c r="AV132" s="559"/>
      <c r="AW132" s="559"/>
      <c r="AX132" s="559"/>
      <c r="AY132" s="559"/>
      <c r="AZ132" s="559"/>
      <c r="BA132" s="559"/>
      <c r="BB132" s="560"/>
    </row>
    <row r="133" spans="1:54" ht="4.5" hidden="1" customHeight="1" x14ac:dyDescent="0.2">
      <c r="A133" s="561"/>
      <c r="B133" s="562"/>
      <c r="C133" s="562"/>
      <c r="D133" s="562"/>
      <c r="E133" s="562"/>
      <c r="F133" s="562"/>
      <c r="G133" s="562"/>
      <c r="H133" s="562"/>
      <c r="I133" s="562"/>
      <c r="J133" s="562"/>
      <c r="K133" s="562"/>
      <c r="L133" s="562"/>
      <c r="M133" s="562"/>
      <c r="N133" s="562"/>
      <c r="O133" s="562"/>
      <c r="P133" s="562"/>
      <c r="Q133" s="562"/>
      <c r="R133" s="562"/>
      <c r="S133" s="562"/>
      <c r="T133" s="562"/>
      <c r="U133" s="562"/>
      <c r="V133" s="562"/>
      <c r="W133" s="562"/>
      <c r="X133" s="562"/>
      <c r="Y133" s="562"/>
      <c r="Z133" s="563"/>
      <c r="AA133" s="518"/>
      <c r="AB133" s="518"/>
      <c r="AC133" s="518"/>
      <c r="AD133" s="518"/>
      <c r="AE133" s="518"/>
      <c r="AF133" s="518"/>
      <c r="AG133" s="572"/>
      <c r="AH133" s="573"/>
      <c r="AI133" s="573"/>
      <c r="AJ133" s="573"/>
      <c r="AK133" s="573"/>
      <c r="AL133" s="574"/>
      <c r="AM133" s="572"/>
      <c r="AN133" s="573"/>
      <c r="AO133" s="573"/>
      <c r="AP133" s="573"/>
      <c r="AQ133" s="573"/>
      <c r="AR133" s="573"/>
      <c r="AS133" s="573"/>
      <c r="AT133" s="574"/>
      <c r="AU133" s="558">
        <f>AA133/AG132</f>
        <v>0</v>
      </c>
      <c r="AV133" s="559"/>
      <c r="AW133" s="559"/>
      <c r="AX133" s="559"/>
      <c r="AY133" s="559"/>
      <c r="AZ133" s="559"/>
      <c r="BA133" s="559"/>
      <c r="BB133" s="560"/>
    </row>
    <row r="134" spans="1:54" ht="21" customHeight="1" x14ac:dyDescent="0.2">
      <c r="A134" s="449"/>
      <c r="B134" s="450"/>
      <c r="C134" s="450"/>
      <c r="D134" s="450"/>
      <c r="E134" s="450"/>
      <c r="F134" s="450"/>
      <c r="G134" s="450"/>
      <c r="H134" s="450"/>
      <c r="I134" s="450"/>
      <c r="J134" s="450"/>
      <c r="K134" s="450"/>
      <c r="L134" s="450"/>
      <c r="M134" s="450"/>
      <c r="N134" s="450"/>
      <c r="O134" s="450"/>
      <c r="P134" s="450"/>
      <c r="Q134" s="450"/>
      <c r="R134" s="450"/>
      <c r="S134" s="450"/>
      <c r="T134" s="450"/>
      <c r="U134" s="450"/>
      <c r="V134" s="450"/>
      <c r="W134" s="450"/>
      <c r="X134" s="450"/>
      <c r="Y134" s="450"/>
      <c r="Z134" s="451"/>
      <c r="AA134" s="557"/>
      <c r="AB134" s="557"/>
      <c r="AC134" s="557"/>
      <c r="AD134" s="557"/>
      <c r="AE134" s="557"/>
      <c r="AF134" s="557"/>
      <c r="AG134" s="572"/>
      <c r="AH134" s="573"/>
      <c r="AI134" s="573"/>
      <c r="AJ134" s="573"/>
      <c r="AK134" s="573"/>
      <c r="AL134" s="574"/>
      <c r="AM134" s="572"/>
      <c r="AN134" s="573"/>
      <c r="AO134" s="573"/>
      <c r="AP134" s="573"/>
      <c r="AQ134" s="573"/>
      <c r="AR134" s="573"/>
      <c r="AS134" s="573"/>
      <c r="AT134" s="574"/>
      <c r="AU134" s="558">
        <f>AA134/AG132</f>
        <v>0</v>
      </c>
      <c r="AV134" s="559"/>
      <c r="AW134" s="559"/>
      <c r="AX134" s="559"/>
      <c r="AY134" s="559"/>
      <c r="AZ134" s="559"/>
      <c r="BA134" s="559"/>
      <c r="BB134" s="560"/>
    </row>
    <row r="135" spans="1:54" ht="21" customHeight="1" x14ac:dyDescent="0.2">
      <c r="A135" s="449"/>
      <c r="B135" s="450"/>
      <c r="C135" s="450"/>
      <c r="D135" s="450"/>
      <c r="E135" s="450"/>
      <c r="F135" s="450"/>
      <c r="G135" s="450"/>
      <c r="H135" s="450"/>
      <c r="I135" s="450"/>
      <c r="J135" s="450"/>
      <c r="K135" s="450"/>
      <c r="L135" s="450"/>
      <c r="M135" s="450"/>
      <c r="N135" s="450"/>
      <c r="O135" s="450"/>
      <c r="P135" s="450"/>
      <c r="Q135" s="450"/>
      <c r="R135" s="450"/>
      <c r="S135" s="450"/>
      <c r="T135" s="450"/>
      <c r="U135" s="450"/>
      <c r="V135" s="450"/>
      <c r="W135" s="450"/>
      <c r="X135" s="450"/>
      <c r="Y135" s="450"/>
      <c r="Z135" s="451"/>
      <c r="AA135" s="557"/>
      <c r="AB135" s="557"/>
      <c r="AC135" s="557"/>
      <c r="AD135" s="557"/>
      <c r="AE135" s="557"/>
      <c r="AF135" s="557"/>
      <c r="AG135" s="572"/>
      <c r="AH135" s="573"/>
      <c r="AI135" s="573"/>
      <c r="AJ135" s="573"/>
      <c r="AK135" s="573"/>
      <c r="AL135" s="574"/>
      <c r="AM135" s="572"/>
      <c r="AN135" s="573"/>
      <c r="AO135" s="573"/>
      <c r="AP135" s="573"/>
      <c r="AQ135" s="573"/>
      <c r="AR135" s="573"/>
      <c r="AS135" s="573"/>
      <c r="AT135" s="574"/>
      <c r="AU135" s="558">
        <f>AA135/AG132</f>
        <v>0</v>
      </c>
      <c r="AV135" s="559"/>
      <c r="AW135" s="559"/>
      <c r="AX135" s="559"/>
      <c r="AY135" s="559"/>
      <c r="AZ135" s="559"/>
      <c r="BA135" s="559"/>
      <c r="BB135" s="560"/>
    </row>
    <row r="136" spans="1:54" ht="6" hidden="1" customHeight="1" x14ac:dyDescent="0.2">
      <c r="A136" s="449"/>
      <c r="B136" s="450"/>
      <c r="C136" s="450"/>
      <c r="D136" s="450"/>
      <c r="E136" s="450"/>
      <c r="F136" s="450"/>
      <c r="G136" s="450"/>
      <c r="H136" s="450"/>
      <c r="I136" s="450"/>
      <c r="J136" s="450"/>
      <c r="K136" s="450"/>
      <c r="L136" s="450"/>
      <c r="M136" s="450"/>
      <c r="N136" s="450"/>
      <c r="O136" s="450"/>
      <c r="P136" s="450"/>
      <c r="Q136" s="450"/>
      <c r="R136" s="450"/>
      <c r="S136" s="450"/>
      <c r="T136" s="450"/>
      <c r="U136" s="450"/>
      <c r="V136" s="450"/>
      <c r="W136" s="450"/>
      <c r="X136" s="450"/>
      <c r="Y136" s="450"/>
      <c r="Z136" s="451"/>
      <c r="AA136" s="557"/>
      <c r="AB136" s="557"/>
      <c r="AC136" s="557"/>
      <c r="AD136" s="557"/>
      <c r="AE136" s="557"/>
      <c r="AF136" s="557"/>
      <c r="AG136" s="572"/>
      <c r="AH136" s="573"/>
      <c r="AI136" s="573"/>
      <c r="AJ136" s="573"/>
      <c r="AK136" s="573"/>
      <c r="AL136" s="574"/>
      <c r="AM136" s="572"/>
      <c r="AN136" s="573"/>
      <c r="AO136" s="573"/>
      <c r="AP136" s="573"/>
      <c r="AQ136" s="573"/>
      <c r="AR136" s="573"/>
      <c r="AS136" s="573"/>
      <c r="AT136" s="574"/>
      <c r="AU136" s="558">
        <f>AA136/AG132</f>
        <v>0</v>
      </c>
      <c r="AV136" s="559"/>
      <c r="AW136" s="559"/>
      <c r="AX136" s="559"/>
      <c r="AY136" s="559"/>
      <c r="AZ136" s="559"/>
      <c r="BA136" s="559"/>
      <c r="BB136" s="560"/>
    </row>
    <row r="137" spans="1:54" ht="0.75" customHeight="1" thickBot="1" x14ac:dyDescent="0.25">
      <c r="A137" s="575"/>
      <c r="B137" s="576"/>
      <c r="C137" s="576"/>
      <c r="D137" s="576"/>
      <c r="E137" s="576"/>
      <c r="F137" s="576"/>
      <c r="G137" s="576"/>
      <c r="H137" s="576"/>
      <c r="I137" s="576"/>
      <c r="J137" s="576"/>
      <c r="K137" s="576"/>
      <c r="L137" s="576"/>
      <c r="M137" s="576"/>
      <c r="N137" s="576"/>
      <c r="O137" s="576"/>
      <c r="P137" s="576"/>
      <c r="Q137" s="576"/>
      <c r="R137" s="576"/>
      <c r="S137" s="576"/>
      <c r="T137" s="576"/>
      <c r="U137" s="576"/>
      <c r="V137" s="576"/>
      <c r="W137" s="576"/>
      <c r="X137" s="576"/>
      <c r="Y137" s="576"/>
      <c r="Z137" s="577"/>
      <c r="AA137" s="578">
        <v>0</v>
      </c>
      <c r="AB137" s="578"/>
      <c r="AC137" s="578"/>
      <c r="AD137" s="578"/>
      <c r="AE137" s="578"/>
      <c r="AF137" s="578"/>
      <c r="AG137" s="572"/>
      <c r="AH137" s="573"/>
      <c r="AI137" s="573"/>
      <c r="AJ137" s="573"/>
      <c r="AK137" s="573"/>
      <c r="AL137" s="574"/>
      <c r="AM137" s="572"/>
      <c r="AN137" s="573"/>
      <c r="AO137" s="573"/>
      <c r="AP137" s="573"/>
      <c r="AQ137" s="573"/>
      <c r="AR137" s="573"/>
      <c r="AS137" s="573"/>
      <c r="AT137" s="574"/>
      <c r="AU137" s="579">
        <f>AA137/AG132</f>
        <v>0</v>
      </c>
      <c r="AV137" s="580"/>
      <c r="AW137" s="580"/>
      <c r="AX137" s="580"/>
      <c r="AY137" s="580"/>
      <c r="AZ137" s="580"/>
      <c r="BA137" s="580"/>
      <c r="BB137" s="581"/>
    </row>
    <row r="138" spans="1:54" ht="15" customHeight="1" thickBot="1" x14ac:dyDescent="0.25">
      <c r="A138" s="545" t="s">
        <v>51</v>
      </c>
      <c r="B138" s="546"/>
      <c r="C138" s="546"/>
      <c r="D138" s="546"/>
      <c r="E138" s="546"/>
      <c r="F138" s="546"/>
      <c r="G138" s="546"/>
      <c r="H138" s="546"/>
      <c r="I138" s="546"/>
      <c r="J138" s="546"/>
      <c r="K138" s="546"/>
      <c r="L138" s="546"/>
      <c r="M138" s="546"/>
      <c r="N138" s="546"/>
      <c r="O138" s="546"/>
      <c r="P138" s="546"/>
      <c r="Q138" s="546"/>
      <c r="R138" s="546"/>
      <c r="S138" s="546"/>
      <c r="T138" s="546"/>
      <c r="U138" s="546"/>
      <c r="V138" s="546"/>
      <c r="W138" s="546"/>
      <c r="X138" s="546"/>
      <c r="Y138" s="546"/>
      <c r="Z138" s="547"/>
      <c r="AA138" s="548">
        <f>SUM(AA132:AF135)</f>
        <v>0</v>
      </c>
      <c r="AB138" s="549"/>
      <c r="AC138" s="549"/>
      <c r="AD138" s="549"/>
      <c r="AE138" s="549"/>
      <c r="AF138" s="550"/>
      <c r="AG138" s="531">
        <f>AG132</f>
        <v>36</v>
      </c>
      <c r="AH138" s="533"/>
      <c r="AI138" s="533"/>
      <c r="AJ138" s="533"/>
      <c r="AK138" s="533"/>
      <c r="AL138" s="534"/>
      <c r="AM138" s="551" t="s">
        <v>17</v>
      </c>
      <c r="AN138" s="552"/>
      <c r="AO138" s="552"/>
      <c r="AP138" s="552"/>
      <c r="AQ138" s="552"/>
      <c r="AR138" s="552"/>
      <c r="AS138" s="552"/>
      <c r="AT138" s="553"/>
      <c r="AU138" s="554">
        <f>SUM(AU132:BB137)</f>
        <v>0</v>
      </c>
      <c r="AV138" s="555"/>
      <c r="AW138" s="555"/>
      <c r="AX138" s="555"/>
      <c r="AY138" s="555"/>
      <c r="AZ138" s="555"/>
      <c r="BA138" s="555"/>
      <c r="BB138" s="556"/>
    </row>
    <row r="139" spans="1:54" s="161" customFormat="1" ht="15" customHeight="1" x14ac:dyDescent="0.2">
      <c r="A139" s="117"/>
      <c r="B139" s="117"/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17"/>
      <c r="P139" s="117"/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</row>
    <row r="140" spans="1:54" ht="27" customHeight="1" x14ac:dyDescent="0.2">
      <c r="A140" s="159" t="s">
        <v>62</v>
      </c>
      <c r="B140" s="159"/>
      <c r="C140" s="159" t="s">
        <v>63</v>
      </c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  <c r="AU140" s="159"/>
      <c r="AV140" s="159"/>
      <c r="AW140" s="159"/>
      <c r="AX140" s="160"/>
      <c r="AY140" s="160"/>
      <c r="AZ140" s="160"/>
      <c r="BA140" s="160"/>
      <c r="BB140" s="160"/>
    </row>
    <row r="141" spans="1:54" ht="21.75" customHeight="1" thickBot="1" x14ac:dyDescent="0.25"/>
    <row r="142" spans="1:54" ht="63" customHeight="1" x14ac:dyDescent="0.2">
      <c r="A142" s="499" t="s">
        <v>54</v>
      </c>
      <c r="B142" s="500"/>
      <c r="C142" s="500"/>
      <c r="D142" s="500"/>
      <c r="E142" s="500"/>
      <c r="F142" s="500"/>
      <c r="G142" s="500"/>
      <c r="H142" s="535" t="s">
        <v>64</v>
      </c>
      <c r="I142" s="535"/>
      <c r="J142" s="535"/>
      <c r="K142" s="535"/>
      <c r="L142" s="535"/>
      <c r="M142" s="535" t="s">
        <v>94</v>
      </c>
      <c r="N142" s="535"/>
      <c r="O142" s="535"/>
      <c r="P142" s="535"/>
      <c r="Q142" s="535"/>
      <c r="R142" s="535" t="s">
        <v>82</v>
      </c>
      <c r="S142" s="535"/>
      <c r="T142" s="535"/>
      <c r="U142" s="535"/>
      <c r="V142" s="535" t="s">
        <v>65</v>
      </c>
      <c r="W142" s="535"/>
      <c r="X142" s="535"/>
      <c r="Y142" s="535"/>
      <c r="Z142" s="535" t="s">
        <v>66</v>
      </c>
      <c r="AA142" s="535"/>
      <c r="AB142" s="535"/>
      <c r="AC142" s="535"/>
      <c r="AD142" s="535" t="s">
        <v>67</v>
      </c>
      <c r="AE142" s="535"/>
      <c r="AF142" s="535"/>
      <c r="AG142" s="535"/>
      <c r="AH142" s="535"/>
      <c r="AI142" s="535"/>
      <c r="AJ142" s="535"/>
      <c r="AK142" s="535"/>
      <c r="AL142" s="535"/>
      <c r="AM142" s="535"/>
      <c r="AN142" s="535"/>
      <c r="AO142" s="535"/>
      <c r="AP142" s="535"/>
      <c r="AQ142" s="535" t="s">
        <v>427</v>
      </c>
      <c r="AR142" s="535"/>
      <c r="AS142" s="535"/>
      <c r="AT142" s="535"/>
      <c r="AU142" s="536" t="s">
        <v>428</v>
      </c>
      <c r="AV142" s="537"/>
      <c r="AW142" s="537"/>
      <c r="AX142" s="538"/>
      <c r="AY142" s="536" t="s">
        <v>87</v>
      </c>
      <c r="AZ142" s="537"/>
      <c r="BA142" s="537"/>
      <c r="BB142" s="539"/>
    </row>
    <row r="143" spans="1:54" ht="71.25" customHeight="1" thickBot="1" x14ac:dyDescent="0.25">
      <c r="A143" s="888"/>
      <c r="B143" s="889"/>
      <c r="C143" s="889"/>
      <c r="D143" s="889"/>
      <c r="E143" s="889"/>
      <c r="F143" s="889"/>
      <c r="G143" s="889"/>
      <c r="H143" s="894" t="s">
        <v>68</v>
      </c>
      <c r="I143" s="894"/>
      <c r="J143" s="894"/>
      <c r="K143" s="894"/>
      <c r="L143" s="894"/>
      <c r="M143" s="894" t="s">
        <v>68</v>
      </c>
      <c r="N143" s="894"/>
      <c r="O143" s="894"/>
      <c r="P143" s="894"/>
      <c r="Q143" s="894"/>
      <c r="R143" s="894"/>
      <c r="S143" s="894"/>
      <c r="T143" s="894"/>
      <c r="U143" s="894"/>
      <c r="V143" s="894"/>
      <c r="W143" s="894"/>
      <c r="X143" s="894"/>
      <c r="Y143" s="894"/>
      <c r="Z143" s="894"/>
      <c r="AA143" s="894"/>
      <c r="AB143" s="894"/>
      <c r="AC143" s="894"/>
      <c r="AD143" s="894" t="s">
        <v>68</v>
      </c>
      <c r="AE143" s="894"/>
      <c r="AF143" s="894"/>
      <c r="AG143" s="894"/>
      <c r="AH143" s="894"/>
      <c r="AI143" s="894"/>
      <c r="AJ143" s="895" t="s">
        <v>69</v>
      </c>
      <c r="AK143" s="896"/>
      <c r="AL143" s="896"/>
      <c r="AM143" s="896"/>
      <c r="AN143" s="896"/>
      <c r="AO143" s="896"/>
      <c r="AP143" s="897"/>
      <c r="AQ143" s="894" t="s">
        <v>68</v>
      </c>
      <c r="AR143" s="894"/>
      <c r="AS143" s="894"/>
      <c r="AT143" s="894"/>
      <c r="AU143" s="894" t="s">
        <v>68</v>
      </c>
      <c r="AV143" s="894"/>
      <c r="AW143" s="894"/>
      <c r="AX143" s="894"/>
      <c r="AY143" s="894" t="s">
        <v>68</v>
      </c>
      <c r="AZ143" s="894"/>
      <c r="BA143" s="894"/>
      <c r="BB143" s="898"/>
    </row>
    <row r="144" spans="1:54" ht="22.5" customHeight="1" thickBot="1" x14ac:dyDescent="0.25">
      <c r="A144" s="530">
        <v>1</v>
      </c>
      <c r="B144" s="503"/>
      <c r="C144" s="503"/>
      <c r="D144" s="503"/>
      <c r="E144" s="503"/>
      <c r="F144" s="503"/>
      <c r="G144" s="503"/>
      <c r="H144" s="503">
        <v>2</v>
      </c>
      <c r="I144" s="503"/>
      <c r="J144" s="503"/>
      <c r="K144" s="503"/>
      <c r="L144" s="503"/>
      <c r="M144" s="503">
        <v>3</v>
      </c>
      <c r="N144" s="503"/>
      <c r="O144" s="503"/>
      <c r="P144" s="503"/>
      <c r="Q144" s="503"/>
      <c r="R144" s="503">
        <v>4</v>
      </c>
      <c r="S144" s="503"/>
      <c r="T144" s="503"/>
      <c r="U144" s="503"/>
      <c r="V144" s="503">
        <v>5</v>
      </c>
      <c r="W144" s="503"/>
      <c r="X144" s="503"/>
      <c r="Y144" s="503"/>
      <c r="Z144" s="503">
        <v>6</v>
      </c>
      <c r="AA144" s="503"/>
      <c r="AB144" s="503"/>
      <c r="AC144" s="531"/>
      <c r="AD144" s="503">
        <v>7</v>
      </c>
      <c r="AE144" s="503"/>
      <c r="AF144" s="503"/>
      <c r="AG144" s="503"/>
      <c r="AH144" s="503"/>
      <c r="AI144" s="503"/>
      <c r="AJ144" s="533">
        <v>8</v>
      </c>
      <c r="AK144" s="533"/>
      <c r="AL144" s="533"/>
      <c r="AM144" s="533"/>
      <c r="AN144" s="533"/>
      <c r="AO144" s="533"/>
      <c r="AP144" s="534"/>
      <c r="AQ144" s="503">
        <v>9</v>
      </c>
      <c r="AR144" s="503"/>
      <c r="AS144" s="503"/>
      <c r="AT144" s="503"/>
      <c r="AU144" s="503">
        <v>10</v>
      </c>
      <c r="AV144" s="503"/>
      <c r="AW144" s="503"/>
      <c r="AX144" s="503"/>
      <c r="AY144" s="503">
        <v>11</v>
      </c>
      <c r="AZ144" s="503"/>
      <c r="BA144" s="503"/>
      <c r="BB144" s="504"/>
    </row>
    <row r="145" spans="1:79" ht="24.75" customHeight="1" x14ac:dyDescent="0.2">
      <c r="A145" s="505" t="s">
        <v>70</v>
      </c>
      <c r="B145" s="506"/>
      <c r="C145" s="506"/>
      <c r="D145" s="506"/>
      <c r="E145" s="506"/>
      <c r="F145" s="506"/>
      <c r="G145" s="506"/>
      <c r="H145" s="507">
        <f>AO88/V145</f>
        <v>51.342199999999998</v>
      </c>
      <c r="I145" s="507"/>
      <c r="J145" s="507"/>
      <c r="K145" s="507"/>
      <c r="L145" s="507"/>
      <c r="M145" s="507">
        <f>H145</f>
        <v>51.342199999999998</v>
      </c>
      <c r="N145" s="507"/>
      <c r="O145" s="507"/>
      <c r="P145" s="507"/>
      <c r="Q145" s="507"/>
      <c r="R145" s="508">
        <f>U12</f>
        <v>36</v>
      </c>
      <c r="S145" s="509"/>
      <c r="T145" s="509"/>
      <c r="U145" s="510"/>
      <c r="V145" s="517">
        <f>Y16</f>
        <v>12</v>
      </c>
      <c r="W145" s="517"/>
      <c r="X145" s="517"/>
      <c r="Y145" s="517"/>
      <c r="Z145" s="517">
        <f>U16</f>
        <v>3</v>
      </c>
      <c r="AA145" s="517"/>
      <c r="AB145" s="517"/>
      <c r="AC145" s="517"/>
      <c r="AD145" s="520" t="s">
        <v>71</v>
      </c>
      <c r="AE145" s="521"/>
      <c r="AF145" s="521"/>
      <c r="AG145" s="521"/>
      <c r="AH145" s="521"/>
      <c r="AI145" s="522"/>
      <c r="AJ145" s="523"/>
      <c r="AK145" s="524"/>
      <c r="AL145" s="524"/>
      <c r="AM145" s="524"/>
      <c r="AN145" s="524"/>
      <c r="AO145" s="524"/>
      <c r="AP145" s="525"/>
      <c r="AQ145" s="507">
        <f>H145*4</f>
        <v>205.36879999999999</v>
      </c>
      <c r="AR145" s="507"/>
      <c r="AS145" s="507"/>
      <c r="AT145" s="507"/>
      <c r="AU145" s="507">
        <f>M145*1</f>
        <v>51.342199999999998</v>
      </c>
      <c r="AV145" s="507"/>
      <c r="AW145" s="507"/>
      <c r="AX145" s="507"/>
      <c r="AY145" s="507">
        <f>H145*R145</f>
        <v>1848.3191999999999</v>
      </c>
      <c r="AZ145" s="507"/>
      <c r="BA145" s="507"/>
      <c r="BB145" s="526"/>
    </row>
    <row r="146" spans="1:79" ht="29.25" customHeight="1" x14ac:dyDescent="0.2">
      <c r="A146" s="527" t="s">
        <v>72</v>
      </c>
      <c r="B146" s="528"/>
      <c r="C146" s="528"/>
      <c r="D146" s="528"/>
      <c r="E146" s="528"/>
      <c r="F146" s="528"/>
      <c r="G146" s="528"/>
      <c r="H146" s="529">
        <f>AV98</f>
        <v>79.576362681974103</v>
      </c>
      <c r="I146" s="529"/>
      <c r="J146" s="529"/>
      <c r="K146" s="529"/>
      <c r="L146" s="529"/>
      <c r="M146" s="477">
        <f t="shared" ref="M146:M148" si="3">H146</f>
        <v>79.576362681974103</v>
      </c>
      <c r="N146" s="477"/>
      <c r="O146" s="477"/>
      <c r="P146" s="477"/>
      <c r="Q146" s="477"/>
      <c r="R146" s="511"/>
      <c r="S146" s="512"/>
      <c r="T146" s="512"/>
      <c r="U146" s="513"/>
      <c r="V146" s="518"/>
      <c r="W146" s="518"/>
      <c r="X146" s="518"/>
      <c r="Y146" s="518"/>
      <c r="Z146" s="518"/>
      <c r="AA146" s="518"/>
      <c r="AB146" s="518"/>
      <c r="AC146" s="518"/>
      <c r="AD146" s="477" t="s">
        <v>71</v>
      </c>
      <c r="AE146" s="477"/>
      <c r="AF146" s="477"/>
      <c r="AG146" s="477"/>
      <c r="AH146" s="477"/>
      <c r="AI146" s="477"/>
      <c r="AJ146" s="478"/>
      <c r="AK146" s="479"/>
      <c r="AL146" s="479"/>
      <c r="AM146" s="479"/>
      <c r="AN146" s="479"/>
      <c r="AO146" s="479"/>
      <c r="AP146" s="480"/>
      <c r="AQ146" s="477">
        <f>H146*4</f>
        <v>318.30545072789641</v>
      </c>
      <c r="AR146" s="477"/>
      <c r="AS146" s="477"/>
      <c r="AT146" s="477"/>
      <c r="AU146" s="477">
        <f>M146*1</f>
        <v>79.576362681974103</v>
      </c>
      <c r="AV146" s="477"/>
      <c r="AW146" s="477"/>
      <c r="AX146" s="477"/>
      <c r="AY146" s="477">
        <f>H146*R145</f>
        <v>2864.749056551068</v>
      </c>
      <c r="AZ146" s="477"/>
      <c r="BA146" s="477"/>
      <c r="BB146" s="481"/>
    </row>
    <row r="147" spans="1:79" ht="15" customHeight="1" x14ac:dyDescent="0.2">
      <c r="A147" s="527" t="s">
        <v>73</v>
      </c>
      <c r="B147" s="528"/>
      <c r="C147" s="528"/>
      <c r="D147" s="528"/>
      <c r="E147" s="528"/>
      <c r="F147" s="528"/>
      <c r="G147" s="528"/>
      <c r="H147" s="529">
        <f>AU126</f>
        <v>112.5</v>
      </c>
      <c r="I147" s="529"/>
      <c r="J147" s="529"/>
      <c r="K147" s="529"/>
      <c r="L147" s="529"/>
      <c r="M147" s="477">
        <f t="shared" si="3"/>
        <v>112.5</v>
      </c>
      <c r="N147" s="477"/>
      <c r="O147" s="477"/>
      <c r="P147" s="477"/>
      <c r="Q147" s="477"/>
      <c r="R147" s="511"/>
      <c r="S147" s="512"/>
      <c r="T147" s="512"/>
      <c r="U147" s="513"/>
      <c r="V147" s="518"/>
      <c r="W147" s="518"/>
      <c r="X147" s="518"/>
      <c r="Y147" s="518"/>
      <c r="Z147" s="518"/>
      <c r="AA147" s="518"/>
      <c r="AB147" s="518"/>
      <c r="AC147" s="518"/>
      <c r="AD147" s="477" t="s">
        <v>71</v>
      </c>
      <c r="AE147" s="477"/>
      <c r="AF147" s="477"/>
      <c r="AG147" s="477"/>
      <c r="AH147" s="477"/>
      <c r="AI147" s="477"/>
      <c r="AJ147" s="478"/>
      <c r="AK147" s="479"/>
      <c r="AL147" s="479"/>
      <c r="AM147" s="479"/>
      <c r="AN147" s="479"/>
      <c r="AO147" s="479"/>
      <c r="AP147" s="480"/>
      <c r="AQ147" s="477">
        <f>H147*4</f>
        <v>450</v>
      </c>
      <c r="AR147" s="477"/>
      <c r="AS147" s="477"/>
      <c r="AT147" s="477"/>
      <c r="AU147" s="477">
        <f>M147*1</f>
        <v>112.5</v>
      </c>
      <c r="AV147" s="477"/>
      <c r="AW147" s="477"/>
      <c r="AX147" s="477"/>
      <c r="AY147" s="477">
        <f>H147*R145</f>
        <v>4050</v>
      </c>
      <c r="AZ147" s="477"/>
      <c r="BA147" s="477"/>
      <c r="BB147" s="481"/>
    </row>
    <row r="148" spans="1:79" ht="26.25" customHeight="1" thickBot="1" x14ac:dyDescent="0.25">
      <c r="A148" s="494" t="s">
        <v>74</v>
      </c>
      <c r="B148" s="495"/>
      <c r="C148" s="495"/>
      <c r="D148" s="495"/>
      <c r="E148" s="495"/>
      <c r="F148" s="495"/>
      <c r="G148" s="495"/>
      <c r="H148" s="483">
        <f>AU138</f>
        <v>0</v>
      </c>
      <c r="I148" s="483"/>
      <c r="J148" s="483"/>
      <c r="K148" s="483"/>
      <c r="L148" s="483"/>
      <c r="M148" s="482">
        <f t="shared" si="3"/>
        <v>0</v>
      </c>
      <c r="N148" s="482"/>
      <c r="O148" s="482"/>
      <c r="P148" s="482"/>
      <c r="Q148" s="482"/>
      <c r="R148" s="514"/>
      <c r="S148" s="515"/>
      <c r="T148" s="515"/>
      <c r="U148" s="516"/>
      <c r="V148" s="519"/>
      <c r="W148" s="519"/>
      <c r="X148" s="519"/>
      <c r="Y148" s="519"/>
      <c r="Z148" s="519"/>
      <c r="AA148" s="519"/>
      <c r="AB148" s="519"/>
      <c r="AC148" s="519"/>
      <c r="AD148" s="482" t="s">
        <v>71</v>
      </c>
      <c r="AE148" s="482"/>
      <c r="AF148" s="482"/>
      <c r="AG148" s="482"/>
      <c r="AH148" s="482"/>
      <c r="AI148" s="482"/>
      <c r="AJ148" s="496" t="s">
        <v>17</v>
      </c>
      <c r="AK148" s="497"/>
      <c r="AL148" s="497"/>
      <c r="AM148" s="497"/>
      <c r="AN148" s="497"/>
      <c r="AO148" s="497"/>
      <c r="AP148" s="498"/>
      <c r="AQ148" s="482">
        <f>H148*4</f>
        <v>0</v>
      </c>
      <c r="AR148" s="482"/>
      <c r="AS148" s="482"/>
      <c r="AT148" s="482"/>
      <c r="AU148" s="482">
        <f>M148*1</f>
        <v>0</v>
      </c>
      <c r="AV148" s="482"/>
      <c r="AW148" s="482"/>
      <c r="AX148" s="482"/>
      <c r="AY148" s="483">
        <f>H148*R145</f>
        <v>0</v>
      </c>
      <c r="AZ148" s="483"/>
      <c r="BA148" s="483"/>
      <c r="BB148" s="484"/>
    </row>
    <row r="149" spans="1:79" ht="25.5" customHeight="1" x14ac:dyDescent="0.2">
      <c r="A149" s="485" t="s">
        <v>80</v>
      </c>
      <c r="B149" s="486"/>
      <c r="C149" s="486"/>
      <c r="D149" s="486"/>
      <c r="E149" s="486"/>
      <c r="F149" s="486"/>
      <c r="G149" s="487"/>
      <c r="H149" s="488">
        <f>SUM(H145:L148)</f>
        <v>243.41856268197409</v>
      </c>
      <c r="I149" s="488"/>
      <c r="J149" s="488"/>
      <c r="K149" s="488"/>
      <c r="L149" s="488"/>
      <c r="M149" s="488">
        <f>SUM(M145:Q148)</f>
        <v>243.41856268197409</v>
      </c>
      <c r="N149" s="488"/>
      <c r="O149" s="488"/>
      <c r="P149" s="488"/>
      <c r="Q149" s="488"/>
      <c r="R149" s="489">
        <f>R145</f>
        <v>36</v>
      </c>
      <c r="S149" s="489"/>
      <c r="T149" s="489"/>
      <c r="U149" s="489"/>
      <c r="V149" s="490">
        <f>V145</f>
        <v>12</v>
      </c>
      <c r="W149" s="490"/>
      <c r="X149" s="490"/>
      <c r="Y149" s="490"/>
      <c r="Z149" s="490">
        <f>Z145</f>
        <v>3</v>
      </c>
      <c r="AA149" s="490"/>
      <c r="AB149" s="490"/>
      <c r="AC149" s="490"/>
      <c r="AD149" s="488" t="s">
        <v>17</v>
      </c>
      <c r="AE149" s="488"/>
      <c r="AF149" s="488"/>
      <c r="AG149" s="488"/>
      <c r="AH149" s="488"/>
      <c r="AI149" s="488"/>
      <c r="AJ149" s="491" t="s">
        <v>17</v>
      </c>
      <c r="AK149" s="492"/>
      <c r="AL149" s="492"/>
      <c r="AM149" s="492"/>
      <c r="AN149" s="492"/>
      <c r="AO149" s="492"/>
      <c r="AP149" s="493"/>
      <c r="AQ149" s="453">
        <f>SUM(AQ145:AT148)</f>
        <v>973.67425072789638</v>
      </c>
      <c r="AR149" s="453"/>
      <c r="AS149" s="453"/>
      <c r="AT149" s="453"/>
      <c r="AU149" s="453">
        <f>SUM(AU145:AX148)</f>
        <v>243.41856268197409</v>
      </c>
      <c r="AV149" s="453"/>
      <c r="AW149" s="453"/>
      <c r="AX149" s="453"/>
      <c r="AY149" s="453">
        <f>SUM(AY145:BB148)</f>
        <v>8763.0682565510688</v>
      </c>
      <c r="AZ149" s="453"/>
      <c r="BA149" s="453"/>
      <c r="BB149" s="454"/>
    </row>
    <row r="150" spans="1:79" ht="30.75" customHeight="1" x14ac:dyDescent="0.2">
      <c r="A150" s="455" t="s">
        <v>75</v>
      </c>
      <c r="B150" s="456"/>
      <c r="C150" s="456"/>
      <c r="D150" s="456"/>
      <c r="E150" s="456"/>
      <c r="F150" s="456"/>
      <c r="G150" s="215">
        <v>0.6</v>
      </c>
      <c r="H150" s="457">
        <f>H149*G150</f>
        <v>146.05113760918445</v>
      </c>
      <c r="I150" s="457"/>
      <c r="J150" s="457"/>
      <c r="K150" s="457"/>
      <c r="L150" s="457"/>
      <c r="M150" s="457">
        <f>M149*G150</f>
        <v>146.05113760918445</v>
      </c>
      <c r="N150" s="457"/>
      <c r="O150" s="457"/>
      <c r="P150" s="457"/>
      <c r="Q150" s="457"/>
      <c r="R150" s="818">
        <f>R145</f>
        <v>36</v>
      </c>
      <c r="S150" s="819"/>
      <c r="T150" s="819"/>
      <c r="U150" s="820"/>
      <c r="V150" s="821">
        <f>V145</f>
        <v>12</v>
      </c>
      <c r="W150" s="819"/>
      <c r="X150" s="819"/>
      <c r="Y150" s="820"/>
      <c r="Z150" s="821">
        <f>Z145</f>
        <v>3</v>
      </c>
      <c r="AA150" s="819"/>
      <c r="AB150" s="819"/>
      <c r="AC150" s="820"/>
      <c r="AD150" s="462" t="s">
        <v>17</v>
      </c>
      <c r="AE150" s="462"/>
      <c r="AF150" s="462"/>
      <c r="AG150" s="462"/>
      <c r="AH150" s="462"/>
      <c r="AI150" s="462"/>
      <c r="AJ150" s="462" t="s">
        <v>17</v>
      </c>
      <c r="AK150" s="462"/>
      <c r="AL150" s="462"/>
      <c r="AM150" s="462"/>
      <c r="AN150" s="462"/>
      <c r="AO150" s="462"/>
      <c r="AP150" s="462"/>
      <c r="AQ150" s="466">
        <f>AQ149*G150</f>
        <v>584.2045504367378</v>
      </c>
      <c r="AR150" s="466"/>
      <c r="AS150" s="466"/>
      <c r="AT150" s="466"/>
      <c r="AU150" s="466">
        <f>AU149*G150</f>
        <v>146.05113760918445</v>
      </c>
      <c r="AV150" s="466"/>
      <c r="AW150" s="466"/>
      <c r="AX150" s="466"/>
      <c r="AY150" s="466">
        <f>AY149*G150</f>
        <v>5257.8409539306413</v>
      </c>
      <c r="AZ150" s="466"/>
      <c r="BA150" s="466"/>
      <c r="BB150" s="467"/>
    </row>
    <row r="151" spans="1:79" ht="30.75" customHeight="1" thickBot="1" x14ac:dyDescent="0.25">
      <c r="A151" s="468" t="s">
        <v>81</v>
      </c>
      <c r="B151" s="469"/>
      <c r="C151" s="469"/>
      <c r="D151" s="469"/>
      <c r="E151" s="469"/>
      <c r="F151" s="469"/>
      <c r="G151" s="470"/>
      <c r="H151" s="464">
        <f>H149+H150</f>
        <v>389.46970029115857</v>
      </c>
      <c r="I151" s="464"/>
      <c r="J151" s="464"/>
      <c r="K151" s="464"/>
      <c r="L151" s="464"/>
      <c r="M151" s="471">
        <f>M149+M150</f>
        <v>389.46970029115857</v>
      </c>
      <c r="N151" s="472"/>
      <c r="O151" s="472"/>
      <c r="P151" s="472"/>
      <c r="Q151" s="473"/>
      <c r="R151" s="825">
        <f>R145</f>
        <v>36</v>
      </c>
      <c r="S151" s="826"/>
      <c r="T151" s="826"/>
      <c r="U151" s="827"/>
      <c r="V151" s="828">
        <f>V145</f>
        <v>12</v>
      </c>
      <c r="W151" s="829"/>
      <c r="X151" s="829"/>
      <c r="Y151" s="830"/>
      <c r="Z151" s="828">
        <f>Z145</f>
        <v>3</v>
      </c>
      <c r="AA151" s="829"/>
      <c r="AB151" s="829"/>
      <c r="AC151" s="830"/>
      <c r="AD151" s="463" t="s">
        <v>17</v>
      </c>
      <c r="AE151" s="463"/>
      <c r="AF151" s="463"/>
      <c r="AG151" s="463"/>
      <c r="AH151" s="463"/>
      <c r="AI151" s="463"/>
      <c r="AJ151" s="463" t="s">
        <v>17</v>
      </c>
      <c r="AK151" s="463"/>
      <c r="AL151" s="463"/>
      <c r="AM151" s="463"/>
      <c r="AN151" s="463"/>
      <c r="AO151" s="463"/>
      <c r="AP151" s="463"/>
      <c r="AQ151" s="464">
        <f>AQ149+AQ150</f>
        <v>1557.8788011646343</v>
      </c>
      <c r="AR151" s="464"/>
      <c r="AS151" s="464"/>
      <c r="AT151" s="464"/>
      <c r="AU151" s="464">
        <f>AU149+AU150</f>
        <v>389.46970029115857</v>
      </c>
      <c r="AV151" s="464"/>
      <c r="AW151" s="464"/>
      <c r="AX151" s="464"/>
      <c r="AY151" s="464">
        <f>AY149+AY150</f>
        <v>14020.90921048171</v>
      </c>
      <c r="AZ151" s="464"/>
      <c r="BA151" s="464"/>
      <c r="BB151" s="465"/>
      <c r="BE151" s="432"/>
      <c r="BF151" s="432"/>
      <c r="BG151" s="432"/>
      <c r="BH151" s="432"/>
      <c r="BI151" s="432"/>
      <c r="BJ151" s="432"/>
      <c r="BK151" s="432"/>
      <c r="BL151" s="432"/>
      <c r="BM151" s="432"/>
      <c r="BN151" s="432"/>
      <c r="BO151" s="432"/>
      <c r="BP151" s="432"/>
      <c r="BQ151" s="432"/>
      <c r="BR151" s="432"/>
      <c r="BS151" s="432"/>
      <c r="BT151" s="432"/>
      <c r="BU151" s="432"/>
      <c r="BV151" s="432"/>
      <c r="BW151" s="432"/>
      <c r="BX151" s="432"/>
      <c r="BY151" s="432"/>
      <c r="BZ151" s="432"/>
      <c r="CA151" s="432"/>
    </row>
    <row r="152" spans="1:79" ht="16.5" customHeight="1" x14ac:dyDescent="0.2">
      <c r="BC152" s="432"/>
      <c r="BD152" s="432"/>
      <c r="BE152" s="432"/>
      <c r="BF152" s="432"/>
      <c r="BG152" s="432"/>
      <c r="BH152" s="433"/>
      <c r="BI152" s="433"/>
      <c r="BJ152" s="433"/>
      <c r="BK152" s="433"/>
      <c r="BL152" s="433"/>
      <c r="BM152" s="332"/>
      <c r="BN152" s="332"/>
      <c r="BO152" s="332"/>
      <c r="BP152" s="332"/>
      <c r="BQ152" s="332"/>
      <c r="BR152" s="332"/>
      <c r="BS152" s="332"/>
      <c r="BT152" s="332"/>
    </row>
    <row r="153" spans="1:79" ht="12" customHeight="1" x14ac:dyDescent="0.2">
      <c r="BC153" s="432"/>
      <c r="BD153" s="432"/>
      <c r="BE153" s="434"/>
      <c r="BF153" s="432"/>
      <c r="BG153" s="432"/>
      <c r="BH153" s="216"/>
      <c r="BI153" s="432"/>
      <c r="BJ153" s="432"/>
      <c r="BK153" s="432"/>
      <c r="BL153" s="432"/>
      <c r="BM153" s="432"/>
      <c r="BN153" s="432"/>
      <c r="BO153" s="432"/>
      <c r="BP153" s="432"/>
      <c r="BQ153" s="432"/>
      <c r="BR153" s="432"/>
      <c r="BS153" s="432"/>
      <c r="BT153" s="432"/>
    </row>
    <row r="154" spans="1:79" ht="14.25" customHeight="1" x14ac:dyDescent="0.25">
      <c r="B154" s="452" t="s">
        <v>421</v>
      </c>
      <c r="C154" s="452"/>
      <c r="D154" s="452"/>
      <c r="E154" s="452"/>
      <c r="F154" s="452"/>
      <c r="G154" s="452"/>
      <c r="H154" s="452"/>
      <c r="I154" s="452"/>
      <c r="J154" s="452"/>
      <c r="K154" s="452"/>
      <c r="L154" s="452"/>
      <c r="M154" s="452"/>
      <c r="N154" s="452"/>
      <c r="O154" s="452"/>
      <c r="P154" s="452"/>
      <c r="Q154" s="452"/>
      <c r="R154" s="452"/>
      <c r="S154" s="452"/>
      <c r="U154" s="164"/>
      <c r="V154" s="164"/>
      <c r="W154" s="164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M154" s="822" t="s">
        <v>515</v>
      </c>
      <c r="AN154" s="443"/>
      <c r="AO154" s="443"/>
      <c r="AP154" s="443"/>
      <c r="AQ154" s="443"/>
      <c r="AR154" s="443"/>
      <c r="AS154" s="443"/>
      <c r="AT154" s="443"/>
      <c r="AU154" s="443"/>
      <c r="AV154" s="443"/>
      <c r="AW154" s="443"/>
      <c r="AX154" s="443"/>
      <c r="AY154" s="443"/>
      <c r="AZ154" s="443"/>
      <c r="BA154" s="443"/>
      <c r="BB154" s="443"/>
      <c r="BC154" s="432"/>
      <c r="BD154" s="432"/>
      <c r="BE154" s="432"/>
      <c r="BF154" s="432"/>
      <c r="BG154" s="432"/>
      <c r="BH154" s="216"/>
      <c r="BI154" s="435"/>
      <c r="BJ154" s="435"/>
      <c r="BK154" s="435"/>
      <c r="BL154" s="435"/>
      <c r="BM154" s="435"/>
      <c r="BN154" s="435"/>
      <c r="BO154" s="432"/>
      <c r="BP154" s="432"/>
      <c r="BQ154" s="432"/>
      <c r="BR154" s="432"/>
      <c r="BS154" s="432"/>
      <c r="BT154" s="432"/>
    </row>
    <row r="155" spans="1:79" ht="15.75" customHeight="1" x14ac:dyDescent="0.2">
      <c r="B155" s="452" t="s">
        <v>78</v>
      </c>
      <c r="C155" s="452"/>
      <c r="D155" s="452"/>
      <c r="E155" s="452"/>
      <c r="F155" s="452"/>
      <c r="G155" s="452"/>
      <c r="H155" s="452"/>
      <c r="I155" s="452"/>
      <c r="J155" s="452"/>
      <c r="K155" s="452"/>
      <c r="L155" s="452"/>
      <c r="M155" s="452"/>
      <c r="N155" s="452"/>
      <c r="O155" s="452"/>
      <c r="P155" s="452"/>
      <c r="Q155" s="452"/>
      <c r="R155" s="452"/>
      <c r="S155" s="452"/>
      <c r="AM155" s="822" t="s">
        <v>418</v>
      </c>
      <c r="AN155" s="822"/>
      <c r="AO155" s="822"/>
      <c r="AP155" s="822"/>
      <c r="AQ155" s="822"/>
      <c r="AR155" s="822"/>
      <c r="AS155" s="822"/>
      <c r="AT155" s="822"/>
      <c r="AU155" s="822"/>
      <c r="AV155" s="822"/>
      <c r="AW155" s="822"/>
      <c r="AX155" s="822"/>
      <c r="AY155" s="822"/>
      <c r="AZ155" s="822"/>
      <c r="BA155" s="822"/>
      <c r="BB155" s="822"/>
      <c r="BC155" s="822"/>
      <c r="BE155" s="432"/>
      <c r="BF155" s="432"/>
      <c r="BG155" s="432"/>
      <c r="BH155" s="216"/>
      <c r="BI155" s="435"/>
      <c r="BJ155" s="435"/>
      <c r="BK155" s="435"/>
      <c r="BL155" s="435"/>
      <c r="BM155" s="435"/>
      <c r="BN155" s="435"/>
      <c r="BO155" s="435"/>
      <c r="BP155" s="435"/>
      <c r="BQ155" s="435"/>
      <c r="BR155" s="435"/>
      <c r="BS155" s="435"/>
      <c r="BT155" s="435"/>
    </row>
    <row r="156" spans="1:79" ht="12" x14ac:dyDescent="0.2">
      <c r="B156" s="452"/>
      <c r="C156" s="452"/>
      <c r="D156" s="452"/>
      <c r="E156" s="452"/>
      <c r="F156" s="452"/>
      <c r="G156" s="452"/>
      <c r="H156" s="452"/>
      <c r="I156" s="452"/>
      <c r="J156" s="452"/>
      <c r="K156" s="452"/>
      <c r="L156" s="452"/>
      <c r="M156" s="452"/>
      <c r="N156" s="452"/>
      <c r="O156" s="452"/>
      <c r="P156" s="452"/>
      <c r="Q156" s="452"/>
      <c r="R156" s="452"/>
      <c r="S156" s="452"/>
      <c r="U156" s="164"/>
      <c r="V156" s="164"/>
      <c r="W156" s="164"/>
      <c r="X156" s="217"/>
      <c r="Y156" s="217"/>
      <c r="Z156" s="217"/>
      <c r="AA156" s="217"/>
      <c r="AB156" s="217"/>
      <c r="AC156" s="217"/>
      <c r="AD156" s="217"/>
      <c r="AE156" s="217"/>
      <c r="AF156" s="217"/>
      <c r="AG156" s="217"/>
      <c r="AH156" s="217"/>
      <c r="AI156" s="217"/>
      <c r="AJ156" s="217"/>
      <c r="AK156" s="217"/>
      <c r="AM156" s="822"/>
      <c r="AN156" s="822"/>
      <c r="AO156" s="822"/>
      <c r="AP156" s="822"/>
      <c r="AQ156" s="822"/>
      <c r="AR156" s="822"/>
      <c r="AS156" s="822"/>
      <c r="AT156" s="822"/>
      <c r="AU156" s="822"/>
      <c r="AV156" s="822"/>
      <c r="AW156" s="822"/>
      <c r="AX156" s="822"/>
      <c r="AY156" s="822"/>
      <c r="AZ156" s="822"/>
      <c r="BA156" s="822"/>
      <c r="BB156" s="822"/>
      <c r="BC156" s="822"/>
      <c r="BG156" s="216"/>
    </row>
    <row r="157" spans="1:79" ht="15.75" customHeight="1" x14ac:dyDescent="0.2"/>
    <row r="158" spans="1:79" ht="13.5" customHeight="1" x14ac:dyDescent="0.2">
      <c r="A158" s="219" t="s">
        <v>125</v>
      </c>
      <c r="B158" s="219"/>
      <c r="C158" s="219"/>
      <c r="D158" s="219"/>
      <c r="BG158" s="216"/>
    </row>
    <row r="159" spans="1:79" ht="21.75" hidden="1" customHeight="1" x14ac:dyDescent="0.2">
      <c r="A159" s="221"/>
      <c r="B159" s="221"/>
      <c r="C159" s="221"/>
      <c r="D159" s="221"/>
      <c r="E159" s="221"/>
      <c r="F159" s="221"/>
      <c r="G159" s="221">
        <v>280</v>
      </c>
      <c r="H159" s="221"/>
      <c r="I159" s="221"/>
      <c r="J159" s="221"/>
      <c r="K159" s="221"/>
      <c r="L159" s="221"/>
      <c r="M159" s="221"/>
      <c r="N159" s="221"/>
      <c r="BE159" s="432" t="s">
        <v>239</v>
      </c>
      <c r="BF159" s="432"/>
      <c r="BG159" s="432"/>
      <c r="BH159" s="432"/>
      <c r="BI159" s="432"/>
      <c r="BJ159" s="432"/>
      <c r="BK159" s="432"/>
      <c r="BL159" s="432"/>
      <c r="BM159" s="432"/>
      <c r="BN159" s="432"/>
      <c r="BO159" s="432"/>
      <c r="BP159" s="432"/>
      <c r="BQ159" s="432"/>
      <c r="BR159" s="432"/>
      <c r="BS159" s="432"/>
      <c r="BT159" s="432"/>
      <c r="BU159" s="432"/>
      <c r="BV159" s="432"/>
      <c r="BW159" s="432"/>
      <c r="BX159" s="432"/>
      <c r="BY159" s="432"/>
      <c r="BZ159" s="432"/>
      <c r="CA159" s="432"/>
    </row>
    <row r="160" spans="1:79" ht="18" hidden="1" customHeight="1" x14ac:dyDescent="0.25">
      <c r="A160" s="222"/>
      <c r="B160" s="222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  <c r="AA160" s="222"/>
      <c r="AB160" s="222"/>
      <c r="AC160" s="222"/>
      <c r="AD160" s="222"/>
      <c r="AE160" s="222"/>
      <c r="AF160" s="222"/>
      <c r="AG160" s="222"/>
      <c r="AH160" s="222"/>
      <c r="AI160" s="222"/>
      <c r="AJ160" s="222"/>
      <c r="AK160" s="222"/>
      <c r="AL160" s="222"/>
      <c r="AM160" s="222"/>
      <c r="AN160" s="222"/>
      <c r="AO160" s="222"/>
      <c r="AP160" s="222"/>
      <c r="AQ160" s="222"/>
      <c r="AR160" s="222"/>
      <c r="AS160" s="222"/>
      <c r="BE160" s="432" t="s">
        <v>126</v>
      </c>
      <c r="BF160" s="432"/>
      <c r="BG160" s="432"/>
      <c r="BH160" s="433">
        <f>280*35</f>
        <v>9800</v>
      </c>
      <c r="BI160" s="433"/>
      <c r="BJ160" s="433"/>
      <c r="BK160" s="433"/>
      <c r="BL160" s="433"/>
      <c r="BM160" s="332" t="s">
        <v>127</v>
      </c>
      <c r="BN160" s="332"/>
      <c r="BO160" s="332"/>
      <c r="BP160" s="332"/>
      <c r="BQ160" s="332"/>
      <c r="BR160" s="332"/>
      <c r="BS160" s="332"/>
      <c r="BT160" s="332"/>
    </row>
    <row r="161" spans="26:79" ht="18" hidden="1" customHeight="1" x14ac:dyDescent="0.2">
      <c r="BE161" s="434">
        <v>0.6</v>
      </c>
      <c r="BF161" s="432"/>
      <c r="BG161" s="432"/>
      <c r="BH161" s="216">
        <f>BH160*BE161</f>
        <v>5880</v>
      </c>
      <c r="BI161" s="432" t="s">
        <v>128</v>
      </c>
      <c r="BJ161" s="432"/>
      <c r="BK161" s="432"/>
      <c r="BL161" s="432"/>
      <c r="BM161" s="432"/>
      <c r="BN161" s="432" t="s">
        <v>129</v>
      </c>
      <c r="BO161" s="432"/>
      <c r="BP161" s="432"/>
      <c r="BQ161" s="432"/>
      <c r="BR161" s="432"/>
      <c r="BS161" s="432"/>
      <c r="BT161" s="432"/>
    </row>
    <row r="162" spans="26:79" ht="15" hidden="1" customHeight="1" x14ac:dyDescent="0.2">
      <c r="BE162" s="432">
        <v>211</v>
      </c>
      <c r="BF162" s="432"/>
      <c r="BG162" s="432"/>
      <c r="BH162" s="216">
        <f>BH161-BH163</f>
        <v>4516.1290322580644</v>
      </c>
      <c r="BI162" s="435">
        <f>BH162*0.1</f>
        <v>451.61290322580646</v>
      </c>
      <c r="BJ162" s="435"/>
      <c r="BK162" s="435"/>
      <c r="BL162" s="435"/>
      <c r="BM162" s="435"/>
      <c r="BN162" s="435">
        <f>BH162-BI162</f>
        <v>4064.516129032258</v>
      </c>
      <c r="BO162" s="432"/>
      <c r="BP162" s="432"/>
      <c r="BQ162" s="432"/>
      <c r="BR162" s="432"/>
      <c r="BS162" s="432"/>
      <c r="BT162" s="432"/>
    </row>
    <row r="163" spans="26:79" ht="15.75" hidden="1" customHeight="1" x14ac:dyDescent="0.2">
      <c r="BE163" s="432">
        <v>213</v>
      </c>
      <c r="BF163" s="432"/>
      <c r="BG163" s="432"/>
      <c r="BH163" s="216">
        <f>BH161*30.2/130.2</f>
        <v>1363.8709677419356</v>
      </c>
      <c r="BI163" s="435">
        <f>BI162*30.2%</f>
        <v>136.38709677419354</v>
      </c>
      <c r="BJ163" s="435"/>
      <c r="BK163" s="435"/>
      <c r="BL163" s="435"/>
      <c r="BM163" s="435"/>
      <c r="BN163" s="435">
        <f>BN162*30.2%</f>
        <v>1227.483870967742</v>
      </c>
      <c r="BO163" s="435"/>
      <c r="BP163" s="435"/>
      <c r="BQ163" s="435"/>
      <c r="BR163" s="435"/>
      <c r="BS163" s="435"/>
      <c r="BT163" s="435"/>
    </row>
    <row r="164" spans="26:79" ht="8.25" hidden="1" customHeight="1" x14ac:dyDescent="0.2">
      <c r="Z164" s="223"/>
      <c r="AA164" s="223"/>
      <c r="AB164" s="223"/>
      <c r="AC164" s="223"/>
      <c r="AD164" s="223"/>
      <c r="AE164" s="223"/>
      <c r="AF164" s="223"/>
      <c r="AG164" s="223"/>
    </row>
    <row r="165" spans="26:79" ht="8.25" hidden="1" customHeight="1" x14ac:dyDescent="0.2"/>
    <row r="166" spans="26:79" ht="8.25" hidden="1" customHeight="1" x14ac:dyDescent="0.2"/>
    <row r="167" spans="26:79" ht="16.5" hidden="1" customHeight="1" x14ac:dyDescent="0.2">
      <c r="BE167" s="432"/>
      <c r="BF167" s="432"/>
      <c r="BG167" s="432"/>
      <c r="BH167" s="432"/>
      <c r="BI167" s="432"/>
      <c r="BJ167" s="432"/>
      <c r="BK167" s="432"/>
      <c r="BL167" s="432"/>
      <c r="BM167" s="432"/>
      <c r="BN167" s="432"/>
      <c r="BO167" s="432"/>
      <c r="BP167" s="432"/>
      <c r="BQ167" s="432"/>
      <c r="BR167" s="432"/>
      <c r="BS167" s="432"/>
      <c r="BT167" s="432"/>
      <c r="BU167" s="432"/>
      <c r="BV167" s="432"/>
      <c r="BW167" s="432"/>
      <c r="BX167" s="432"/>
      <c r="BY167" s="432"/>
      <c r="BZ167" s="432"/>
      <c r="CA167" s="432"/>
    </row>
    <row r="168" spans="26:79" ht="15.75" hidden="1" customHeight="1" x14ac:dyDescent="0.2">
      <c r="BE168" s="432" t="s">
        <v>243</v>
      </c>
      <c r="BF168" s="432"/>
      <c r="BG168" s="432"/>
      <c r="BH168" s="432"/>
      <c r="BI168" s="432"/>
      <c r="BJ168" s="432"/>
      <c r="BK168" s="432"/>
      <c r="BL168" s="432"/>
      <c r="BM168" s="432"/>
      <c r="BN168" s="432"/>
      <c r="BO168" s="432"/>
      <c r="BP168" s="432"/>
      <c r="BQ168" s="432"/>
      <c r="BR168" s="432"/>
      <c r="BS168" s="432"/>
      <c r="BT168" s="432"/>
      <c r="BU168" s="432"/>
      <c r="BV168" s="432"/>
      <c r="BW168" s="432"/>
      <c r="BX168" s="432"/>
      <c r="BY168" s="432"/>
      <c r="BZ168" s="432"/>
      <c r="CA168" s="432"/>
    </row>
    <row r="169" spans="26:79" ht="15" hidden="1" customHeight="1" x14ac:dyDescent="0.2">
      <c r="BE169" s="432" t="s">
        <v>126</v>
      </c>
      <c r="BF169" s="432"/>
      <c r="BG169" s="432"/>
      <c r="BH169" s="433">
        <f>280*29</f>
        <v>8120</v>
      </c>
      <c r="BI169" s="433"/>
      <c r="BJ169" s="433"/>
      <c r="BK169" s="433"/>
      <c r="BL169" s="433"/>
      <c r="BM169" s="332" t="s">
        <v>127</v>
      </c>
      <c r="BN169" s="332"/>
      <c r="BO169" s="332"/>
      <c r="BP169" s="332"/>
      <c r="BQ169" s="332"/>
      <c r="BR169" s="332"/>
      <c r="BS169" s="332"/>
      <c r="BT169" s="332"/>
    </row>
    <row r="170" spans="26:79" ht="14.25" hidden="1" customHeight="1" x14ac:dyDescent="0.2">
      <c r="BE170" s="434">
        <v>0.6</v>
      </c>
      <c r="BF170" s="432"/>
      <c r="BG170" s="432"/>
      <c r="BH170" s="216">
        <f>BH169*BE170</f>
        <v>4872</v>
      </c>
      <c r="BI170" s="432" t="s">
        <v>128</v>
      </c>
      <c r="BJ170" s="432"/>
      <c r="BK170" s="432"/>
      <c r="BL170" s="432"/>
      <c r="BM170" s="432"/>
      <c r="BN170" s="432" t="s">
        <v>129</v>
      </c>
      <c r="BO170" s="432"/>
      <c r="BP170" s="432"/>
      <c r="BQ170" s="432"/>
      <c r="BR170" s="432"/>
      <c r="BS170" s="432"/>
      <c r="BT170" s="432"/>
    </row>
    <row r="171" spans="26:79" ht="14.25" hidden="1" customHeight="1" x14ac:dyDescent="0.2">
      <c r="BE171" s="432">
        <v>211</v>
      </c>
      <c r="BF171" s="432"/>
      <c r="BG171" s="432"/>
      <c r="BH171" s="216">
        <f>BH170-BH172</f>
        <v>3741.9354838709678</v>
      </c>
      <c r="BI171" s="435">
        <f>BH171*0.1</f>
        <v>374.19354838709683</v>
      </c>
      <c r="BJ171" s="435"/>
      <c r="BK171" s="435"/>
      <c r="BL171" s="435"/>
      <c r="BM171" s="435"/>
      <c r="BN171" s="435">
        <f>BH171-BI171</f>
        <v>3367.7419354838712</v>
      </c>
      <c r="BO171" s="432"/>
      <c r="BP171" s="432"/>
      <c r="BQ171" s="432"/>
      <c r="BR171" s="432"/>
      <c r="BS171" s="432"/>
      <c r="BT171" s="432"/>
    </row>
    <row r="172" spans="26:79" ht="16.5" hidden="1" customHeight="1" x14ac:dyDescent="0.2">
      <c r="BE172" s="432">
        <v>213</v>
      </c>
      <c r="BF172" s="432"/>
      <c r="BG172" s="432"/>
      <c r="BH172" s="216">
        <f>BH170*30.2/130.2</f>
        <v>1130.0645161290322</v>
      </c>
      <c r="BI172" s="435">
        <f>BI171*30.2%</f>
        <v>113.00645161290323</v>
      </c>
      <c r="BJ172" s="435"/>
      <c r="BK172" s="435"/>
      <c r="BL172" s="435"/>
      <c r="BM172" s="435"/>
      <c r="BN172" s="435">
        <f>BN171*30.2%</f>
        <v>1017.0580645161291</v>
      </c>
      <c r="BO172" s="435"/>
      <c r="BP172" s="435"/>
      <c r="BQ172" s="435"/>
      <c r="BR172" s="435"/>
      <c r="BS172" s="435"/>
      <c r="BT172" s="435"/>
    </row>
    <row r="173" spans="26:79" ht="8.25" hidden="1" customHeight="1" x14ac:dyDescent="0.2"/>
    <row r="174" spans="26:79" ht="8.25" hidden="1" customHeight="1" x14ac:dyDescent="0.2"/>
    <row r="175" spans="26:79" ht="15" hidden="1" customHeight="1" x14ac:dyDescent="0.2">
      <c r="BE175" s="432" t="s">
        <v>169</v>
      </c>
      <c r="BF175" s="432"/>
      <c r="BG175" s="432"/>
      <c r="BH175" s="432"/>
      <c r="BI175" s="432"/>
      <c r="BJ175" s="432"/>
      <c r="BK175" s="432"/>
      <c r="BL175" s="432"/>
      <c r="BM175" s="432"/>
      <c r="BN175" s="432"/>
      <c r="BO175" s="432"/>
      <c r="BP175" s="432"/>
      <c r="BQ175" s="432"/>
      <c r="BR175" s="432"/>
      <c r="BS175" s="432"/>
      <c r="BT175" s="432"/>
      <c r="BU175" s="432"/>
      <c r="BV175" s="432"/>
      <c r="BW175" s="432"/>
      <c r="BX175" s="432"/>
      <c r="BY175" s="432"/>
      <c r="BZ175" s="432"/>
      <c r="CA175" s="432"/>
    </row>
    <row r="176" spans="26:79" ht="12.75" hidden="1" customHeight="1" x14ac:dyDescent="0.2">
      <c r="BE176" s="432" t="s">
        <v>126</v>
      </c>
      <c r="BF176" s="432"/>
      <c r="BG176" s="432"/>
      <c r="BH176" s="433">
        <f>280*17</f>
        <v>4760</v>
      </c>
      <c r="BI176" s="433"/>
      <c r="BJ176" s="433"/>
      <c r="BK176" s="433"/>
      <c r="BL176" s="433"/>
      <c r="BM176" s="332" t="s">
        <v>127</v>
      </c>
      <c r="BN176" s="332"/>
      <c r="BO176" s="332"/>
      <c r="BP176" s="332"/>
      <c r="BQ176" s="332"/>
      <c r="BR176" s="332"/>
      <c r="BS176" s="332"/>
      <c r="BT176" s="332"/>
    </row>
    <row r="177" spans="57:79" ht="15.75" hidden="1" customHeight="1" x14ac:dyDescent="0.2">
      <c r="BE177" s="434">
        <v>0.6</v>
      </c>
      <c r="BF177" s="432"/>
      <c r="BG177" s="432"/>
      <c r="BH177" s="216">
        <f>BH176*BE177</f>
        <v>2856</v>
      </c>
      <c r="BI177" s="432" t="s">
        <v>128</v>
      </c>
      <c r="BJ177" s="432"/>
      <c r="BK177" s="432"/>
      <c r="BL177" s="432"/>
      <c r="BM177" s="432"/>
      <c r="BN177" s="432" t="s">
        <v>129</v>
      </c>
      <c r="BO177" s="432"/>
      <c r="BP177" s="432"/>
      <c r="BQ177" s="432"/>
      <c r="BR177" s="432"/>
      <c r="BS177" s="432"/>
      <c r="BT177" s="432"/>
    </row>
    <row r="178" spans="57:79" ht="12.75" hidden="1" customHeight="1" x14ac:dyDescent="0.2">
      <c r="BE178" s="432">
        <v>211</v>
      </c>
      <c r="BF178" s="432"/>
      <c r="BG178" s="432"/>
      <c r="BH178" s="216">
        <f>BH177-BH179</f>
        <v>2193.5483870967741</v>
      </c>
      <c r="BI178" s="435">
        <f>BH178*0.1</f>
        <v>219.35483870967744</v>
      </c>
      <c r="BJ178" s="435"/>
      <c r="BK178" s="435"/>
      <c r="BL178" s="435"/>
      <c r="BM178" s="435"/>
      <c r="BN178" s="435">
        <f>BH178-BI178</f>
        <v>1974.1935483870966</v>
      </c>
      <c r="BO178" s="432"/>
      <c r="BP178" s="432"/>
      <c r="BQ178" s="432"/>
      <c r="BR178" s="432"/>
      <c r="BS178" s="432"/>
      <c r="BT178" s="432"/>
    </row>
    <row r="179" spans="57:79" ht="12.75" hidden="1" customHeight="1" x14ac:dyDescent="0.2">
      <c r="BE179" s="432">
        <v>213</v>
      </c>
      <c r="BF179" s="432"/>
      <c r="BG179" s="432"/>
      <c r="BH179" s="216">
        <f>BH177*30.2/130.2</f>
        <v>662.45161290322585</v>
      </c>
      <c r="BI179" s="435">
        <f>BI178*30.2%</f>
        <v>66.245161290322585</v>
      </c>
      <c r="BJ179" s="435"/>
      <c r="BK179" s="435"/>
      <c r="BL179" s="435"/>
      <c r="BM179" s="435"/>
      <c r="BN179" s="435">
        <f>BN178*30.2%</f>
        <v>596.20645161290315</v>
      </c>
      <c r="BO179" s="435"/>
      <c r="BP179" s="435"/>
      <c r="BQ179" s="435"/>
      <c r="BR179" s="435"/>
      <c r="BS179" s="435"/>
      <c r="BT179" s="435"/>
    </row>
    <row r="180" spans="57:79" ht="8.25" hidden="1" customHeight="1" x14ac:dyDescent="0.2"/>
    <row r="181" spans="57:79" ht="8.25" hidden="1" customHeight="1" x14ac:dyDescent="0.2"/>
    <row r="182" spans="57:79" ht="7.5" hidden="1" customHeight="1" x14ac:dyDescent="0.2"/>
    <row r="183" spans="57:79" ht="15.75" hidden="1" customHeight="1" x14ac:dyDescent="0.2">
      <c r="BE183" s="432" t="s">
        <v>175</v>
      </c>
      <c r="BF183" s="432"/>
      <c r="BG183" s="432"/>
      <c r="BH183" s="432"/>
      <c r="BI183" s="432"/>
      <c r="BJ183" s="432"/>
      <c r="BK183" s="432"/>
      <c r="BL183" s="432"/>
      <c r="BM183" s="432"/>
      <c r="BN183" s="432"/>
      <c r="BO183" s="432"/>
      <c r="BP183" s="432"/>
      <c r="BQ183" s="432"/>
      <c r="BR183" s="432"/>
      <c r="BS183" s="432"/>
      <c r="BT183" s="432"/>
      <c r="BU183" s="432"/>
      <c r="BV183" s="432"/>
      <c r="BW183" s="432"/>
      <c r="BX183" s="432"/>
      <c r="BY183" s="432"/>
      <c r="BZ183" s="432"/>
      <c r="CA183" s="432"/>
    </row>
    <row r="184" spans="57:79" ht="15" hidden="1" customHeight="1" x14ac:dyDescent="0.2">
      <c r="BE184" s="432" t="s">
        <v>126</v>
      </c>
      <c r="BF184" s="432"/>
      <c r="BG184" s="432"/>
      <c r="BH184" s="433">
        <f>280*55</f>
        <v>15400</v>
      </c>
      <c r="BI184" s="433"/>
      <c r="BJ184" s="433"/>
      <c r="BK184" s="433"/>
      <c r="BL184" s="433"/>
      <c r="BM184" s="332" t="s">
        <v>127</v>
      </c>
      <c r="BN184" s="332"/>
      <c r="BO184" s="332"/>
      <c r="BP184" s="332"/>
      <c r="BQ184" s="332"/>
      <c r="BR184" s="332"/>
      <c r="BS184" s="332"/>
      <c r="BT184" s="332"/>
    </row>
    <row r="185" spans="57:79" ht="11.25" hidden="1" customHeight="1" x14ac:dyDescent="0.2">
      <c r="BE185" s="434">
        <v>0.6</v>
      </c>
      <c r="BF185" s="432"/>
      <c r="BG185" s="432"/>
      <c r="BH185" s="216">
        <f>BH184*BE185</f>
        <v>9240</v>
      </c>
      <c r="BI185" s="432" t="s">
        <v>128</v>
      </c>
      <c r="BJ185" s="432"/>
      <c r="BK185" s="432"/>
      <c r="BL185" s="432"/>
      <c r="BM185" s="432"/>
      <c r="BN185" s="432" t="s">
        <v>129</v>
      </c>
      <c r="BO185" s="432"/>
      <c r="BP185" s="432"/>
      <c r="BQ185" s="432"/>
      <c r="BR185" s="432"/>
      <c r="BS185" s="432"/>
      <c r="BT185" s="432"/>
    </row>
    <row r="186" spans="57:79" ht="15.75" hidden="1" customHeight="1" x14ac:dyDescent="0.2">
      <c r="BE186" s="432">
        <v>211</v>
      </c>
      <c r="BF186" s="432"/>
      <c r="BG186" s="432"/>
      <c r="BH186" s="216">
        <f>BH185-BH187</f>
        <v>7096.7741935483864</v>
      </c>
      <c r="BI186" s="435">
        <f>BH186*0.1</f>
        <v>709.67741935483866</v>
      </c>
      <c r="BJ186" s="435"/>
      <c r="BK186" s="435"/>
      <c r="BL186" s="435"/>
      <c r="BM186" s="435"/>
      <c r="BN186" s="435">
        <f>BH186-BI186</f>
        <v>6387.0967741935474</v>
      </c>
      <c r="BO186" s="432"/>
      <c r="BP186" s="432"/>
      <c r="BQ186" s="432"/>
      <c r="BR186" s="432"/>
      <c r="BS186" s="432"/>
      <c r="BT186" s="432"/>
    </row>
    <row r="187" spans="57:79" ht="12.75" hidden="1" customHeight="1" x14ac:dyDescent="0.2">
      <c r="BE187" s="432">
        <v>213</v>
      </c>
      <c r="BF187" s="432"/>
      <c r="BG187" s="432"/>
      <c r="BH187" s="216">
        <f>BH185*30.2/130.2</f>
        <v>2143.2258064516132</v>
      </c>
      <c r="BI187" s="435">
        <f>BI186*30.2%</f>
        <v>214.32258064516128</v>
      </c>
      <c r="BJ187" s="435"/>
      <c r="BK187" s="435"/>
      <c r="BL187" s="435"/>
      <c r="BM187" s="435"/>
      <c r="BN187" s="435">
        <f>BN186*30.2%</f>
        <v>1928.9032258064512</v>
      </c>
      <c r="BO187" s="435"/>
      <c r="BP187" s="435"/>
      <c r="BQ187" s="435"/>
      <c r="BR187" s="435"/>
      <c r="BS187" s="435"/>
      <c r="BT187" s="435"/>
    </row>
    <row r="188" spans="57:79" ht="8.25" hidden="1" customHeight="1" x14ac:dyDescent="0.2"/>
    <row r="189" spans="57:79" ht="8.25" hidden="1" customHeight="1" x14ac:dyDescent="0.2"/>
    <row r="190" spans="57:79" ht="16.5" hidden="1" customHeight="1" x14ac:dyDescent="0.2">
      <c r="BE190" s="432" t="s">
        <v>185</v>
      </c>
      <c r="BF190" s="432"/>
      <c r="BG190" s="432"/>
      <c r="BH190" s="432"/>
      <c r="BI190" s="432"/>
      <c r="BJ190" s="432"/>
      <c r="BK190" s="432"/>
      <c r="BL190" s="432"/>
      <c r="BM190" s="432"/>
      <c r="BN190" s="432"/>
      <c r="BO190" s="432"/>
      <c r="BP190" s="432"/>
      <c r="BQ190" s="432"/>
      <c r="BR190" s="432"/>
      <c r="BS190" s="432"/>
      <c r="BT190" s="432"/>
      <c r="BU190" s="432"/>
      <c r="BV190" s="432"/>
      <c r="BW190" s="432"/>
      <c r="BX190" s="432"/>
      <c r="BY190" s="432"/>
      <c r="BZ190" s="432"/>
      <c r="CA190" s="432"/>
    </row>
    <row r="191" spans="57:79" ht="15" hidden="1" customHeight="1" x14ac:dyDescent="0.2">
      <c r="BE191" s="432" t="s">
        <v>126</v>
      </c>
      <c r="BF191" s="432"/>
      <c r="BG191" s="432"/>
      <c r="BH191" s="433">
        <f>280*23</f>
        <v>6440</v>
      </c>
      <c r="BI191" s="433"/>
      <c r="BJ191" s="433"/>
      <c r="BK191" s="433"/>
      <c r="BL191" s="433"/>
      <c r="BM191" s="332" t="s">
        <v>127</v>
      </c>
      <c r="BN191" s="332"/>
      <c r="BO191" s="332"/>
      <c r="BP191" s="332"/>
      <c r="BQ191" s="332"/>
      <c r="BR191" s="332"/>
      <c r="BS191" s="332"/>
      <c r="BT191" s="332"/>
    </row>
    <row r="192" spans="57:79" ht="17.25" hidden="1" customHeight="1" x14ac:dyDescent="0.2">
      <c r="BE192" s="434">
        <v>0.6</v>
      </c>
      <c r="BF192" s="432"/>
      <c r="BG192" s="432"/>
      <c r="BH192" s="216">
        <f>BH191*BE192</f>
        <v>3864</v>
      </c>
      <c r="BI192" s="432" t="s">
        <v>128</v>
      </c>
      <c r="BJ192" s="432"/>
      <c r="BK192" s="432"/>
      <c r="BL192" s="432"/>
      <c r="BM192" s="432"/>
      <c r="BN192" s="432" t="s">
        <v>129</v>
      </c>
      <c r="BO192" s="432"/>
      <c r="BP192" s="432"/>
      <c r="BQ192" s="432"/>
      <c r="BR192" s="432"/>
      <c r="BS192" s="432"/>
      <c r="BT192" s="432"/>
    </row>
    <row r="193" spans="57:79" ht="17.25" hidden="1" customHeight="1" x14ac:dyDescent="0.2">
      <c r="BE193" s="432">
        <v>211</v>
      </c>
      <c r="BF193" s="432"/>
      <c r="BG193" s="432"/>
      <c r="BH193" s="216">
        <f>BH192-BH194</f>
        <v>2967.7419354838707</v>
      </c>
      <c r="BI193" s="435">
        <f>BH193*0.1</f>
        <v>296.77419354838707</v>
      </c>
      <c r="BJ193" s="435"/>
      <c r="BK193" s="435"/>
      <c r="BL193" s="435"/>
      <c r="BM193" s="435"/>
      <c r="BN193" s="435">
        <f>BH193-BI193</f>
        <v>2670.9677419354839</v>
      </c>
      <c r="BO193" s="432"/>
      <c r="BP193" s="432"/>
      <c r="BQ193" s="432"/>
      <c r="BR193" s="432"/>
      <c r="BS193" s="432"/>
      <c r="BT193" s="432"/>
    </row>
    <row r="194" spans="57:79" ht="15.75" hidden="1" customHeight="1" x14ac:dyDescent="0.2">
      <c r="BE194" s="432">
        <v>213</v>
      </c>
      <c r="BF194" s="432"/>
      <c r="BG194" s="432"/>
      <c r="BH194" s="216">
        <f>BH192*30.2/130.2</f>
        <v>896.25806451612914</v>
      </c>
      <c r="BI194" s="435">
        <f>BI193*30.2%</f>
        <v>89.625806451612888</v>
      </c>
      <c r="BJ194" s="435"/>
      <c r="BK194" s="435"/>
      <c r="BL194" s="435"/>
      <c r="BM194" s="435"/>
      <c r="BN194" s="435">
        <f>BN193*30.2%</f>
        <v>806.63225806451612</v>
      </c>
      <c r="BO194" s="435"/>
      <c r="BP194" s="435"/>
      <c r="BQ194" s="435"/>
      <c r="BR194" s="435"/>
      <c r="BS194" s="435"/>
      <c r="BT194" s="435"/>
    </row>
    <row r="195" spans="57:79" ht="8.25" hidden="1" customHeight="1" x14ac:dyDescent="0.2"/>
    <row r="196" spans="57:79" ht="8.25" hidden="1" customHeight="1" x14ac:dyDescent="0.2"/>
    <row r="197" spans="57:79" ht="14.25" hidden="1" customHeight="1" x14ac:dyDescent="0.2">
      <c r="BE197" s="432" t="s">
        <v>272</v>
      </c>
      <c r="BF197" s="432"/>
      <c r="BG197" s="432"/>
      <c r="BH197" s="432"/>
      <c r="BI197" s="432"/>
      <c r="BJ197" s="432"/>
      <c r="BK197" s="432"/>
      <c r="BL197" s="432"/>
      <c r="BM197" s="432"/>
      <c r="BN197" s="432"/>
      <c r="BO197" s="432"/>
      <c r="BP197" s="432"/>
      <c r="BQ197" s="432"/>
      <c r="BR197" s="432"/>
      <c r="BS197" s="432"/>
      <c r="BT197" s="432"/>
      <c r="BU197" s="432"/>
      <c r="BV197" s="432"/>
      <c r="BW197" s="432"/>
      <c r="BX197" s="432"/>
      <c r="BY197" s="432"/>
      <c r="BZ197" s="432"/>
      <c r="CA197" s="432"/>
    </row>
    <row r="198" spans="57:79" ht="18.75" hidden="1" customHeight="1" x14ac:dyDescent="0.2">
      <c r="BE198" s="432" t="s">
        <v>126</v>
      </c>
      <c r="BF198" s="432"/>
      <c r="BG198" s="432"/>
      <c r="BH198" s="433">
        <f>280*20</f>
        <v>5600</v>
      </c>
      <c r="BI198" s="433"/>
      <c r="BJ198" s="433"/>
      <c r="BK198" s="433"/>
      <c r="BL198" s="433"/>
      <c r="BM198" s="332" t="s">
        <v>127</v>
      </c>
      <c r="BN198" s="332"/>
      <c r="BO198" s="332"/>
      <c r="BP198" s="332"/>
      <c r="BQ198" s="332"/>
      <c r="BR198" s="332"/>
      <c r="BS198" s="332"/>
      <c r="BT198" s="332"/>
    </row>
    <row r="199" spans="57:79" ht="18.75" hidden="1" customHeight="1" x14ac:dyDescent="0.2">
      <c r="BE199" s="434">
        <v>0.6</v>
      </c>
      <c r="BF199" s="432"/>
      <c r="BG199" s="432"/>
      <c r="BH199" s="216">
        <f>BH198*BE199</f>
        <v>3360</v>
      </c>
      <c r="BI199" s="432" t="s">
        <v>128</v>
      </c>
      <c r="BJ199" s="432"/>
      <c r="BK199" s="432"/>
      <c r="BL199" s="432"/>
      <c r="BM199" s="432"/>
      <c r="BN199" s="432" t="s">
        <v>129</v>
      </c>
      <c r="BO199" s="432"/>
      <c r="BP199" s="432"/>
      <c r="BQ199" s="432"/>
      <c r="BR199" s="432"/>
      <c r="BS199" s="432"/>
      <c r="BT199" s="432"/>
    </row>
    <row r="200" spans="57:79" ht="17.25" hidden="1" customHeight="1" x14ac:dyDescent="0.2">
      <c r="BE200" s="432">
        <v>211</v>
      </c>
      <c r="BF200" s="432"/>
      <c r="BG200" s="432"/>
      <c r="BH200" s="216">
        <f>BH199-BH201</f>
        <v>2580.6451612903224</v>
      </c>
      <c r="BI200" s="435">
        <f>BH200*0.1</f>
        <v>258.06451612903226</v>
      </c>
      <c r="BJ200" s="435"/>
      <c r="BK200" s="435"/>
      <c r="BL200" s="435"/>
      <c r="BM200" s="435"/>
      <c r="BN200" s="435">
        <f>BH200-BI200</f>
        <v>2322.5806451612902</v>
      </c>
      <c r="BO200" s="432"/>
      <c r="BP200" s="432"/>
      <c r="BQ200" s="432"/>
      <c r="BR200" s="432"/>
      <c r="BS200" s="432"/>
      <c r="BT200" s="432"/>
    </row>
    <row r="201" spans="57:79" ht="18" hidden="1" customHeight="1" x14ac:dyDescent="0.2">
      <c r="BE201" s="432">
        <v>213</v>
      </c>
      <c r="BF201" s="432"/>
      <c r="BG201" s="432"/>
      <c r="BH201" s="216">
        <f>BH199*30.2/130.2</f>
        <v>779.35483870967744</v>
      </c>
      <c r="BI201" s="435">
        <f>BI200*30.2%</f>
        <v>77.935483870967744</v>
      </c>
      <c r="BJ201" s="435"/>
      <c r="BK201" s="435"/>
      <c r="BL201" s="435"/>
      <c r="BM201" s="435"/>
      <c r="BN201" s="435">
        <f>BN200*30.2%</f>
        <v>701.41935483870964</v>
      </c>
      <c r="BO201" s="435"/>
      <c r="BP201" s="435"/>
      <c r="BQ201" s="435"/>
      <c r="BR201" s="435"/>
      <c r="BS201" s="435"/>
      <c r="BT201" s="435"/>
    </row>
    <row r="202" spans="57:79" ht="8.25" hidden="1" customHeight="1" x14ac:dyDescent="0.2"/>
    <row r="203" spans="57:79" ht="8.25" hidden="1" customHeight="1" x14ac:dyDescent="0.2"/>
    <row r="204" spans="57:79" ht="15" hidden="1" customHeight="1" x14ac:dyDescent="0.2">
      <c r="BE204" s="432" t="s">
        <v>278</v>
      </c>
      <c r="BF204" s="432"/>
      <c r="BG204" s="432"/>
      <c r="BH204" s="432"/>
      <c r="BI204" s="432"/>
      <c r="BJ204" s="432"/>
      <c r="BK204" s="432"/>
      <c r="BL204" s="432"/>
      <c r="BM204" s="432"/>
      <c r="BN204" s="432"/>
      <c r="BO204" s="432"/>
      <c r="BP204" s="432"/>
      <c r="BQ204" s="432"/>
      <c r="BR204" s="432"/>
      <c r="BS204" s="432"/>
      <c r="BT204" s="432"/>
      <c r="BU204" s="432"/>
      <c r="BV204" s="432"/>
      <c r="BW204" s="432"/>
      <c r="BX204" s="432"/>
      <c r="BY204" s="432"/>
      <c r="BZ204" s="432"/>
      <c r="CA204" s="432"/>
    </row>
    <row r="205" spans="57:79" ht="15" hidden="1" customHeight="1" x14ac:dyDescent="0.2">
      <c r="BE205" s="432" t="s">
        <v>126</v>
      </c>
      <c r="BF205" s="432"/>
      <c r="BG205" s="432"/>
      <c r="BH205" s="433">
        <f>280*39</f>
        <v>10920</v>
      </c>
      <c r="BI205" s="433"/>
      <c r="BJ205" s="433"/>
      <c r="BK205" s="433"/>
      <c r="BL205" s="433"/>
      <c r="BM205" s="332" t="s">
        <v>127</v>
      </c>
      <c r="BN205" s="332"/>
      <c r="BO205" s="332"/>
      <c r="BP205" s="332"/>
      <c r="BQ205" s="332"/>
      <c r="BR205" s="332"/>
      <c r="BS205" s="332"/>
      <c r="BT205" s="332"/>
    </row>
    <row r="206" spans="57:79" ht="9" hidden="1" customHeight="1" x14ac:dyDescent="0.2">
      <c r="BE206" s="434">
        <v>0.6</v>
      </c>
      <c r="BF206" s="432"/>
      <c r="BG206" s="432"/>
      <c r="BH206" s="216">
        <f>BH205*BE206</f>
        <v>6552</v>
      </c>
      <c r="BI206" s="432" t="s">
        <v>128</v>
      </c>
      <c r="BJ206" s="432"/>
      <c r="BK206" s="432"/>
      <c r="BL206" s="432"/>
      <c r="BM206" s="432"/>
      <c r="BN206" s="432" t="s">
        <v>129</v>
      </c>
      <c r="BO206" s="432"/>
      <c r="BP206" s="432"/>
      <c r="BQ206" s="432"/>
      <c r="BR206" s="432"/>
      <c r="BS206" s="432"/>
      <c r="BT206" s="432"/>
    </row>
    <row r="207" spans="57:79" ht="15" hidden="1" customHeight="1" x14ac:dyDescent="0.2">
      <c r="BE207" s="432">
        <v>211</v>
      </c>
      <c r="BF207" s="432"/>
      <c r="BG207" s="432"/>
      <c r="BH207" s="216">
        <f>BH206-BH208</f>
        <v>5032.2580645161288</v>
      </c>
      <c r="BI207" s="435">
        <f>BH207*0.1</f>
        <v>503.22580645161293</v>
      </c>
      <c r="BJ207" s="435"/>
      <c r="BK207" s="435"/>
      <c r="BL207" s="435"/>
      <c r="BM207" s="435"/>
      <c r="BN207" s="435">
        <f>BH207-BI207</f>
        <v>4529.0322580645161</v>
      </c>
      <c r="BO207" s="432"/>
      <c r="BP207" s="432"/>
      <c r="BQ207" s="432"/>
      <c r="BR207" s="432"/>
      <c r="BS207" s="432"/>
      <c r="BT207" s="432"/>
    </row>
    <row r="208" spans="57:79" ht="15" hidden="1" customHeight="1" x14ac:dyDescent="0.2">
      <c r="BE208" s="432">
        <v>213</v>
      </c>
      <c r="BF208" s="432"/>
      <c r="BG208" s="432"/>
      <c r="BH208" s="216">
        <f>BH206*30.2/130.2</f>
        <v>1519.741935483871</v>
      </c>
      <c r="BI208" s="435">
        <f>BI207*30.2%</f>
        <v>151.97419354838709</v>
      </c>
      <c r="BJ208" s="435"/>
      <c r="BK208" s="435"/>
      <c r="BL208" s="435"/>
      <c r="BM208" s="435"/>
      <c r="BN208" s="435">
        <f>BN207*30.2%</f>
        <v>1367.7677419354839</v>
      </c>
      <c r="BO208" s="435"/>
      <c r="BP208" s="435"/>
      <c r="BQ208" s="435"/>
      <c r="BR208" s="435"/>
      <c r="BS208" s="435"/>
      <c r="BT208" s="435"/>
    </row>
    <row r="209" spans="57:79" ht="15" hidden="1" customHeight="1" x14ac:dyDescent="0.2"/>
    <row r="210" spans="57:79" ht="8.25" hidden="1" customHeight="1" x14ac:dyDescent="0.2"/>
    <row r="211" spans="57:79" ht="15" hidden="1" customHeight="1" x14ac:dyDescent="0.2">
      <c r="BE211" s="432" t="s">
        <v>290</v>
      </c>
      <c r="BF211" s="432"/>
      <c r="BG211" s="432"/>
      <c r="BH211" s="432"/>
      <c r="BI211" s="432"/>
      <c r="BJ211" s="432"/>
      <c r="BK211" s="432"/>
      <c r="BL211" s="432"/>
      <c r="BM211" s="432"/>
      <c r="BN211" s="432"/>
      <c r="BO211" s="432"/>
      <c r="BP211" s="432"/>
      <c r="BQ211" s="432"/>
      <c r="BR211" s="432"/>
      <c r="BS211" s="432"/>
      <c r="BT211" s="432"/>
      <c r="BU211" s="432"/>
      <c r="BV211" s="432"/>
      <c r="BW211" s="432"/>
      <c r="BX211" s="432"/>
      <c r="BY211" s="432"/>
      <c r="BZ211" s="432"/>
      <c r="CA211" s="432"/>
    </row>
    <row r="212" spans="57:79" ht="15" hidden="1" customHeight="1" x14ac:dyDescent="0.2">
      <c r="BE212" s="432" t="s">
        <v>126</v>
      </c>
      <c r="BF212" s="432"/>
      <c r="BG212" s="432"/>
      <c r="BH212" s="433">
        <f>280*28</f>
        <v>7840</v>
      </c>
      <c r="BI212" s="433"/>
      <c r="BJ212" s="433"/>
      <c r="BK212" s="433"/>
      <c r="BL212" s="433"/>
      <c r="BM212" s="332" t="s">
        <v>127</v>
      </c>
      <c r="BN212" s="332"/>
      <c r="BO212" s="332"/>
      <c r="BP212" s="332"/>
      <c r="BQ212" s="332"/>
      <c r="BR212" s="332"/>
      <c r="BS212" s="332"/>
      <c r="BT212" s="332"/>
    </row>
    <row r="213" spans="57:79" ht="15" hidden="1" customHeight="1" x14ac:dyDescent="0.2">
      <c r="BE213" s="434">
        <v>0.6</v>
      </c>
      <c r="BF213" s="432"/>
      <c r="BG213" s="432"/>
      <c r="BH213" s="216">
        <f>BH212*BE213</f>
        <v>4704</v>
      </c>
      <c r="BI213" s="432" t="s">
        <v>128</v>
      </c>
      <c r="BJ213" s="432"/>
      <c r="BK213" s="432"/>
      <c r="BL213" s="432"/>
      <c r="BM213" s="432"/>
      <c r="BN213" s="432" t="s">
        <v>129</v>
      </c>
      <c r="BO213" s="432"/>
      <c r="BP213" s="432"/>
      <c r="BQ213" s="432"/>
      <c r="BR213" s="432"/>
      <c r="BS213" s="432"/>
      <c r="BT213" s="432"/>
    </row>
    <row r="214" spans="57:79" ht="15" hidden="1" customHeight="1" x14ac:dyDescent="0.2">
      <c r="BE214" s="432">
        <v>211</v>
      </c>
      <c r="BF214" s="432"/>
      <c r="BG214" s="432"/>
      <c r="BH214" s="216">
        <f>BH213-BH215</f>
        <v>3612.9032258064517</v>
      </c>
      <c r="BI214" s="435">
        <f>BH214*0.1</f>
        <v>361.29032258064518</v>
      </c>
      <c r="BJ214" s="435"/>
      <c r="BK214" s="435"/>
      <c r="BL214" s="435"/>
      <c r="BM214" s="435"/>
      <c r="BN214" s="435">
        <f>BH214-BI214</f>
        <v>3251.6129032258063</v>
      </c>
      <c r="BO214" s="432"/>
      <c r="BP214" s="432"/>
      <c r="BQ214" s="432"/>
      <c r="BR214" s="432"/>
      <c r="BS214" s="432"/>
      <c r="BT214" s="432"/>
    </row>
    <row r="215" spans="57:79" ht="15" hidden="1" customHeight="1" x14ac:dyDescent="0.2">
      <c r="BE215" s="432">
        <v>213</v>
      </c>
      <c r="BF215" s="432"/>
      <c r="BG215" s="432"/>
      <c r="BH215" s="216">
        <f>BH213*30.2/130.2</f>
        <v>1091.0967741935483</v>
      </c>
      <c r="BI215" s="435">
        <f>BI214*30.2%</f>
        <v>109.10967741935484</v>
      </c>
      <c r="BJ215" s="435"/>
      <c r="BK215" s="435"/>
      <c r="BL215" s="435"/>
      <c r="BM215" s="435"/>
      <c r="BN215" s="435">
        <f>BN214*30.2%</f>
        <v>981.98709677419345</v>
      </c>
      <c r="BO215" s="435"/>
      <c r="BP215" s="435"/>
      <c r="BQ215" s="435"/>
      <c r="BR215" s="435"/>
      <c r="BS215" s="435"/>
      <c r="BT215" s="435"/>
    </row>
    <row r="216" spans="57:79" ht="15" hidden="1" customHeight="1" x14ac:dyDescent="0.2"/>
    <row r="217" spans="57:79" ht="8.25" hidden="1" customHeight="1" x14ac:dyDescent="0.2"/>
    <row r="218" spans="57:79" ht="15.75" hidden="1" customHeight="1" x14ac:dyDescent="0.2">
      <c r="BE218" s="432" t="s">
        <v>296</v>
      </c>
      <c r="BF218" s="432"/>
      <c r="BG218" s="432"/>
      <c r="BH218" s="432"/>
      <c r="BI218" s="432"/>
      <c r="BJ218" s="432"/>
      <c r="BK218" s="432"/>
      <c r="BL218" s="432"/>
      <c r="BM218" s="432"/>
      <c r="BN218" s="432"/>
      <c r="BO218" s="432"/>
      <c r="BP218" s="432"/>
      <c r="BQ218" s="432"/>
      <c r="BR218" s="432"/>
      <c r="BS218" s="432"/>
      <c r="BT218" s="432"/>
      <c r="BU218" s="432"/>
      <c r="BV218" s="432"/>
      <c r="BW218" s="432"/>
      <c r="BX218" s="432"/>
      <c r="BY218" s="432"/>
      <c r="BZ218" s="432"/>
      <c r="CA218" s="432"/>
    </row>
    <row r="219" spans="57:79" ht="15.75" hidden="1" customHeight="1" x14ac:dyDescent="0.2">
      <c r="BE219" s="432" t="s">
        <v>126</v>
      </c>
      <c r="BF219" s="432"/>
      <c r="BG219" s="432"/>
      <c r="BH219" s="433">
        <f>280*27</f>
        <v>7560</v>
      </c>
      <c r="BI219" s="433"/>
      <c r="BJ219" s="433"/>
      <c r="BK219" s="433"/>
      <c r="BL219" s="433"/>
      <c r="BM219" s="332" t="s">
        <v>127</v>
      </c>
      <c r="BN219" s="332"/>
      <c r="BO219" s="332"/>
      <c r="BP219" s="332"/>
      <c r="BQ219" s="332"/>
      <c r="BR219" s="332"/>
      <c r="BS219" s="332"/>
      <c r="BT219" s="332"/>
    </row>
    <row r="220" spans="57:79" ht="15.75" hidden="1" customHeight="1" x14ac:dyDescent="0.2">
      <c r="BE220" s="434">
        <v>0.6</v>
      </c>
      <c r="BF220" s="432"/>
      <c r="BG220" s="432"/>
      <c r="BH220" s="216">
        <f>BH219*BE220</f>
        <v>4536</v>
      </c>
      <c r="BI220" s="432" t="s">
        <v>128</v>
      </c>
      <c r="BJ220" s="432"/>
      <c r="BK220" s="432"/>
      <c r="BL220" s="432"/>
      <c r="BM220" s="432"/>
      <c r="BN220" s="432" t="s">
        <v>129</v>
      </c>
      <c r="BO220" s="432"/>
      <c r="BP220" s="432"/>
      <c r="BQ220" s="432"/>
      <c r="BR220" s="432"/>
      <c r="BS220" s="432"/>
      <c r="BT220" s="432"/>
    </row>
    <row r="221" spans="57:79" ht="15.75" hidden="1" customHeight="1" x14ac:dyDescent="0.2">
      <c r="BE221" s="432">
        <v>211</v>
      </c>
      <c r="BF221" s="432"/>
      <c r="BG221" s="432"/>
      <c r="BH221" s="216">
        <f>BH220-BH222</f>
        <v>3483.8709677419356</v>
      </c>
      <c r="BI221" s="435">
        <f>BH221*0.1</f>
        <v>348.38709677419359</v>
      </c>
      <c r="BJ221" s="435"/>
      <c r="BK221" s="435"/>
      <c r="BL221" s="435"/>
      <c r="BM221" s="435"/>
      <c r="BN221" s="435">
        <f>BH221-BI221</f>
        <v>3135.483870967742</v>
      </c>
      <c r="BO221" s="432"/>
      <c r="BP221" s="432"/>
      <c r="BQ221" s="432"/>
      <c r="BR221" s="432"/>
      <c r="BS221" s="432"/>
      <c r="BT221" s="432"/>
    </row>
    <row r="222" spans="57:79" ht="15.75" hidden="1" customHeight="1" x14ac:dyDescent="0.2">
      <c r="BE222" s="432">
        <v>213</v>
      </c>
      <c r="BF222" s="432"/>
      <c r="BG222" s="432"/>
      <c r="BH222" s="216">
        <f>BH220*30.2/130.2</f>
        <v>1052.1290322580644</v>
      </c>
      <c r="BI222" s="435">
        <f>BI221*30.2%</f>
        <v>105.21290322580646</v>
      </c>
      <c r="BJ222" s="435"/>
      <c r="BK222" s="435"/>
      <c r="BL222" s="435"/>
      <c r="BM222" s="435"/>
      <c r="BN222" s="435">
        <f>BN221*30.2%</f>
        <v>946.91612903225803</v>
      </c>
      <c r="BO222" s="435"/>
      <c r="BP222" s="435"/>
      <c r="BQ222" s="435"/>
      <c r="BR222" s="435"/>
      <c r="BS222" s="435"/>
      <c r="BT222" s="435"/>
    </row>
    <row r="223" spans="57:79" ht="15.75" hidden="1" customHeight="1" x14ac:dyDescent="0.2"/>
    <row r="224" spans="57:79" ht="8.25" hidden="1" customHeight="1" x14ac:dyDescent="0.2"/>
    <row r="225" spans="57:79" ht="15" hidden="1" customHeight="1" x14ac:dyDescent="0.2">
      <c r="BE225" s="432" t="s">
        <v>302</v>
      </c>
      <c r="BF225" s="432"/>
      <c r="BG225" s="432"/>
      <c r="BH225" s="432"/>
      <c r="BI225" s="432"/>
      <c r="BJ225" s="432"/>
      <c r="BK225" s="432"/>
      <c r="BL225" s="432"/>
      <c r="BM225" s="432"/>
      <c r="BN225" s="432"/>
      <c r="BO225" s="432"/>
      <c r="BP225" s="432"/>
      <c r="BQ225" s="432"/>
      <c r="BR225" s="432"/>
      <c r="BS225" s="432"/>
      <c r="BT225" s="432"/>
      <c r="BU225" s="432"/>
      <c r="BV225" s="432"/>
      <c r="BW225" s="432"/>
      <c r="BX225" s="432"/>
      <c r="BY225" s="432"/>
      <c r="BZ225" s="432"/>
      <c r="CA225" s="432"/>
    </row>
    <row r="226" spans="57:79" ht="15" hidden="1" customHeight="1" x14ac:dyDescent="0.2">
      <c r="BE226" s="432" t="s">
        <v>126</v>
      </c>
      <c r="BF226" s="432"/>
      <c r="BG226" s="432"/>
      <c r="BH226" s="433">
        <f>280*16</f>
        <v>4480</v>
      </c>
      <c r="BI226" s="433"/>
      <c r="BJ226" s="433"/>
      <c r="BK226" s="433"/>
      <c r="BL226" s="433"/>
      <c r="BM226" s="332" t="s">
        <v>127</v>
      </c>
      <c r="BN226" s="332"/>
      <c r="BO226" s="332"/>
      <c r="BP226" s="332"/>
      <c r="BQ226" s="332"/>
      <c r="BR226" s="332"/>
      <c r="BS226" s="332"/>
      <c r="BT226" s="332"/>
    </row>
    <row r="227" spans="57:79" ht="15" hidden="1" customHeight="1" x14ac:dyDescent="0.2">
      <c r="BE227" s="434">
        <v>0.6</v>
      </c>
      <c r="BF227" s="432"/>
      <c r="BG227" s="432"/>
      <c r="BH227" s="216">
        <f>BH226*BE227</f>
        <v>2688</v>
      </c>
      <c r="BI227" s="432" t="s">
        <v>128</v>
      </c>
      <c r="BJ227" s="432"/>
      <c r="BK227" s="432"/>
      <c r="BL227" s="432"/>
      <c r="BM227" s="432"/>
      <c r="BN227" s="432" t="s">
        <v>129</v>
      </c>
      <c r="BO227" s="432"/>
      <c r="BP227" s="432"/>
      <c r="BQ227" s="432"/>
      <c r="BR227" s="432"/>
      <c r="BS227" s="432"/>
      <c r="BT227" s="432"/>
    </row>
    <row r="228" spans="57:79" ht="15" hidden="1" customHeight="1" x14ac:dyDescent="0.2">
      <c r="BE228" s="432">
        <v>211</v>
      </c>
      <c r="BF228" s="432"/>
      <c r="BG228" s="432"/>
      <c r="BH228" s="216">
        <f>BH227-BH229</f>
        <v>2064.516129032258</v>
      </c>
      <c r="BI228" s="435">
        <f>BH228*0.1</f>
        <v>206.45161290322582</v>
      </c>
      <c r="BJ228" s="435"/>
      <c r="BK228" s="435"/>
      <c r="BL228" s="435"/>
      <c r="BM228" s="435"/>
      <c r="BN228" s="435">
        <f>BH228-BI228</f>
        <v>1858.0645161290322</v>
      </c>
      <c r="BO228" s="432"/>
      <c r="BP228" s="432"/>
      <c r="BQ228" s="432"/>
      <c r="BR228" s="432"/>
      <c r="BS228" s="432"/>
      <c r="BT228" s="432"/>
    </row>
    <row r="229" spans="57:79" ht="15" hidden="1" customHeight="1" x14ac:dyDescent="0.2">
      <c r="BE229" s="432">
        <v>213</v>
      </c>
      <c r="BF229" s="432"/>
      <c r="BG229" s="432"/>
      <c r="BH229" s="216">
        <f>BH227*30.2/130.2</f>
        <v>623.48387096774195</v>
      </c>
      <c r="BI229" s="435">
        <f>BI228*30.2%</f>
        <v>62.348387096774196</v>
      </c>
      <c r="BJ229" s="435"/>
      <c r="BK229" s="435"/>
      <c r="BL229" s="435"/>
      <c r="BM229" s="435"/>
      <c r="BN229" s="435">
        <f>BN228*30.2%</f>
        <v>561.13548387096773</v>
      </c>
      <c r="BO229" s="435"/>
      <c r="BP229" s="435"/>
      <c r="BQ229" s="435"/>
      <c r="BR229" s="435"/>
      <c r="BS229" s="435"/>
      <c r="BT229" s="435"/>
    </row>
    <row r="230" spans="57:79" ht="12" hidden="1" x14ac:dyDescent="0.2">
      <c r="BE230" s="432" t="s">
        <v>332</v>
      </c>
      <c r="BF230" s="432"/>
      <c r="BG230" s="432"/>
      <c r="BH230" s="432"/>
      <c r="BI230" s="432"/>
      <c r="BJ230" s="432"/>
      <c r="BK230" s="432"/>
      <c r="BL230" s="432"/>
      <c r="BM230" s="432"/>
      <c r="BN230" s="432"/>
      <c r="BO230" s="432"/>
      <c r="BP230" s="432"/>
      <c r="BQ230" s="432"/>
      <c r="BR230" s="432"/>
      <c r="BS230" s="432"/>
      <c r="BT230" s="432"/>
      <c r="BU230" s="432"/>
      <c r="BV230" s="432"/>
      <c r="BW230" s="432"/>
      <c r="BX230" s="432"/>
      <c r="BY230" s="432"/>
      <c r="BZ230" s="432"/>
      <c r="CA230" s="432"/>
    </row>
    <row r="231" spans="57:79" ht="12" hidden="1" x14ac:dyDescent="0.2">
      <c r="BE231" s="432" t="s">
        <v>126</v>
      </c>
      <c r="BF231" s="432"/>
      <c r="BG231" s="432"/>
      <c r="BH231" s="433">
        <f>280*30</f>
        <v>8400</v>
      </c>
      <c r="BI231" s="433"/>
      <c r="BJ231" s="433"/>
      <c r="BK231" s="433"/>
      <c r="BL231" s="433"/>
      <c r="BM231" s="332" t="s">
        <v>127</v>
      </c>
      <c r="BN231" s="332"/>
      <c r="BO231" s="332"/>
      <c r="BP231" s="332"/>
      <c r="BQ231" s="332"/>
      <c r="BR231" s="332"/>
      <c r="BS231" s="332"/>
      <c r="BT231" s="332"/>
    </row>
    <row r="232" spans="57:79" ht="12" hidden="1" x14ac:dyDescent="0.2">
      <c r="BE232" s="434">
        <v>0.6</v>
      </c>
      <c r="BF232" s="432"/>
      <c r="BG232" s="432"/>
      <c r="BH232" s="216">
        <f>BH231*BE232</f>
        <v>5040</v>
      </c>
      <c r="BI232" s="432" t="s">
        <v>128</v>
      </c>
      <c r="BJ232" s="432"/>
      <c r="BK232" s="432"/>
      <c r="BL232" s="432"/>
      <c r="BM232" s="432"/>
      <c r="BN232" s="432" t="s">
        <v>129</v>
      </c>
      <c r="BO232" s="432"/>
      <c r="BP232" s="432"/>
      <c r="BQ232" s="432"/>
      <c r="BR232" s="432"/>
      <c r="BS232" s="432"/>
      <c r="BT232" s="432"/>
    </row>
    <row r="233" spans="57:79" ht="12" hidden="1" x14ac:dyDescent="0.2">
      <c r="BE233" s="432">
        <v>211</v>
      </c>
      <c r="BF233" s="432"/>
      <c r="BG233" s="432"/>
      <c r="BH233" s="216">
        <f>BH232-BH234</f>
        <v>3870.9677419354839</v>
      </c>
      <c r="BI233" s="435">
        <f>BH233*0.1</f>
        <v>387.09677419354841</v>
      </c>
      <c r="BJ233" s="435"/>
      <c r="BK233" s="435"/>
      <c r="BL233" s="435"/>
      <c r="BM233" s="435"/>
      <c r="BN233" s="435">
        <f>BH233-BI233</f>
        <v>3483.8709677419356</v>
      </c>
      <c r="BO233" s="432"/>
      <c r="BP233" s="432"/>
      <c r="BQ233" s="432"/>
      <c r="BR233" s="432"/>
      <c r="BS233" s="432"/>
      <c r="BT233" s="432"/>
    </row>
    <row r="234" spans="57:79" ht="12" hidden="1" x14ac:dyDescent="0.2">
      <c r="BE234" s="432">
        <v>213</v>
      </c>
      <c r="BF234" s="432"/>
      <c r="BG234" s="432"/>
      <c r="BH234" s="216">
        <f>BH232*30.2/130.2</f>
        <v>1169.0322580645163</v>
      </c>
      <c r="BI234" s="435">
        <f>BI233*30.2%</f>
        <v>116.90322580645162</v>
      </c>
      <c r="BJ234" s="435"/>
      <c r="BK234" s="435"/>
      <c r="BL234" s="435"/>
      <c r="BM234" s="435"/>
      <c r="BN234" s="435">
        <f>BN233*30.2%</f>
        <v>1052.1290322580646</v>
      </c>
      <c r="BO234" s="435"/>
      <c r="BP234" s="435"/>
      <c r="BQ234" s="435"/>
      <c r="BR234" s="435"/>
      <c r="BS234" s="435"/>
      <c r="BT234" s="435"/>
    </row>
    <row r="235" spans="57:79" ht="8.25" hidden="1" customHeight="1" x14ac:dyDescent="0.2"/>
    <row r="236" spans="57:79" ht="8.25" hidden="1" customHeight="1" x14ac:dyDescent="0.2"/>
    <row r="237" spans="57:79" ht="12" hidden="1" x14ac:dyDescent="0.2">
      <c r="BE237" s="432" t="s">
        <v>362</v>
      </c>
      <c r="BF237" s="432"/>
      <c r="BG237" s="432"/>
      <c r="BH237" s="432"/>
      <c r="BI237" s="432"/>
      <c r="BJ237" s="432"/>
      <c r="BK237" s="432"/>
      <c r="BL237" s="432"/>
      <c r="BM237" s="432"/>
      <c r="BN237" s="432"/>
      <c r="BO237" s="432"/>
      <c r="BP237" s="432"/>
      <c r="BQ237" s="432"/>
      <c r="BR237" s="432"/>
      <c r="BS237" s="432"/>
      <c r="BT237" s="432"/>
      <c r="BU237" s="432"/>
      <c r="BV237" s="432"/>
      <c r="BW237" s="432"/>
      <c r="BX237" s="432"/>
      <c r="BY237" s="432"/>
      <c r="BZ237" s="432"/>
      <c r="CA237" s="432"/>
    </row>
    <row r="238" spans="57:79" ht="12" hidden="1" x14ac:dyDescent="0.2">
      <c r="BE238" s="432" t="s">
        <v>126</v>
      </c>
      <c r="BF238" s="432"/>
      <c r="BG238" s="432"/>
      <c r="BH238" s="433">
        <f>280*28</f>
        <v>7840</v>
      </c>
      <c r="BI238" s="433"/>
      <c r="BJ238" s="433"/>
      <c r="BK238" s="433"/>
      <c r="BL238" s="433"/>
      <c r="BM238" s="332" t="s">
        <v>127</v>
      </c>
      <c r="BN238" s="332"/>
      <c r="BO238" s="332"/>
      <c r="BP238" s="332"/>
      <c r="BQ238" s="332"/>
      <c r="BR238" s="332"/>
      <c r="BS238" s="332"/>
      <c r="BT238" s="332"/>
    </row>
    <row r="239" spans="57:79" ht="12" hidden="1" x14ac:dyDescent="0.2">
      <c r="BE239" s="434">
        <v>0.6</v>
      </c>
      <c r="BF239" s="432"/>
      <c r="BG239" s="432"/>
      <c r="BH239" s="216">
        <f>BH238*BE239</f>
        <v>4704</v>
      </c>
      <c r="BI239" s="432" t="s">
        <v>128</v>
      </c>
      <c r="BJ239" s="432"/>
      <c r="BK239" s="432"/>
      <c r="BL239" s="432"/>
      <c r="BM239" s="432"/>
      <c r="BN239" s="432" t="s">
        <v>129</v>
      </c>
      <c r="BO239" s="432"/>
      <c r="BP239" s="432"/>
      <c r="BQ239" s="432"/>
      <c r="BR239" s="432"/>
      <c r="BS239" s="432"/>
      <c r="BT239" s="432"/>
    </row>
    <row r="240" spans="57:79" ht="12" hidden="1" x14ac:dyDescent="0.2">
      <c r="BE240" s="432">
        <v>211</v>
      </c>
      <c r="BF240" s="432"/>
      <c r="BG240" s="432"/>
      <c r="BH240" s="216">
        <f>BH239-BH241</f>
        <v>3612.9032258064517</v>
      </c>
      <c r="BI240" s="435">
        <f>BH240*0.1</f>
        <v>361.29032258064518</v>
      </c>
      <c r="BJ240" s="435"/>
      <c r="BK240" s="435"/>
      <c r="BL240" s="435"/>
      <c r="BM240" s="435"/>
      <c r="BN240" s="435">
        <f>BH240-BI240</f>
        <v>3251.6129032258063</v>
      </c>
      <c r="BO240" s="432"/>
      <c r="BP240" s="432"/>
      <c r="BQ240" s="432"/>
      <c r="BR240" s="432"/>
      <c r="BS240" s="432"/>
      <c r="BT240" s="432"/>
    </row>
    <row r="241" spans="57:97" ht="12" hidden="1" x14ac:dyDescent="0.2">
      <c r="BE241" s="432">
        <v>213</v>
      </c>
      <c r="BF241" s="432"/>
      <c r="BG241" s="432"/>
      <c r="BH241" s="216">
        <f>BH239*30.2/130.2</f>
        <v>1091.0967741935483</v>
      </c>
      <c r="BI241" s="435">
        <f>BI240*30.2%</f>
        <v>109.10967741935484</v>
      </c>
      <c r="BJ241" s="435"/>
      <c r="BK241" s="435"/>
      <c r="BL241" s="435"/>
      <c r="BM241" s="435"/>
      <c r="BN241" s="435">
        <f>BN240*30.2%</f>
        <v>981.98709677419345</v>
      </c>
      <c r="BO241" s="435"/>
      <c r="BP241" s="435"/>
      <c r="BQ241" s="435"/>
      <c r="BR241" s="435"/>
      <c r="BS241" s="435"/>
      <c r="BT241" s="435"/>
    </row>
    <row r="242" spans="57:97" ht="8.25" hidden="1" customHeight="1" x14ac:dyDescent="0.2"/>
    <row r="243" spans="57:97" ht="8.25" hidden="1" customHeight="1" x14ac:dyDescent="0.2"/>
    <row r="244" spans="57:97" ht="12" hidden="1" x14ac:dyDescent="0.2">
      <c r="BE244" s="432" t="s">
        <v>370</v>
      </c>
      <c r="BF244" s="432"/>
      <c r="BG244" s="432"/>
      <c r="BH244" s="432"/>
      <c r="BI244" s="432"/>
      <c r="BJ244" s="432"/>
      <c r="BK244" s="432"/>
      <c r="BL244" s="432"/>
      <c r="BM244" s="432"/>
      <c r="BN244" s="432"/>
      <c r="BO244" s="432"/>
      <c r="BP244" s="432"/>
      <c r="BQ244" s="432"/>
      <c r="BR244" s="432"/>
      <c r="BS244" s="432"/>
      <c r="BT244" s="432"/>
      <c r="BU244" s="432"/>
      <c r="BV244" s="432"/>
      <c r="BW244" s="432"/>
      <c r="BX244" s="432"/>
      <c r="BY244" s="432"/>
      <c r="BZ244" s="432"/>
      <c r="CA244" s="432"/>
    </row>
    <row r="245" spans="57:97" ht="12" hidden="1" x14ac:dyDescent="0.2">
      <c r="BE245" s="432" t="s">
        <v>126</v>
      </c>
      <c r="BF245" s="432"/>
      <c r="BG245" s="432"/>
      <c r="BH245" s="433">
        <f>280*12</f>
        <v>3360</v>
      </c>
      <c r="BI245" s="433"/>
      <c r="BJ245" s="433"/>
      <c r="BK245" s="433"/>
      <c r="BL245" s="433"/>
      <c r="BM245" s="332" t="s">
        <v>127</v>
      </c>
      <c r="BN245" s="332"/>
      <c r="BO245" s="332"/>
      <c r="BP245" s="332"/>
      <c r="BQ245" s="332"/>
      <c r="BR245" s="332"/>
      <c r="BS245" s="332"/>
      <c r="BT245" s="332"/>
    </row>
    <row r="246" spans="57:97" ht="15" hidden="1" x14ac:dyDescent="0.25">
      <c r="BE246" s="434">
        <v>0.6</v>
      </c>
      <c r="BF246" s="432"/>
      <c r="BG246" s="432"/>
      <c r="BH246" s="216">
        <f>BH245*BE246</f>
        <v>2016</v>
      </c>
      <c r="BI246" s="432" t="s">
        <v>128</v>
      </c>
      <c r="BJ246" s="432"/>
      <c r="BK246" s="432"/>
      <c r="BL246" s="432"/>
      <c r="BM246" s="432"/>
      <c r="BN246" s="432" t="s">
        <v>129</v>
      </c>
      <c r="BO246" s="432"/>
      <c r="BP246" s="432"/>
      <c r="BQ246" s="432"/>
      <c r="BR246" s="432"/>
      <c r="BS246" s="432"/>
      <c r="BT246" s="432"/>
      <c r="CD246" s="444" t="s">
        <v>368</v>
      </c>
      <c r="CE246" s="441"/>
      <c r="CF246" s="441"/>
      <c r="CG246" s="441"/>
      <c r="CH246" s="441"/>
      <c r="CI246" s="441"/>
      <c r="CJ246" s="441"/>
      <c r="CM246" s="444" t="s">
        <v>366</v>
      </c>
      <c r="CN246" s="441"/>
      <c r="CO246" s="441"/>
      <c r="CP246" s="441"/>
      <c r="CQ246" s="441"/>
      <c r="CR246" s="441"/>
      <c r="CS246" s="441"/>
    </row>
    <row r="247" spans="57:97" ht="15" hidden="1" x14ac:dyDescent="0.25">
      <c r="BE247" s="432">
        <v>211</v>
      </c>
      <c r="BF247" s="432"/>
      <c r="BG247" s="432"/>
      <c r="BH247" s="216">
        <f>BH246-BH248</f>
        <v>1548.3870967741937</v>
      </c>
      <c r="BI247" s="435">
        <f>BH247*0.2</f>
        <v>309.67741935483878</v>
      </c>
      <c r="BJ247" s="435"/>
      <c r="BK247" s="435"/>
      <c r="BL247" s="435"/>
      <c r="BM247" s="435"/>
      <c r="BN247" s="436">
        <f>BH247-BI247</f>
        <v>1238.7096774193549</v>
      </c>
      <c r="BO247" s="445"/>
      <c r="BP247" s="445"/>
      <c r="BQ247" s="445"/>
      <c r="BR247" s="445"/>
      <c r="BS247" s="445"/>
      <c r="BT247" s="445"/>
      <c r="CD247" s="437">
        <f>BI247*15/20</f>
        <v>232.25806451612908</v>
      </c>
      <c r="CE247" s="446"/>
      <c r="CF247" s="446"/>
      <c r="CG247" s="446"/>
      <c r="CH247" s="446"/>
      <c r="CI247" s="446"/>
      <c r="CJ247" s="446"/>
      <c r="CM247" s="437">
        <f>BI247*5/20</f>
        <v>77.419354838709694</v>
      </c>
      <c r="CN247" s="446"/>
      <c r="CO247" s="446"/>
      <c r="CP247" s="446"/>
      <c r="CQ247" s="446"/>
      <c r="CR247" s="446"/>
      <c r="CS247" s="446"/>
    </row>
    <row r="248" spans="57:97" ht="12" hidden="1" x14ac:dyDescent="0.2">
      <c r="BE248" s="432">
        <v>213</v>
      </c>
      <c r="BF248" s="432"/>
      <c r="BG248" s="432"/>
      <c r="BH248" s="216">
        <f>BH246*30.2/130.2</f>
        <v>467.61290322580646</v>
      </c>
      <c r="BI248" s="435">
        <f>BI247*30.2%</f>
        <v>93.522580645161312</v>
      </c>
      <c r="BJ248" s="435"/>
      <c r="BK248" s="435"/>
      <c r="BL248" s="435"/>
      <c r="BM248" s="435"/>
      <c r="BN248" s="435">
        <f>BN247*30.2%</f>
        <v>374.09032258064514</v>
      </c>
      <c r="BO248" s="435"/>
      <c r="BP248" s="435"/>
      <c r="BQ248" s="435"/>
      <c r="BR248" s="435"/>
      <c r="BS248" s="435"/>
      <c r="BT248" s="435"/>
    </row>
    <row r="249" spans="57:97" ht="8.25" hidden="1" customHeight="1" x14ac:dyDescent="0.2"/>
    <row r="250" spans="57:97" ht="8.25" hidden="1" customHeight="1" x14ac:dyDescent="0.2"/>
    <row r="251" spans="57:97" ht="8.25" hidden="1" customHeight="1" x14ac:dyDescent="0.2"/>
    <row r="252" spans="57:97" ht="12" hidden="1" x14ac:dyDescent="0.2">
      <c r="BE252" s="432" t="s">
        <v>408</v>
      </c>
      <c r="BF252" s="432"/>
      <c r="BG252" s="432"/>
      <c r="BH252" s="432"/>
      <c r="BI252" s="432"/>
      <c r="BJ252" s="432"/>
      <c r="BK252" s="432"/>
      <c r="BL252" s="432"/>
      <c r="BM252" s="432"/>
      <c r="BN252" s="432"/>
      <c r="BO252" s="432"/>
      <c r="BP252" s="432"/>
      <c r="BQ252" s="432"/>
      <c r="BR252" s="432"/>
      <c r="BS252" s="432"/>
      <c r="BT252" s="432"/>
      <c r="BU252" s="432"/>
      <c r="BV252" s="432"/>
      <c r="BW252" s="432"/>
      <c r="BX252" s="432"/>
      <c r="BY252" s="432"/>
      <c r="BZ252" s="432"/>
      <c r="CA252" s="432"/>
    </row>
    <row r="253" spans="57:97" ht="12" hidden="1" x14ac:dyDescent="0.2">
      <c r="BE253" s="432" t="s">
        <v>126</v>
      </c>
      <c r="BF253" s="432"/>
      <c r="BG253" s="432"/>
      <c r="BH253" s="433">
        <f>280*55</f>
        <v>15400</v>
      </c>
      <c r="BI253" s="433"/>
      <c r="BJ253" s="433"/>
      <c r="BK253" s="433"/>
      <c r="BL253" s="433"/>
      <c r="BM253" s="332" t="s">
        <v>127</v>
      </c>
      <c r="BN253" s="332"/>
      <c r="BO253" s="332"/>
      <c r="BP253" s="332"/>
      <c r="BQ253" s="332"/>
      <c r="BR253" s="332"/>
      <c r="BS253" s="332"/>
      <c r="BT253" s="332"/>
    </row>
    <row r="254" spans="57:97" ht="15" hidden="1" x14ac:dyDescent="0.25">
      <c r="BE254" s="434">
        <v>0.6</v>
      </c>
      <c r="BF254" s="432"/>
      <c r="BG254" s="432"/>
      <c r="BH254" s="216">
        <f>BH253*BE254</f>
        <v>9240</v>
      </c>
      <c r="BI254" s="432" t="s">
        <v>128</v>
      </c>
      <c r="BJ254" s="432"/>
      <c r="BK254" s="432"/>
      <c r="BL254" s="432"/>
      <c r="BM254" s="432"/>
      <c r="BN254" s="432" t="s">
        <v>129</v>
      </c>
      <c r="BO254" s="432"/>
      <c r="BP254" s="432"/>
      <c r="BQ254" s="432"/>
      <c r="BR254" s="432"/>
      <c r="BS254" s="432"/>
      <c r="BT254" s="432"/>
      <c r="CD254" s="444" t="s">
        <v>368</v>
      </c>
      <c r="CE254" s="441"/>
      <c r="CF254" s="441"/>
      <c r="CG254" s="441"/>
      <c r="CH254" s="441"/>
      <c r="CI254" s="441"/>
      <c r="CJ254" s="441"/>
      <c r="CM254" s="444" t="s">
        <v>366</v>
      </c>
      <c r="CN254" s="441"/>
      <c r="CO254" s="441"/>
      <c r="CP254" s="441"/>
      <c r="CQ254" s="441"/>
      <c r="CR254" s="441"/>
      <c r="CS254" s="441"/>
    </row>
    <row r="255" spans="57:97" ht="15" hidden="1" x14ac:dyDescent="0.25">
      <c r="BE255" s="432">
        <v>211</v>
      </c>
      <c r="BF255" s="432"/>
      <c r="BG255" s="432"/>
      <c r="BH255" s="216">
        <f>BH254-BH256</f>
        <v>7096.7741935483864</v>
      </c>
      <c r="BI255" s="435">
        <f>BH255*0.2</f>
        <v>1419.3548387096773</v>
      </c>
      <c r="BJ255" s="435"/>
      <c r="BK255" s="435"/>
      <c r="BL255" s="435"/>
      <c r="BM255" s="435"/>
      <c r="BN255" s="436">
        <f>BH255-BI255</f>
        <v>5677.4193548387093</v>
      </c>
      <c r="BO255" s="445"/>
      <c r="BP255" s="445"/>
      <c r="BQ255" s="445"/>
      <c r="BR255" s="445"/>
      <c r="BS255" s="445"/>
      <c r="BT255" s="445"/>
      <c r="CD255" s="437">
        <f>BI255*15/20</f>
        <v>1064.516129032258</v>
      </c>
      <c r="CE255" s="446"/>
      <c r="CF255" s="446"/>
      <c r="CG255" s="446"/>
      <c r="CH255" s="446"/>
      <c r="CI255" s="446"/>
      <c r="CJ255" s="446"/>
      <c r="CM255" s="437">
        <f>BI255*5/20</f>
        <v>354.83870967741933</v>
      </c>
      <c r="CN255" s="446"/>
      <c r="CO255" s="446"/>
      <c r="CP255" s="446"/>
      <c r="CQ255" s="446"/>
      <c r="CR255" s="446"/>
      <c r="CS255" s="446"/>
    </row>
    <row r="256" spans="57:97" ht="12" hidden="1" x14ac:dyDescent="0.2">
      <c r="BE256" s="432">
        <v>213</v>
      </c>
      <c r="BF256" s="432"/>
      <c r="BG256" s="432"/>
      <c r="BH256" s="216">
        <f>BH254*30.2/130.2</f>
        <v>2143.2258064516132</v>
      </c>
      <c r="BI256" s="435">
        <f>BI255*30.2%</f>
        <v>428.64516129032256</v>
      </c>
      <c r="BJ256" s="435"/>
      <c r="BK256" s="435"/>
      <c r="BL256" s="435"/>
      <c r="BM256" s="435"/>
      <c r="BN256" s="435">
        <f>BN255*30.2%</f>
        <v>1714.5806451612902</v>
      </c>
      <c r="BO256" s="435"/>
      <c r="BP256" s="435"/>
      <c r="BQ256" s="435"/>
      <c r="BR256" s="435"/>
      <c r="BS256" s="435"/>
      <c r="BT256" s="435"/>
    </row>
    <row r="257" spans="57:97" ht="8.25" hidden="1" customHeight="1" x14ac:dyDescent="0.2"/>
    <row r="258" spans="57:97" ht="8.25" hidden="1" customHeight="1" x14ac:dyDescent="0.2"/>
    <row r="259" spans="57:97" ht="12" hidden="1" x14ac:dyDescent="0.2">
      <c r="BE259" s="432" t="s">
        <v>409</v>
      </c>
      <c r="BF259" s="432"/>
      <c r="BG259" s="432"/>
      <c r="BH259" s="432"/>
      <c r="BI259" s="432"/>
      <c r="BJ259" s="432"/>
      <c r="BK259" s="432"/>
      <c r="BL259" s="432"/>
      <c r="BM259" s="432"/>
      <c r="BN259" s="432"/>
      <c r="BO259" s="432"/>
      <c r="BP259" s="432"/>
      <c r="BQ259" s="432"/>
      <c r="BR259" s="432"/>
      <c r="BS259" s="432"/>
      <c r="BT259" s="432"/>
      <c r="BU259" s="432"/>
      <c r="BV259" s="432"/>
      <c r="BW259" s="432"/>
      <c r="BX259" s="432"/>
      <c r="BY259" s="432"/>
      <c r="BZ259" s="432"/>
      <c r="CA259" s="432"/>
    </row>
    <row r="260" spans="57:97" ht="12" hidden="1" x14ac:dyDescent="0.2">
      <c r="BE260" s="432" t="s">
        <v>126</v>
      </c>
      <c r="BF260" s="432"/>
      <c r="BG260" s="432"/>
      <c r="BH260" s="433">
        <f>280*128</f>
        <v>35840</v>
      </c>
      <c r="BI260" s="433"/>
      <c r="BJ260" s="433"/>
      <c r="BK260" s="433"/>
      <c r="BL260" s="433"/>
      <c r="BM260" s="332" t="s">
        <v>127</v>
      </c>
      <c r="BN260" s="332"/>
      <c r="BO260" s="332"/>
      <c r="BP260" s="332"/>
      <c r="BQ260" s="332"/>
      <c r="BR260" s="332"/>
      <c r="BS260" s="332"/>
      <c r="BT260" s="332"/>
    </row>
    <row r="261" spans="57:97" ht="15" hidden="1" x14ac:dyDescent="0.25">
      <c r="BE261" s="434">
        <v>0.6</v>
      </c>
      <c r="BF261" s="432"/>
      <c r="BG261" s="432"/>
      <c r="BH261" s="216">
        <f>BH260*BE261</f>
        <v>21504</v>
      </c>
      <c r="BI261" s="432" t="s">
        <v>128</v>
      </c>
      <c r="BJ261" s="432"/>
      <c r="BK261" s="432"/>
      <c r="BL261" s="432"/>
      <c r="BM261" s="432"/>
      <c r="BN261" s="432" t="s">
        <v>129</v>
      </c>
      <c r="BO261" s="432"/>
      <c r="BP261" s="432"/>
      <c r="BQ261" s="432"/>
      <c r="BR261" s="432"/>
      <c r="BS261" s="432"/>
      <c r="BT261" s="432"/>
      <c r="CD261" s="444" t="s">
        <v>368</v>
      </c>
      <c r="CE261" s="441"/>
      <c r="CF261" s="441"/>
      <c r="CG261" s="441"/>
      <c r="CH261" s="441"/>
      <c r="CI261" s="441"/>
      <c r="CJ261" s="441"/>
      <c r="CM261" s="444" t="s">
        <v>366</v>
      </c>
      <c r="CN261" s="441"/>
      <c r="CO261" s="441"/>
      <c r="CP261" s="441"/>
      <c r="CQ261" s="441"/>
      <c r="CR261" s="441"/>
      <c r="CS261" s="441"/>
    </row>
    <row r="262" spans="57:97" ht="15" hidden="1" x14ac:dyDescent="0.25">
      <c r="BE262" s="432">
        <v>211</v>
      </c>
      <c r="BF262" s="432"/>
      <c r="BG262" s="432"/>
      <c r="BH262" s="216">
        <f>BH261-BH263</f>
        <v>16516.129032258064</v>
      </c>
      <c r="BI262" s="435">
        <f>BH262*0.2</f>
        <v>3303.2258064516132</v>
      </c>
      <c r="BJ262" s="435"/>
      <c r="BK262" s="435"/>
      <c r="BL262" s="435"/>
      <c r="BM262" s="435"/>
      <c r="BN262" s="436">
        <f>BH262-BI262</f>
        <v>13212.903225806451</v>
      </c>
      <c r="BO262" s="445"/>
      <c r="BP262" s="445"/>
      <c r="BQ262" s="445"/>
      <c r="BR262" s="445"/>
      <c r="BS262" s="445"/>
      <c r="BT262" s="445"/>
      <c r="CD262" s="437">
        <f>BI262*15/20</f>
        <v>2477.4193548387098</v>
      </c>
      <c r="CE262" s="446"/>
      <c r="CF262" s="446"/>
      <c r="CG262" s="446"/>
      <c r="CH262" s="446"/>
      <c r="CI262" s="446"/>
      <c r="CJ262" s="446"/>
      <c r="CM262" s="437">
        <f>BI262*5/20</f>
        <v>825.80645161290317</v>
      </c>
      <c r="CN262" s="446"/>
      <c r="CO262" s="446"/>
      <c r="CP262" s="446"/>
      <c r="CQ262" s="446"/>
      <c r="CR262" s="446"/>
      <c r="CS262" s="446"/>
    </row>
    <row r="263" spans="57:97" ht="12" hidden="1" x14ac:dyDescent="0.2">
      <c r="BE263" s="432">
        <v>213</v>
      </c>
      <c r="BF263" s="432"/>
      <c r="BG263" s="432"/>
      <c r="BH263" s="216">
        <f>BH261*30.2/130.2</f>
        <v>4987.8709677419356</v>
      </c>
      <c r="BI263" s="435">
        <f>BI262*30.2%</f>
        <v>997.57419354838714</v>
      </c>
      <c r="BJ263" s="435"/>
      <c r="BK263" s="435"/>
      <c r="BL263" s="435"/>
      <c r="BM263" s="435"/>
      <c r="BN263" s="435">
        <f>BN262*30.2%</f>
        <v>3990.2967741935481</v>
      </c>
      <c r="BO263" s="435"/>
      <c r="BP263" s="435"/>
      <c r="BQ263" s="435"/>
      <c r="BR263" s="435"/>
      <c r="BS263" s="435"/>
      <c r="BT263" s="435"/>
    </row>
    <row r="264" spans="57:97" ht="8.25" hidden="1" customHeight="1" x14ac:dyDescent="0.2"/>
    <row r="265" spans="57:97" ht="8.25" hidden="1" customHeight="1" x14ac:dyDescent="0.2"/>
    <row r="266" spans="57:97" ht="8.25" hidden="1" customHeight="1" x14ac:dyDescent="0.2"/>
    <row r="267" spans="57:97" ht="8.25" hidden="1" customHeight="1" x14ac:dyDescent="0.2"/>
    <row r="268" spans="57:97" ht="8.25" hidden="1" customHeight="1" x14ac:dyDescent="0.2"/>
    <row r="269" spans="57:97" ht="15" hidden="1" x14ac:dyDescent="0.25">
      <c r="BI269" s="253">
        <f>BI233+BI240+CM247+CM255+CM262</f>
        <v>2006.4516129032259</v>
      </c>
    </row>
    <row r="270" spans="57:97" ht="12" hidden="1" x14ac:dyDescent="0.2">
      <c r="BE270" s="432" t="s">
        <v>439</v>
      </c>
      <c r="BF270" s="432"/>
      <c r="BG270" s="432"/>
      <c r="BH270" s="432"/>
      <c r="BI270" s="432"/>
      <c r="BJ270" s="432"/>
      <c r="BK270" s="432"/>
      <c r="BL270" s="432"/>
      <c r="BM270" s="432"/>
      <c r="BN270" s="432"/>
      <c r="BO270" s="432"/>
      <c r="BP270" s="432"/>
      <c r="BQ270" s="432"/>
      <c r="BR270" s="432"/>
      <c r="BS270" s="432"/>
      <c r="BT270" s="432"/>
      <c r="BU270" s="432"/>
      <c r="BV270" s="432"/>
      <c r="BW270" s="432"/>
      <c r="BX270" s="432"/>
      <c r="BY270" s="432"/>
      <c r="BZ270" s="432"/>
      <c r="CA270" s="432"/>
    </row>
    <row r="271" spans="57:97" ht="12" hidden="1" x14ac:dyDescent="0.2">
      <c r="BE271" s="432" t="s">
        <v>126</v>
      </c>
      <c r="BF271" s="432"/>
      <c r="BG271" s="432"/>
      <c r="BH271" s="433">
        <f>300*58</f>
        <v>17400</v>
      </c>
      <c r="BI271" s="433"/>
      <c r="BJ271" s="433"/>
      <c r="BK271" s="433"/>
      <c r="BL271" s="433"/>
      <c r="BM271" s="332" t="s">
        <v>127</v>
      </c>
      <c r="BN271" s="332"/>
      <c r="BO271" s="332"/>
      <c r="BP271" s="332"/>
      <c r="BQ271" s="332"/>
      <c r="BR271" s="332"/>
      <c r="BS271" s="332"/>
      <c r="BT271" s="332"/>
    </row>
    <row r="272" spans="57:97" ht="15" hidden="1" x14ac:dyDescent="0.25">
      <c r="BE272" s="434">
        <v>0.6</v>
      </c>
      <c r="BF272" s="432"/>
      <c r="BG272" s="432"/>
      <c r="BH272" s="216">
        <f>BH271*BE272</f>
        <v>10440</v>
      </c>
      <c r="BI272" s="432" t="s">
        <v>128</v>
      </c>
      <c r="BJ272" s="432"/>
      <c r="BK272" s="432"/>
      <c r="BL272" s="432"/>
      <c r="BM272" s="432"/>
      <c r="BN272" s="432" t="s">
        <v>129</v>
      </c>
      <c r="BO272" s="432"/>
      <c r="BP272" s="432"/>
      <c r="BQ272" s="432"/>
      <c r="BR272" s="432"/>
      <c r="BS272" s="432"/>
      <c r="BT272" s="432"/>
      <c r="CD272" s="444" t="s">
        <v>368</v>
      </c>
      <c r="CE272" s="441"/>
      <c r="CF272" s="441"/>
      <c r="CG272" s="441"/>
      <c r="CH272" s="441"/>
      <c r="CI272" s="441"/>
      <c r="CJ272" s="441"/>
      <c r="CM272" s="444" t="s">
        <v>366</v>
      </c>
      <c r="CN272" s="441"/>
      <c r="CO272" s="441"/>
      <c r="CP272" s="441"/>
      <c r="CQ272" s="441"/>
      <c r="CR272" s="441"/>
      <c r="CS272" s="441"/>
    </row>
    <row r="273" spans="57:97" ht="15" hidden="1" x14ac:dyDescent="0.25">
      <c r="BE273" s="432">
        <v>211</v>
      </c>
      <c r="BF273" s="432"/>
      <c r="BG273" s="432"/>
      <c r="BH273" s="216">
        <f>BH272-BH274</f>
        <v>8018.4331797235027</v>
      </c>
      <c r="BI273" s="435">
        <f>BH273*0.2</f>
        <v>1603.6866359447006</v>
      </c>
      <c r="BJ273" s="435"/>
      <c r="BK273" s="435"/>
      <c r="BL273" s="435"/>
      <c r="BM273" s="435"/>
      <c r="BN273" s="436">
        <f>BH273-BI273</f>
        <v>6414.7465437788023</v>
      </c>
      <c r="BO273" s="445"/>
      <c r="BP273" s="445"/>
      <c r="BQ273" s="445"/>
      <c r="BR273" s="445"/>
      <c r="BS273" s="445"/>
      <c r="BT273" s="445"/>
      <c r="CD273" s="437">
        <f>BI273*15/20</f>
        <v>1202.7649769585255</v>
      </c>
      <c r="CE273" s="446"/>
      <c r="CF273" s="446"/>
      <c r="CG273" s="446"/>
      <c r="CH273" s="446"/>
      <c r="CI273" s="446"/>
      <c r="CJ273" s="446"/>
      <c r="CM273" s="437">
        <f>BI273*5/20</f>
        <v>400.92165898617515</v>
      </c>
      <c r="CN273" s="446"/>
      <c r="CO273" s="446"/>
      <c r="CP273" s="446"/>
      <c r="CQ273" s="446"/>
      <c r="CR273" s="446"/>
      <c r="CS273" s="446"/>
    </row>
    <row r="274" spans="57:97" ht="12" hidden="1" x14ac:dyDescent="0.2">
      <c r="BE274" s="432">
        <v>213</v>
      </c>
      <c r="BF274" s="432"/>
      <c r="BG274" s="432"/>
      <c r="BH274" s="216">
        <f>BH272*30.2/130.2</f>
        <v>2421.5668202764978</v>
      </c>
      <c r="BI274" s="435">
        <f>BI273*30.2%</f>
        <v>484.31336405529959</v>
      </c>
      <c r="BJ274" s="435"/>
      <c r="BK274" s="435"/>
      <c r="BL274" s="435"/>
      <c r="BM274" s="435"/>
      <c r="BN274" s="435">
        <f>BN273*30.2%</f>
        <v>1937.2534562211983</v>
      </c>
      <c r="BO274" s="435"/>
      <c r="BP274" s="435"/>
      <c r="BQ274" s="435"/>
      <c r="BR274" s="435"/>
      <c r="BS274" s="435"/>
      <c r="BT274" s="435"/>
    </row>
    <row r="275" spans="57:97" ht="8.25" hidden="1" customHeight="1" x14ac:dyDescent="0.2"/>
    <row r="276" spans="57:97" ht="8.25" hidden="1" customHeight="1" x14ac:dyDescent="0.2"/>
    <row r="277" spans="57:97" ht="12" hidden="1" x14ac:dyDescent="0.2">
      <c r="BE277" s="432" t="s">
        <v>440</v>
      </c>
      <c r="BF277" s="432"/>
      <c r="BG277" s="432"/>
      <c r="BH277" s="432"/>
      <c r="BI277" s="432"/>
      <c r="BJ277" s="432"/>
      <c r="BK277" s="432"/>
      <c r="BL277" s="432"/>
      <c r="BM277" s="432"/>
      <c r="BN277" s="432"/>
      <c r="BO277" s="432"/>
      <c r="BP277" s="432"/>
      <c r="BQ277" s="432"/>
      <c r="BR277" s="432"/>
      <c r="BS277" s="432"/>
      <c r="BT277" s="432"/>
      <c r="BU277" s="432"/>
      <c r="BV277" s="432"/>
      <c r="BW277" s="432"/>
      <c r="BX277" s="432"/>
      <c r="BY277" s="432"/>
      <c r="BZ277" s="432"/>
      <c r="CA277" s="432"/>
    </row>
    <row r="278" spans="57:97" ht="12" hidden="1" x14ac:dyDescent="0.2">
      <c r="BE278" s="432" t="s">
        <v>126</v>
      </c>
      <c r="BF278" s="432"/>
      <c r="BG278" s="432"/>
      <c r="BH278" s="433">
        <f>300*81</f>
        <v>24300</v>
      </c>
      <c r="BI278" s="433"/>
      <c r="BJ278" s="433"/>
      <c r="BK278" s="433"/>
      <c r="BL278" s="433"/>
      <c r="BM278" s="332" t="s">
        <v>127</v>
      </c>
      <c r="BN278" s="332"/>
      <c r="BO278" s="332"/>
      <c r="BP278" s="332"/>
      <c r="BQ278" s="332"/>
      <c r="BR278" s="332"/>
      <c r="BS278" s="332"/>
      <c r="BT278" s="332"/>
    </row>
    <row r="279" spans="57:97" ht="15" hidden="1" x14ac:dyDescent="0.25">
      <c r="BE279" s="434">
        <v>0.6</v>
      </c>
      <c r="BF279" s="432"/>
      <c r="BG279" s="432"/>
      <c r="BH279" s="216">
        <f>BH278*BE279</f>
        <v>14580</v>
      </c>
      <c r="BI279" s="432" t="s">
        <v>128</v>
      </c>
      <c r="BJ279" s="432"/>
      <c r="BK279" s="432"/>
      <c r="BL279" s="432"/>
      <c r="BM279" s="432"/>
      <c r="BN279" s="432" t="s">
        <v>129</v>
      </c>
      <c r="BO279" s="432"/>
      <c r="BP279" s="432"/>
      <c r="BQ279" s="432"/>
      <c r="BR279" s="432"/>
      <c r="BS279" s="432"/>
      <c r="BT279" s="432"/>
      <c r="CD279" s="444" t="s">
        <v>368</v>
      </c>
      <c r="CE279" s="441"/>
      <c r="CF279" s="441"/>
      <c r="CG279" s="441"/>
      <c r="CH279" s="441"/>
      <c r="CI279" s="441"/>
      <c r="CJ279" s="441"/>
      <c r="CM279" s="444" t="s">
        <v>366</v>
      </c>
      <c r="CN279" s="441"/>
      <c r="CO279" s="441"/>
      <c r="CP279" s="441"/>
      <c r="CQ279" s="441"/>
      <c r="CR279" s="441"/>
      <c r="CS279" s="441"/>
    </row>
    <row r="280" spans="57:97" ht="15" hidden="1" x14ac:dyDescent="0.25">
      <c r="BE280" s="432">
        <v>211</v>
      </c>
      <c r="BF280" s="432"/>
      <c r="BG280" s="432"/>
      <c r="BH280" s="216">
        <f>BH279-BH281</f>
        <v>11198.156682027649</v>
      </c>
      <c r="BI280" s="435">
        <f>BH280*0.2</f>
        <v>2239.63133640553</v>
      </c>
      <c r="BJ280" s="435"/>
      <c r="BK280" s="435"/>
      <c r="BL280" s="435"/>
      <c r="BM280" s="435"/>
      <c r="BN280" s="436">
        <f>BH280-BI280</f>
        <v>8958.5253456221199</v>
      </c>
      <c r="BO280" s="445"/>
      <c r="BP280" s="445"/>
      <c r="BQ280" s="445"/>
      <c r="BR280" s="445"/>
      <c r="BS280" s="445"/>
      <c r="BT280" s="445"/>
      <c r="CD280" s="437">
        <f>BI280*15/20</f>
        <v>1679.7235023041474</v>
      </c>
      <c r="CE280" s="446"/>
      <c r="CF280" s="446"/>
      <c r="CG280" s="446"/>
      <c r="CH280" s="446"/>
      <c r="CI280" s="446"/>
      <c r="CJ280" s="446"/>
      <c r="CM280" s="437">
        <f>BI280*5/20</f>
        <v>559.90783410138249</v>
      </c>
      <c r="CN280" s="446"/>
      <c r="CO280" s="446"/>
      <c r="CP280" s="446"/>
      <c r="CQ280" s="446"/>
      <c r="CR280" s="446"/>
      <c r="CS280" s="446"/>
    </row>
    <row r="281" spans="57:97" ht="12" hidden="1" x14ac:dyDescent="0.2">
      <c r="BE281" s="432">
        <v>213</v>
      </c>
      <c r="BF281" s="432"/>
      <c r="BG281" s="432"/>
      <c r="BH281" s="216">
        <f>BH279*30.2/130.2</f>
        <v>3381.8433179723506</v>
      </c>
      <c r="BI281" s="435">
        <f>BI280*30.2%</f>
        <v>676.36866359447004</v>
      </c>
      <c r="BJ281" s="435"/>
      <c r="BK281" s="435"/>
      <c r="BL281" s="435"/>
      <c r="BM281" s="435"/>
      <c r="BN281" s="435">
        <f>BN280*30.2%</f>
        <v>2705.4746543778801</v>
      </c>
      <c r="BO281" s="435"/>
      <c r="BP281" s="435"/>
      <c r="BQ281" s="435"/>
      <c r="BR281" s="435"/>
      <c r="BS281" s="435"/>
      <c r="BT281" s="435"/>
    </row>
    <row r="282" spans="57:97" ht="8.25" hidden="1" customHeight="1" x14ac:dyDescent="0.2"/>
    <row r="283" spans="57:97" ht="8.25" hidden="1" customHeight="1" x14ac:dyDescent="0.2"/>
    <row r="284" spans="57:97" ht="8.25" hidden="1" customHeight="1" x14ac:dyDescent="0.2"/>
    <row r="285" spans="57:97" ht="12" hidden="1" x14ac:dyDescent="0.2">
      <c r="BE285" s="432" t="s">
        <v>441</v>
      </c>
      <c r="BF285" s="432"/>
      <c r="BG285" s="432"/>
      <c r="BH285" s="432"/>
      <c r="BI285" s="432"/>
      <c r="BJ285" s="432"/>
      <c r="BK285" s="432"/>
      <c r="BL285" s="432"/>
      <c r="BM285" s="432"/>
      <c r="BN285" s="432"/>
      <c r="BO285" s="432"/>
      <c r="BP285" s="432"/>
      <c r="BQ285" s="432"/>
      <c r="BR285" s="432"/>
      <c r="BS285" s="432"/>
      <c r="BT285" s="432"/>
      <c r="BU285" s="432"/>
      <c r="BV285" s="432"/>
      <c r="BW285" s="432"/>
      <c r="BX285" s="432"/>
      <c r="BY285" s="432"/>
      <c r="BZ285" s="432"/>
      <c r="CA285" s="432"/>
    </row>
    <row r="286" spans="57:97" ht="12" hidden="1" x14ac:dyDescent="0.2">
      <c r="BE286" s="432" t="s">
        <v>126</v>
      </c>
      <c r="BF286" s="432"/>
      <c r="BG286" s="432"/>
      <c r="BH286" s="433">
        <f>300*23</f>
        <v>6900</v>
      </c>
      <c r="BI286" s="433"/>
      <c r="BJ286" s="433"/>
      <c r="BK286" s="433"/>
      <c r="BL286" s="433"/>
      <c r="BM286" s="332" t="s">
        <v>127</v>
      </c>
      <c r="BN286" s="332"/>
      <c r="BO286" s="332"/>
      <c r="BP286" s="332"/>
      <c r="BQ286" s="332"/>
      <c r="BR286" s="332"/>
      <c r="BS286" s="332"/>
      <c r="BT286" s="332"/>
    </row>
    <row r="287" spans="57:97" ht="15" hidden="1" x14ac:dyDescent="0.25">
      <c r="BE287" s="434">
        <v>0.6</v>
      </c>
      <c r="BF287" s="432"/>
      <c r="BG287" s="432"/>
      <c r="BH287" s="216">
        <f>BH286*BE287</f>
        <v>4140</v>
      </c>
      <c r="BI287" s="432" t="s">
        <v>128</v>
      </c>
      <c r="BJ287" s="432"/>
      <c r="BK287" s="432"/>
      <c r="BL287" s="432"/>
      <c r="BM287" s="432"/>
      <c r="BN287" s="432" t="s">
        <v>129</v>
      </c>
      <c r="BO287" s="432"/>
      <c r="BP287" s="432"/>
      <c r="BQ287" s="432"/>
      <c r="BR287" s="432"/>
      <c r="BS287" s="432"/>
      <c r="BT287" s="432"/>
      <c r="CD287" s="444" t="s">
        <v>368</v>
      </c>
      <c r="CE287" s="441"/>
      <c r="CF287" s="441"/>
      <c r="CG287" s="441"/>
      <c r="CH287" s="441"/>
      <c r="CI287" s="441"/>
      <c r="CJ287" s="441"/>
      <c r="CM287" s="444" t="s">
        <v>366</v>
      </c>
      <c r="CN287" s="441"/>
      <c r="CO287" s="441"/>
      <c r="CP287" s="441"/>
      <c r="CQ287" s="441"/>
      <c r="CR287" s="441"/>
      <c r="CS287" s="441"/>
    </row>
    <row r="288" spans="57:97" ht="15" hidden="1" x14ac:dyDescent="0.25">
      <c r="BE288" s="432">
        <v>211</v>
      </c>
      <c r="BF288" s="432"/>
      <c r="BG288" s="432"/>
      <c r="BH288" s="216">
        <f>BH287-BH289</f>
        <v>3179.7235023041476</v>
      </c>
      <c r="BI288" s="435">
        <f>BH288*0.2</f>
        <v>635.94470046082961</v>
      </c>
      <c r="BJ288" s="435"/>
      <c r="BK288" s="435"/>
      <c r="BL288" s="435"/>
      <c r="BM288" s="435"/>
      <c r="BN288" s="436">
        <f>BH288-BI288</f>
        <v>2543.778801843318</v>
      </c>
      <c r="BO288" s="445"/>
      <c r="BP288" s="445"/>
      <c r="BQ288" s="445"/>
      <c r="BR288" s="445"/>
      <c r="BS288" s="445"/>
      <c r="BT288" s="445"/>
      <c r="CD288" s="437">
        <f>BI288*15/20</f>
        <v>476.95852534562221</v>
      </c>
      <c r="CE288" s="446"/>
      <c r="CF288" s="446"/>
      <c r="CG288" s="446"/>
      <c r="CH288" s="446"/>
      <c r="CI288" s="446"/>
      <c r="CJ288" s="446"/>
      <c r="CM288" s="437">
        <f>BI288*5/20</f>
        <v>158.9861751152074</v>
      </c>
      <c r="CN288" s="446"/>
      <c r="CO288" s="446"/>
      <c r="CP288" s="446"/>
      <c r="CQ288" s="446"/>
      <c r="CR288" s="446"/>
      <c r="CS288" s="446"/>
    </row>
    <row r="289" spans="57:97" ht="12" hidden="1" x14ac:dyDescent="0.2">
      <c r="BE289" s="432">
        <v>213</v>
      </c>
      <c r="BF289" s="432"/>
      <c r="BG289" s="432"/>
      <c r="BH289" s="216">
        <f>BH287*30.2/130.2</f>
        <v>960.27649769585264</v>
      </c>
      <c r="BI289" s="435">
        <f>BI288*30.2%</f>
        <v>192.05529953917053</v>
      </c>
      <c r="BJ289" s="435"/>
      <c r="BK289" s="435"/>
      <c r="BL289" s="435"/>
      <c r="BM289" s="435"/>
      <c r="BN289" s="435">
        <f>BN288*30.2%</f>
        <v>768.22119815668202</v>
      </c>
      <c r="BO289" s="435"/>
      <c r="BP289" s="435"/>
      <c r="BQ289" s="435"/>
      <c r="BR289" s="435"/>
      <c r="BS289" s="435"/>
      <c r="BT289" s="435"/>
    </row>
    <row r="290" spans="57:97" ht="12" hidden="1" x14ac:dyDescent="0.2"/>
    <row r="291" spans="57:97" ht="8.25" hidden="1" customHeight="1" x14ac:dyDescent="0.2"/>
    <row r="292" spans="57:97" ht="12" hidden="1" x14ac:dyDescent="0.2">
      <c r="BE292" s="432" t="s">
        <v>458</v>
      </c>
      <c r="BF292" s="432"/>
      <c r="BG292" s="432"/>
      <c r="BH292" s="432"/>
      <c r="BI292" s="432"/>
      <c r="BJ292" s="432"/>
      <c r="BK292" s="432"/>
      <c r="BL292" s="432"/>
      <c r="BM292" s="432"/>
      <c r="BN292" s="432"/>
      <c r="BO292" s="432"/>
      <c r="BP292" s="432"/>
      <c r="BQ292" s="432"/>
      <c r="BR292" s="432"/>
      <c r="BS292" s="432"/>
      <c r="BT292" s="432"/>
      <c r="BU292" s="432"/>
      <c r="BV292" s="432"/>
      <c r="BW292" s="432"/>
      <c r="BX292" s="432"/>
      <c r="BY292" s="432"/>
      <c r="BZ292" s="432"/>
      <c r="CA292" s="432"/>
    </row>
    <row r="293" spans="57:97" ht="12" hidden="1" x14ac:dyDescent="0.2">
      <c r="BE293" s="432" t="s">
        <v>126</v>
      </c>
      <c r="BF293" s="432"/>
      <c r="BG293" s="432"/>
      <c r="BH293" s="433">
        <f>300*67</f>
        <v>20100</v>
      </c>
      <c r="BI293" s="433"/>
      <c r="BJ293" s="433"/>
      <c r="BK293" s="433"/>
      <c r="BL293" s="433"/>
      <c r="BM293" s="332" t="s">
        <v>127</v>
      </c>
      <c r="BN293" s="332"/>
      <c r="BO293" s="332"/>
      <c r="BP293" s="332"/>
      <c r="BQ293" s="332"/>
      <c r="BR293" s="332"/>
      <c r="BS293" s="332"/>
      <c r="BT293" s="332"/>
    </row>
    <row r="294" spans="57:97" ht="15" hidden="1" x14ac:dyDescent="0.25">
      <c r="BE294" s="434">
        <v>0.6</v>
      </c>
      <c r="BF294" s="432"/>
      <c r="BG294" s="432"/>
      <c r="BH294" s="216">
        <f>BH293*BE294</f>
        <v>12060</v>
      </c>
      <c r="BI294" s="432" t="s">
        <v>128</v>
      </c>
      <c r="BJ294" s="432"/>
      <c r="BK294" s="432"/>
      <c r="BL294" s="432"/>
      <c r="BM294" s="432"/>
      <c r="BN294" s="432" t="s">
        <v>129</v>
      </c>
      <c r="BO294" s="432"/>
      <c r="BP294" s="432"/>
      <c r="BQ294" s="432"/>
      <c r="BR294" s="432"/>
      <c r="BS294" s="432"/>
      <c r="BT294" s="432"/>
      <c r="CD294" s="444" t="s">
        <v>368</v>
      </c>
      <c r="CE294" s="441"/>
      <c r="CF294" s="441"/>
      <c r="CG294" s="441"/>
      <c r="CH294" s="441"/>
      <c r="CI294" s="441"/>
      <c r="CJ294" s="441"/>
      <c r="CM294" s="444" t="s">
        <v>366</v>
      </c>
      <c r="CN294" s="441"/>
      <c r="CO294" s="441"/>
      <c r="CP294" s="441"/>
      <c r="CQ294" s="441"/>
      <c r="CR294" s="441"/>
      <c r="CS294" s="441"/>
    </row>
    <row r="295" spans="57:97" ht="15" hidden="1" x14ac:dyDescent="0.25">
      <c r="BE295" s="432">
        <v>211</v>
      </c>
      <c r="BF295" s="432"/>
      <c r="BG295" s="432"/>
      <c r="BH295" s="216">
        <f>BH294-BH296</f>
        <v>9262.672811059907</v>
      </c>
      <c r="BI295" s="435">
        <f>BH295*0.2</f>
        <v>1852.5345622119814</v>
      </c>
      <c r="BJ295" s="435"/>
      <c r="BK295" s="435"/>
      <c r="BL295" s="435"/>
      <c r="BM295" s="435"/>
      <c r="BN295" s="436">
        <f>BH295-BI295</f>
        <v>7410.1382488479258</v>
      </c>
      <c r="BO295" s="445"/>
      <c r="BP295" s="445"/>
      <c r="BQ295" s="445"/>
      <c r="BR295" s="445"/>
      <c r="BS295" s="445"/>
      <c r="BT295" s="445"/>
      <c r="CD295" s="437">
        <f>BI295*15/20</f>
        <v>1389.4009216589861</v>
      </c>
      <c r="CE295" s="446"/>
      <c r="CF295" s="446"/>
      <c r="CG295" s="446"/>
      <c r="CH295" s="446"/>
      <c r="CI295" s="446"/>
      <c r="CJ295" s="446"/>
      <c r="CM295" s="437">
        <f>BI295*5/20</f>
        <v>463.13364055299536</v>
      </c>
      <c r="CN295" s="446"/>
      <c r="CO295" s="446"/>
      <c r="CP295" s="446"/>
      <c r="CQ295" s="446"/>
      <c r="CR295" s="446"/>
      <c r="CS295" s="446"/>
    </row>
    <row r="296" spans="57:97" ht="12" hidden="1" x14ac:dyDescent="0.2">
      <c r="BE296" s="432">
        <v>213</v>
      </c>
      <c r="BF296" s="432"/>
      <c r="BG296" s="432"/>
      <c r="BH296" s="216">
        <f>BH294*30.2/130.2</f>
        <v>2797.3271889400926</v>
      </c>
      <c r="BI296" s="435">
        <f>BI295*30.2%</f>
        <v>559.46543778801833</v>
      </c>
      <c r="BJ296" s="435"/>
      <c r="BK296" s="435"/>
      <c r="BL296" s="435"/>
      <c r="BM296" s="435"/>
      <c r="BN296" s="435">
        <f>BN295*30.2%</f>
        <v>2237.8617511520733</v>
      </c>
      <c r="BO296" s="435"/>
      <c r="BP296" s="435"/>
      <c r="BQ296" s="435"/>
      <c r="BR296" s="435"/>
      <c r="BS296" s="435"/>
      <c r="BT296" s="435"/>
    </row>
    <row r="297" spans="57:97" ht="8.25" hidden="1" customHeight="1" x14ac:dyDescent="0.2"/>
    <row r="298" spans="57:97" ht="8.25" hidden="1" customHeight="1" x14ac:dyDescent="0.2"/>
    <row r="299" spans="57:97" ht="12" hidden="1" x14ac:dyDescent="0.2">
      <c r="BE299" s="432" t="s">
        <v>470</v>
      </c>
      <c r="BF299" s="432"/>
      <c r="BG299" s="432"/>
      <c r="BH299" s="432"/>
      <c r="BI299" s="432"/>
      <c r="BJ299" s="432"/>
      <c r="BK299" s="432"/>
      <c r="BL299" s="432"/>
      <c r="BM299" s="432"/>
      <c r="BN299" s="432"/>
      <c r="BO299" s="432"/>
      <c r="BP299" s="432"/>
      <c r="BQ299" s="432"/>
      <c r="BR299" s="432"/>
      <c r="BS299" s="432"/>
      <c r="BT299" s="432"/>
      <c r="BU299" s="432"/>
      <c r="BV299" s="432"/>
      <c r="BW299" s="432"/>
      <c r="BX299" s="432"/>
      <c r="BY299" s="432"/>
      <c r="BZ299" s="432"/>
      <c r="CA299" s="432"/>
    </row>
    <row r="300" spans="57:97" ht="12" hidden="1" x14ac:dyDescent="0.2">
      <c r="BE300" s="432" t="s">
        <v>126</v>
      </c>
      <c r="BF300" s="432"/>
      <c r="BG300" s="432"/>
      <c r="BH300" s="433">
        <f>300*286</f>
        <v>85800</v>
      </c>
      <c r="BI300" s="433"/>
      <c r="BJ300" s="433"/>
      <c r="BK300" s="433"/>
      <c r="BL300" s="433"/>
      <c r="BM300" s="332" t="s">
        <v>127</v>
      </c>
      <c r="BN300" s="332"/>
      <c r="BO300" s="332"/>
      <c r="BP300" s="332"/>
      <c r="BQ300" s="332"/>
      <c r="BR300" s="332"/>
      <c r="BS300" s="332"/>
      <c r="BT300" s="332"/>
    </row>
    <row r="301" spans="57:97" ht="15" hidden="1" x14ac:dyDescent="0.25">
      <c r="BE301" s="434">
        <v>0.6</v>
      </c>
      <c r="BF301" s="432"/>
      <c r="BG301" s="432"/>
      <c r="BH301" s="216">
        <f>BH300*BE301</f>
        <v>51480</v>
      </c>
      <c r="BI301" s="432" t="s">
        <v>128</v>
      </c>
      <c r="BJ301" s="432"/>
      <c r="BK301" s="432"/>
      <c r="BL301" s="432"/>
      <c r="BM301" s="432"/>
      <c r="BN301" s="432" t="s">
        <v>129</v>
      </c>
      <c r="BO301" s="432"/>
      <c r="BP301" s="432"/>
      <c r="BQ301" s="432"/>
      <c r="BR301" s="432"/>
      <c r="BS301" s="432"/>
      <c r="BT301" s="432"/>
      <c r="CD301" s="444" t="s">
        <v>368</v>
      </c>
      <c r="CE301" s="441"/>
      <c r="CF301" s="441"/>
      <c r="CG301" s="441"/>
      <c r="CH301" s="441"/>
      <c r="CI301" s="441"/>
      <c r="CJ301" s="441"/>
      <c r="CM301" s="444" t="s">
        <v>366</v>
      </c>
      <c r="CN301" s="441"/>
      <c r="CO301" s="441"/>
      <c r="CP301" s="441"/>
      <c r="CQ301" s="441"/>
      <c r="CR301" s="441"/>
      <c r="CS301" s="441"/>
    </row>
    <row r="302" spans="57:97" ht="15" hidden="1" x14ac:dyDescent="0.25">
      <c r="BE302" s="432">
        <v>211</v>
      </c>
      <c r="BF302" s="432"/>
      <c r="BG302" s="432"/>
      <c r="BH302" s="216">
        <f>BH301-BH303</f>
        <v>39539.170506912444</v>
      </c>
      <c r="BI302" s="435">
        <f>BH302*0.2</f>
        <v>7907.8341013824893</v>
      </c>
      <c r="BJ302" s="435"/>
      <c r="BK302" s="435"/>
      <c r="BL302" s="435"/>
      <c r="BM302" s="435"/>
      <c r="BN302" s="436">
        <f>BH302-BI302</f>
        <v>31631.336405529953</v>
      </c>
      <c r="BO302" s="445"/>
      <c r="BP302" s="445"/>
      <c r="BQ302" s="445"/>
      <c r="BR302" s="445"/>
      <c r="BS302" s="445"/>
      <c r="BT302" s="445"/>
      <c r="CD302" s="437">
        <f>BI302*15/20</f>
        <v>5930.8755760368676</v>
      </c>
      <c r="CE302" s="446"/>
      <c r="CF302" s="446"/>
      <c r="CG302" s="446"/>
      <c r="CH302" s="446"/>
      <c r="CI302" s="446"/>
      <c r="CJ302" s="446"/>
      <c r="CM302" s="437">
        <f>BI302*5/20</f>
        <v>1976.9585253456221</v>
      </c>
      <c r="CN302" s="446"/>
      <c r="CO302" s="446"/>
      <c r="CP302" s="446"/>
      <c r="CQ302" s="446"/>
      <c r="CR302" s="446"/>
      <c r="CS302" s="446"/>
    </row>
    <row r="303" spans="57:97" ht="12" hidden="1" x14ac:dyDescent="0.2">
      <c r="BE303" s="432">
        <v>213</v>
      </c>
      <c r="BF303" s="432"/>
      <c r="BG303" s="432"/>
      <c r="BH303" s="216">
        <f>BH301*30.2/130.2</f>
        <v>11940.829493087558</v>
      </c>
      <c r="BI303" s="435">
        <f>BI302*30.2%</f>
        <v>2388.1658986175116</v>
      </c>
      <c r="BJ303" s="435"/>
      <c r="BK303" s="435"/>
      <c r="BL303" s="435"/>
      <c r="BM303" s="435"/>
      <c r="BN303" s="435">
        <f>BN302*30.2%</f>
        <v>9552.6635944700465</v>
      </c>
      <c r="BO303" s="435"/>
      <c r="BP303" s="435"/>
      <c r="BQ303" s="435"/>
      <c r="BR303" s="435"/>
      <c r="BS303" s="435"/>
      <c r="BT303" s="435"/>
    </row>
    <row r="304" spans="57:97" ht="8.25" hidden="1" customHeight="1" x14ac:dyDescent="0.2"/>
    <row r="305" spans="57:97" ht="8.25" hidden="1" customHeight="1" x14ac:dyDescent="0.2"/>
    <row r="306" spans="57:97" ht="12" hidden="1" x14ac:dyDescent="0.2">
      <c r="BE306" s="432" t="s">
        <v>473</v>
      </c>
      <c r="BF306" s="432"/>
      <c r="BG306" s="432"/>
      <c r="BH306" s="432"/>
      <c r="BI306" s="432"/>
      <c r="BJ306" s="432"/>
      <c r="BK306" s="432"/>
      <c r="BL306" s="432"/>
      <c r="BM306" s="432"/>
      <c r="BN306" s="432"/>
      <c r="BO306" s="432"/>
      <c r="BP306" s="432"/>
      <c r="BQ306" s="432"/>
      <c r="BR306" s="432"/>
      <c r="BS306" s="432"/>
      <c r="BT306" s="432"/>
      <c r="BU306" s="432"/>
      <c r="BV306" s="432"/>
      <c r="BW306" s="432"/>
      <c r="BX306" s="432"/>
      <c r="BY306" s="432"/>
      <c r="BZ306" s="432"/>
      <c r="CA306" s="432"/>
    </row>
    <row r="307" spans="57:97" ht="12" hidden="1" x14ac:dyDescent="0.2">
      <c r="BE307" s="432" t="s">
        <v>126</v>
      </c>
      <c r="BF307" s="432"/>
      <c r="BG307" s="432"/>
      <c r="BH307" s="433">
        <f>300*71</f>
        <v>21300</v>
      </c>
      <c r="BI307" s="433"/>
      <c r="BJ307" s="433"/>
      <c r="BK307" s="433"/>
      <c r="BL307" s="433"/>
      <c r="BM307" s="332" t="s">
        <v>127</v>
      </c>
      <c r="BN307" s="332"/>
      <c r="BO307" s="332"/>
      <c r="BP307" s="332"/>
      <c r="BQ307" s="332"/>
      <c r="BR307" s="332"/>
      <c r="BS307" s="332"/>
      <c r="BT307" s="332"/>
    </row>
    <row r="308" spans="57:97" ht="15" hidden="1" x14ac:dyDescent="0.25">
      <c r="BE308" s="434">
        <v>0.6</v>
      </c>
      <c r="BF308" s="432"/>
      <c r="BG308" s="432"/>
      <c r="BH308" s="216">
        <f>BH307*BE308</f>
        <v>12780</v>
      </c>
      <c r="BI308" s="432" t="s">
        <v>128</v>
      </c>
      <c r="BJ308" s="432"/>
      <c r="BK308" s="432"/>
      <c r="BL308" s="432"/>
      <c r="BM308" s="432"/>
      <c r="BN308" s="432" t="s">
        <v>129</v>
      </c>
      <c r="BO308" s="432"/>
      <c r="BP308" s="432"/>
      <c r="BQ308" s="432"/>
      <c r="BR308" s="432"/>
      <c r="BS308" s="432"/>
      <c r="BT308" s="432"/>
      <c r="CD308" s="444" t="s">
        <v>368</v>
      </c>
      <c r="CE308" s="441"/>
      <c r="CF308" s="441"/>
      <c r="CG308" s="441"/>
      <c r="CH308" s="441"/>
      <c r="CI308" s="441"/>
      <c r="CJ308" s="441"/>
      <c r="CM308" s="444" t="s">
        <v>366</v>
      </c>
      <c r="CN308" s="441"/>
      <c r="CO308" s="441"/>
      <c r="CP308" s="441"/>
      <c r="CQ308" s="441"/>
      <c r="CR308" s="441"/>
      <c r="CS308" s="441"/>
    </row>
    <row r="309" spans="57:97" ht="15" hidden="1" x14ac:dyDescent="0.25">
      <c r="BE309" s="432">
        <v>211</v>
      </c>
      <c r="BF309" s="432"/>
      <c r="BG309" s="432"/>
      <c r="BH309" s="216">
        <f>BH308-BH310</f>
        <v>9815.6682027649767</v>
      </c>
      <c r="BI309" s="435">
        <f>BH309*0.2</f>
        <v>1963.1336405529955</v>
      </c>
      <c r="BJ309" s="435"/>
      <c r="BK309" s="435"/>
      <c r="BL309" s="435"/>
      <c r="BM309" s="435"/>
      <c r="BN309" s="436">
        <f>BH309-BI309</f>
        <v>7852.5345622119812</v>
      </c>
      <c r="BO309" s="445"/>
      <c r="BP309" s="445"/>
      <c r="BQ309" s="445"/>
      <c r="BR309" s="445"/>
      <c r="BS309" s="445"/>
      <c r="BT309" s="445"/>
      <c r="CD309" s="437">
        <f>BI309*15/20</f>
        <v>1472.3502304147466</v>
      </c>
      <c r="CE309" s="446"/>
      <c r="CF309" s="446"/>
      <c r="CG309" s="446"/>
      <c r="CH309" s="446"/>
      <c r="CI309" s="446"/>
      <c r="CJ309" s="446"/>
      <c r="CM309" s="437">
        <f>BI309*5/20</f>
        <v>490.78341013824883</v>
      </c>
      <c r="CN309" s="446"/>
      <c r="CO309" s="446"/>
      <c r="CP309" s="446"/>
      <c r="CQ309" s="446"/>
      <c r="CR309" s="446"/>
      <c r="CS309" s="446"/>
    </row>
    <row r="310" spans="57:97" ht="12" hidden="1" x14ac:dyDescent="0.2">
      <c r="BE310" s="432">
        <v>213</v>
      </c>
      <c r="BF310" s="432"/>
      <c r="BG310" s="432"/>
      <c r="BH310" s="216">
        <f>BH308*30.2/130.2</f>
        <v>2964.3317972350233</v>
      </c>
      <c r="BI310" s="435">
        <f>BI309*30.2%</f>
        <v>592.86635944700458</v>
      </c>
      <c r="BJ310" s="435"/>
      <c r="BK310" s="435"/>
      <c r="BL310" s="435"/>
      <c r="BM310" s="435"/>
      <c r="BN310" s="435">
        <f>BN309*30.2%</f>
        <v>2371.4654377880183</v>
      </c>
      <c r="BO310" s="435"/>
      <c r="BP310" s="435"/>
      <c r="BQ310" s="435"/>
      <c r="BR310" s="435"/>
      <c r="BS310" s="435"/>
      <c r="BT310" s="435"/>
    </row>
    <row r="311" spans="57:97" ht="8.25" hidden="1" customHeight="1" x14ac:dyDescent="0.2"/>
    <row r="312" spans="57:97" ht="8.25" hidden="1" customHeight="1" x14ac:dyDescent="0.2"/>
    <row r="313" spans="57:97" ht="8.25" hidden="1" customHeight="1" x14ac:dyDescent="0.2"/>
    <row r="314" spans="57:97" ht="12" hidden="1" x14ac:dyDescent="0.2">
      <c r="BE314" s="432" t="s">
        <v>480</v>
      </c>
      <c r="BF314" s="432"/>
      <c r="BG314" s="432"/>
      <c r="BH314" s="432"/>
      <c r="BI314" s="432"/>
      <c r="BJ314" s="432"/>
      <c r="BK314" s="432"/>
      <c r="BL314" s="432"/>
      <c r="BM314" s="432"/>
      <c r="BN314" s="432"/>
      <c r="BO314" s="432"/>
      <c r="BP314" s="432"/>
      <c r="BQ314" s="432"/>
      <c r="BR314" s="432"/>
      <c r="BS314" s="432"/>
      <c r="BT314" s="432"/>
      <c r="BU314" s="432"/>
      <c r="BV314" s="432"/>
      <c r="BW314" s="432"/>
      <c r="BX314" s="432"/>
      <c r="BY314" s="432"/>
      <c r="BZ314" s="432"/>
      <c r="CA314" s="432"/>
    </row>
    <row r="315" spans="57:97" ht="12" hidden="1" x14ac:dyDescent="0.2">
      <c r="BE315" s="432" t="s">
        <v>126</v>
      </c>
      <c r="BF315" s="432"/>
      <c r="BG315" s="432"/>
      <c r="BH315" s="433">
        <f>300*77</f>
        <v>23100</v>
      </c>
      <c r="BI315" s="433"/>
      <c r="BJ315" s="433"/>
      <c r="BK315" s="433"/>
      <c r="BL315" s="433"/>
      <c r="BM315" s="332" t="s">
        <v>127</v>
      </c>
      <c r="BN315" s="332"/>
      <c r="BO315" s="332"/>
      <c r="BP315" s="332"/>
      <c r="BQ315" s="332"/>
      <c r="BR315" s="332"/>
      <c r="BS315" s="332"/>
      <c r="BT315" s="332"/>
    </row>
    <row r="316" spans="57:97" ht="15" hidden="1" x14ac:dyDescent="0.25">
      <c r="BE316" s="434">
        <v>0.6</v>
      </c>
      <c r="BF316" s="432"/>
      <c r="BG316" s="432"/>
      <c r="BH316" s="216">
        <f>BH315*BE316</f>
        <v>13860</v>
      </c>
      <c r="BI316" s="432" t="s">
        <v>128</v>
      </c>
      <c r="BJ316" s="432"/>
      <c r="BK316" s="432"/>
      <c r="BL316" s="432"/>
      <c r="BM316" s="432"/>
      <c r="BN316" s="432" t="s">
        <v>129</v>
      </c>
      <c r="BO316" s="432"/>
      <c r="BP316" s="432"/>
      <c r="BQ316" s="432"/>
      <c r="BR316" s="432"/>
      <c r="BS316" s="432"/>
      <c r="BT316" s="432"/>
      <c r="CD316" s="444" t="s">
        <v>368</v>
      </c>
      <c r="CE316" s="441"/>
      <c r="CF316" s="441"/>
      <c r="CG316" s="441"/>
      <c r="CH316" s="441"/>
      <c r="CI316" s="441"/>
      <c r="CJ316" s="441"/>
      <c r="CM316" s="444" t="s">
        <v>366</v>
      </c>
      <c r="CN316" s="441"/>
      <c r="CO316" s="441"/>
      <c r="CP316" s="441"/>
      <c r="CQ316" s="441"/>
      <c r="CR316" s="441"/>
      <c r="CS316" s="441"/>
    </row>
    <row r="317" spans="57:97" ht="15" hidden="1" x14ac:dyDescent="0.25">
      <c r="BE317" s="432">
        <v>211</v>
      </c>
      <c r="BF317" s="432"/>
      <c r="BG317" s="432"/>
      <c r="BH317" s="216">
        <f>BH316-BH318</f>
        <v>10645.16129032258</v>
      </c>
      <c r="BI317" s="435">
        <f>BH317*0.2</f>
        <v>2129.0322580645161</v>
      </c>
      <c r="BJ317" s="435"/>
      <c r="BK317" s="435"/>
      <c r="BL317" s="435"/>
      <c r="BM317" s="435"/>
      <c r="BN317" s="436">
        <f>BH317-BI317</f>
        <v>8516.1290322580644</v>
      </c>
      <c r="BO317" s="445"/>
      <c r="BP317" s="445"/>
      <c r="BQ317" s="445"/>
      <c r="BR317" s="445"/>
      <c r="BS317" s="445"/>
      <c r="BT317" s="445"/>
      <c r="CD317" s="437">
        <f>BI317*15/20</f>
        <v>1596.7741935483871</v>
      </c>
      <c r="CE317" s="446"/>
      <c r="CF317" s="446"/>
      <c r="CG317" s="446"/>
      <c r="CH317" s="446"/>
      <c r="CI317" s="446"/>
      <c r="CJ317" s="446"/>
      <c r="CM317" s="437">
        <f>BI317*5/20</f>
        <v>532.25806451612902</v>
      </c>
      <c r="CN317" s="446"/>
      <c r="CO317" s="446"/>
      <c r="CP317" s="446"/>
      <c r="CQ317" s="446"/>
      <c r="CR317" s="446"/>
      <c r="CS317" s="446"/>
    </row>
    <row r="318" spans="57:97" ht="12" hidden="1" x14ac:dyDescent="0.2">
      <c r="BE318" s="432">
        <v>213</v>
      </c>
      <c r="BF318" s="432"/>
      <c r="BG318" s="432"/>
      <c r="BH318" s="216">
        <f>BH316*30.2/130.2</f>
        <v>3214.8387096774195</v>
      </c>
      <c r="BI318" s="435">
        <f>BI317*30.2%</f>
        <v>642.96774193548379</v>
      </c>
      <c r="BJ318" s="435"/>
      <c r="BK318" s="435"/>
      <c r="BL318" s="435"/>
      <c r="BM318" s="435"/>
      <c r="BN318" s="435">
        <f>BN317*30.2%</f>
        <v>2571.8709677419351</v>
      </c>
      <c r="BO318" s="435"/>
      <c r="BP318" s="435"/>
      <c r="BQ318" s="435"/>
      <c r="BR318" s="435"/>
      <c r="BS318" s="435"/>
      <c r="BT318" s="435"/>
    </row>
    <row r="319" spans="57:97" ht="8.25" hidden="1" customHeight="1" x14ac:dyDescent="0.2"/>
    <row r="320" spans="57:97" ht="8.25" hidden="1" customHeight="1" x14ac:dyDescent="0.2"/>
    <row r="321" spans="57:97" ht="8.25" hidden="1" customHeight="1" x14ac:dyDescent="0.2"/>
    <row r="322" spans="57:97" ht="12" hidden="1" x14ac:dyDescent="0.2">
      <c r="BE322" s="432" t="s">
        <v>489</v>
      </c>
      <c r="BF322" s="432"/>
      <c r="BG322" s="432"/>
      <c r="BH322" s="432"/>
      <c r="BI322" s="432"/>
      <c r="BJ322" s="432"/>
      <c r="BK322" s="432"/>
      <c r="BL322" s="432"/>
      <c r="BM322" s="432"/>
      <c r="BN322" s="432"/>
      <c r="BO322" s="432"/>
      <c r="BP322" s="432"/>
      <c r="BQ322" s="432"/>
      <c r="BR322" s="432"/>
      <c r="BS322" s="432"/>
      <c r="BT322" s="432"/>
      <c r="BU322" s="432"/>
      <c r="BV322" s="432"/>
      <c r="BW322" s="432"/>
      <c r="BX322" s="432"/>
      <c r="BY322" s="432"/>
      <c r="BZ322" s="432"/>
      <c r="CA322" s="432"/>
    </row>
    <row r="323" spans="57:97" ht="12" hidden="1" x14ac:dyDescent="0.2">
      <c r="BE323" s="432" t="s">
        <v>126</v>
      </c>
      <c r="BF323" s="432"/>
      <c r="BG323" s="432"/>
      <c r="BH323" s="433">
        <f>300*67</f>
        <v>20100</v>
      </c>
      <c r="BI323" s="433"/>
      <c r="BJ323" s="433"/>
      <c r="BK323" s="433"/>
      <c r="BL323" s="433"/>
      <c r="BM323" s="332" t="s">
        <v>127</v>
      </c>
      <c r="BN323" s="332"/>
      <c r="BO323" s="332"/>
      <c r="BP323" s="332"/>
      <c r="BQ323" s="332"/>
      <c r="BR323" s="332"/>
      <c r="BS323" s="332"/>
      <c r="BT323" s="332"/>
    </row>
    <row r="324" spans="57:97" ht="15" hidden="1" x14ac:dyDescent="0.25">
      <c r="BE324" s="434">
        <v>0.6</v>
      </c>
      <c r="BF324" s="432"/>
      <c r="BG324" s="432"/>
      <c r="BH324" s="216">
        <f>BH323*BE324</f>
        <v>12060</v>
      </c>
      <c r="BI324" s="432" t="s">
        <v>128</v>
      </c>
      <c r="BJ324" s="432"/>
      <c r="BK324" s="432"/>
      <c r="BL324" s="432"/>
      <c r="BM324" s="432"/>
      <c r="BN324" s="432" t="s">
        <v>129</v>
      </c>
      <c r="BO324" s="432"/>
      <c r="BP324" s="432"/>
      <c r="BQ324" s="432"/>
      <c r="BR324" s="432"/>
      <c r="BS324" s="432"/>
      <c r="BT324" s="432"/>
      <c r="CD324" s="444" t="s">
        <v>368</v>
      </c>
      <c r="CE324" s="441"/>
      <c r="CF324" s="441"/>
      <c r="CG324" s="441"/>
      <c r="CH324" s="441"/>
      <c r="CI324" s="441"/>
      <c r="CJ324" s="441"/>
      <c r="CM324" s="444" t="s">
        <v>366</v>
      </c>
      <c r="CN324" s="441"/>
      <c r="CO324" s="441"/>
      <c r="CP324" s="441"/>
      <c r="CQ324" s="441"/>
      <c r="CR324" s="441"/>
      <c r="CS324" s="441"/>
    </row>
    <row r="325" spans="57:97" ht="15" hidden="1" x14ac:dyDescent="0.25">
      <c r="BE325" s="432">
        <v>211</v>
      </c>
      <c r="BF325" s="432"/>
      <c r="BG325" s="432"/>
      <c r="BH325" s="216">
        <f>BH324-BH326</f>
        <v>9262.672811059907</v>
      </c>
      <c r="BI325" s="435">
        <f>BH325*0.2</f>
        <v>1852.5345622119814</v>
      </c>
      <c r="BJ325" s="435"/>
      <c r="BK325" s="435"/>
      <c r="BL325" s="435"/>
      <c r="BM325" s="435"/>
      <c r="BN325" s="436">
        <f>BH325-BI325</f>
        <v>7410.1382488479258</v>
      </c>
      <c r="BO325" s="445"/>
      <c r="BP325" s="445"/>
      <c r="BQ325" s="445"/>
      <c r="BR325" s="445"/>
      <c r="BS325" s="445"/>
      <c r="BT325" s="445"/>
      <c r="CD325" s="437">
        <f>BI325*15/20</f>
        <v>1389.4009216589861</v>
      </c>
      <c r="CE325" s="446"/>
      <c r="CF325" s="446"/>
      <c r="CG325" s="446"/>
      <c r="CH325" s="446"/>
      <c r="CI325" s="446"/>
      <c r="CJ325" s="446"/>
      <c r="CM325" s="437">
        <f>BI325*5/20</f>
        <v>463.13364055299536</v>
      </c>
      <c r="CN325" s="446"/>
      <c r="CO325" s="446"/>
      <c r="CP325" s="446"/>
      <c r="CQ325" s="446"/>
      <c r="CR325" s="446"/>
      <c r="CS325" s="446"/>
    </row>
    <row r="326" spans="57:97" ht="12" hidden="1" x14ac:dyDescent="0.2">
      <c r="BE326" s="432">
        <v>213</v>
      </c>
      <c r="BF326" s="432"/>
      <c r="BG326" s="432"/>
      <c r="BH326" s="216">
        <f>BH324*30.2/130.2</f>
        <v>2797.3271889400926</v>
      </c>
      <c r="BI326" s="435">
        <f>BI325*30.2%</f>
        <v>559.46543778801833</v>
      </c>
      <c r="BJ326" s="435"/>
      <c r="BK326" s="435"/>
      <c r="BL326" s="435"/>
      <c r="BM326" s="435"/>
      <c r="BN326" s="435">
        <f>BN325*30.2%</f>
        <v>2237.8617511520733</v>
      </c>
      <c r="BO326" s="435"/>
      <c r="BP326" s="435"/>
      <c r="BQ326" s="435"/>
      <c r="BR326" s="435"/>
      <c r="BS326" s="435"/>
      <c r="BT326" s="435"/>
    </row>
    <row r="327" spans="57:97" ht="8.25" hidden="1" customHeight="1" x14ac:dyDescent="0.2"/>
    <row r="328" spans="57:97" ht="8.25" hidden="1" customHeight="1" x14ac:dyDescent="0.2"/>
    <row r="329" spans="57:97" ht="8.25" hidden="1" customHeight="1" x14ac:dyDescent="0.2"/>
    <row r="330" spans="57:97" ht="12" hidden="1" x14ac:dyDescent="0.2">
      <c r="BE330" s="432" t="s">
        <v>507</v>
      </c>
      <c r="BF330" s="432"/>
      <c r="BG330" s="432"/>
      <c r="BH330" s="432"/>
      <c r="BI330" s="432"/>
      <c r="BJ330" s="432"/>
      <c r="BK330" s="432"/>
      <c r="BL330" s="432"/>
      <c r="BM330" s="432"/>
      <c r="BN330" s="432"/>
      <c r="BO330" s="432"/>
      <c r="BP330" s="432"/>
      <c r="BQ330" s="432"/>
      <c r="BR330" s="432"/>
      <c r="BS330" s="432"/>
      <c r="BT330" s="432"/>
      <c r="BU330" s="432"/>
      <c r="BV330" s="432"/>
      <c r="BW330" s="432"/>
      <c r="BX330" s="432"/>
      <c r="BY330" s="432"/>
      <c r="BZ330" s="432"/>
      <c r="CA330" s="432"/>
    </row>
    <row r="331" spans="57:97" ht="12" hidden="1" x14ac:dyDescent="0.2">
      <c r="BE331" s="432" t="s">
        <v>126</v>
      </c>
      <c r="BF331" s="432"/>
      <c r="BG331" s="432"/>
      <c r="BH331" s="433">
        <f>300*110</f>
        <v>33000</v>
      </c>
      <c r="BI331" s="433"/>
      <c r="BJ331" s="433"/>
      <c r="BK331" s="433"/>
      <c r="BL331" s="433"/>
      <c r="BM331" s="332" t="s">
        <v>127</v>
      </c>
      <c r="BN331" s="332"/>
      <c r="BO331" s="332"/>
      <c r="BP331" s="332"/>
      <c r="BQ331" s="332"/>
      <c r="BR331" s="332"/>
      <c r="BS331" s="332"/>
      <c r="BT331" s="332"/>
    </row>
    <row r="332" spans="57:97" ht="15" hidden="1" x14ac:dyDescent="0.25">
      <c r="BE332" s="434">
        <v>0.6</v>
      </c>
      <c r="BF332" s="432"/>
      <c r="BG332" s="432"/>
      <c r="BH332" s="216">
        <f>BH331*BE332</f>
        <v>19800</v>
      </c>
      <c r="BI332" s="432" t="s">
        <v>128</v>
      </c>
      <c r="BJ332" s="432"/>
      <c r="BK332" s="432"/>
      <c r="BL332" s="432"/>
      <c r="BM332" s="432"/>
      <c r="BN332" s="432" t="s">
        <v>129</v>
      </c>
      <c r="BO332" s="432"/>
      <c r="BP332" s="432"/>
      <c r="BQ332" s="432"/>
      <c r="BR332" s="432"/>
      <c r="BS332" s="432"/>
      <c r="BT332" s="432"/>
      <c r="CD332" s="444" t="s">
        <v>368</v>
      </c>
      <c r="CE332" s="441"/>
      <c r="CF332" s="441"/>
      <c r="CG332" s="441"/>
      <c r="CH332" s="441"/>
      <c r="CI332" s="441"/>
      <c r="CJ332" s="441"/>
      <c r="CM332" s="444" t="s">
        <v>366</v>
      </c>
      <c r="CN332" s="441"/>
      <c r="CO332" s="441"/>
      <c r="CP332" s="441"/>
      <c r="CQ332" s="441"/>
      <c r="CR332" s="441"/>
      <c r="CS332" s="441"/>
    </row>
    <row r="333" spans="57:97" ht="15" hidden="1" x14ac:dyDescent="0.25">
      <c r="BE333" s="432">
        <v>211</v>
      </c>
      <c r="BF333" s="432"/>
      <c r="BG333" s="432"/>
      <c r="BH333" s="216">
        <f>BH332-BH334</f>
        <v>15207.373271889401</v>
      </c>
      <c r="BI333" s="435">
        <f>BH333*0.2</f>
        <v>3041.4746543778801</v>
      </c>
      <c r="BJ333" s="435"/>
      <c r="BK333" s="435"/>
      <c r="BL333" s="435"/>
      <c r="BM333" s="435"/>
      <c r="BN333" s="436">
        <f>BH333-BI333</f>
        <v>12165.898617511521</v>
      </c>
      <c r="BO333" s="445"/>
      <c r="BP333" s="445"/>
      <c r="BQ333" s="445"/>
      <c r="BR333" s="445"/>
      <c r="BS333" s="445"/>
      <c r="BT333" s="445"/>
      <c r="CD333" s="437">
        <f>BI333*15/20</f>
        <v>2281.1059907834101</v>
      </c>
      <c r="CE333" s="446"/>
      <c r="CF333" s="446"/>
      <c r="CG333" s="446"/>
      <c r="CH333" s="446"/>
      <c r="CI333" s="446"/>
      <c r="CJ333" s="446"/>
      <c r="CM333" s="437">
        <f>BI333*5/20</f>
        <v>760.36866359447004</v>
      </c>
      <c r="CN333" s="446"/>
      <c r="CO333" s="446"/>
      <c r="CP333" s="446"/>
      <c r="CQ333" s="446"/>
      <c r="CR333" s="446"/>
      <c r="CS333" s="446"/>
    </row>
    <row r="334" spans="57:97" ht="12" hidden="1" x14ac:dyDescent="0.2">
      <c r="BE334" s="432">
        <v>213</v>
      </c>
      <c r="BF334" s="432"/>
      <c r="BG334" s="432"/>
      <c r="BH334" s="216">
        <f>BH332*30.2/130.2</f>
        <v>4592.6267281105993</v>
      </c>
      <c r="BI334" s="435">
        <f>BI333*30.2%</f>
        <v>918.52534562211974</v>
      </c>
      <c r="BJ334" s="435"/>
      <c r="BK334" s="435"/>
      <c r="BL334" s="435"/>
      <c r="BM334" s="435"/>
      <c r="BN334" s="435">
        <f>BN333*30.2%</f>
        <v>3674.101382488479</v>
      </c>
      <c r="BO334" s="435"/>
      <c r="BP334" s="435"/>
      <c r="BQ334" s="435"/>
      <c r="BR334" s="435"/>
      <c r="BS334" s="435"/>
      <c r="BT334" s="435"/>
    </row>
    <row r="335" spans="57:97" ht="8.25" hidden="1" customHeight="1" x14ac:dyDescent="0.2"/>
    <row r="336" spans="57:97" ht="8.25" hidden="1" customHeight="1" x14ac:dyDescent="0.2"/>
    <row r="337" spans="57:97" ht="12" x14ac:dyDescent="0.2">
      <c r="BE337" s="432" t="s">
        <v>541</v>
      </c>
      <c r="BF337" s="432"/>
      <c r="BG337" s="432"/>
      <c r="BH337" s="432"/>
      <c r="BI337" s="432"/>
      <c r="BJ337" s="432"/>
      <c r="BK337" s="432"/>
      <c r="BL337" s="432"/>
      <c r="BM337" s="432"/>
      <c r="BN337" s="432"/>
      <c r="BO337" s="432"/>
      <c r="BP337" s="432"/>
      <c r="BQ337" s="432"/>
      <c r="BR337" s="432"/>
      <c r="BS337" s="432"/>
      <c r="BT337" s="432"/>
      <c r="BU337" s="432"/>
      <c r="BV337" s="432"/>
      <c r="BW337" s="432"/>
      <c r="BX337" s="432"/>
      <c r="BY337" s="432"/>
      <c r="BZ337" s="432"/>
      <c r="CA337" s="432"/>
    </row>
    <row r="338" spans="57:97" ht="12" x14ac:dyDescent="0.2">
      <c r="BE338" s="432" t="s">
        <v>126</v>
      </c>
      <c r="BF338" s="432"/>
      <c r="BG338" s="432"/>
      <c r="BH338" s="433">
        <f>300*43</f>
        <v>12900</v>
      </c>
      <c r="BI338" s="433"/>
      <c r="BJ338" s="433"/>
      <c r="BK338" s="433"/>
      <c r="BL338" s="433"/>
      <c r="BM338" s="332" t="s">
        <v>127</v>
      </c>
      <c r="BN338" s="332"/>
      <c r="BO338" s="332"/>
      <c r="BP338" s="332"/>
      <c r="BQ338" s="332"/>
      <c r="BR338" s="332"/>
      <c r="BS338" s="332"/>
      <c r="BT338" s="332"/>
    </row>
    <row r="339" spans="57:97" ht="15" x14ac:dyDescent="0.25">
      <c r="BE339" s="434">
        <v>0.6</v>
      </c>
      <c r="BF339" s="432"/>
      <c r="BG339" s="432"/>
      <c r="BH339" s="216">
        <f>BH338*BE339</f>
        <v>7740</v>
      </c>
      <c r="BI339" s="432" t="s">
        <v>128</v>
      </c>
      <c r="BJ339" s="432"/>
      <c r="BK339" s="432"/>
      <c r="BL339" s="432"/>
      <c r="BM339" s="432"/>
      <c r="BN339" s="432" t="s">
        <v>129</v>
      </c>
      <c r="BO339" s="432"/>
      <c r="BP339" s="432"/>
      <c r="BQ339" s="432"/>
      <c r="BR339" s="432"/>
      <c r="BS339" s="432"/>
      <c r="BT339" s="432"/>
      <c r="CD339" s="444" t="s">
        <v>368</v>
      </c>
      <c r="CE339" s="441"/>
      <c r="CF339" s="441"/>
      <c r="CG339" s="441"/>
      <c r="CH339" s="441"/>
      <c r="CI339" s="441"/>
      <c r="CJ339" s="441"/>
      <c r="CM339" s="444" t="s">
        <v>366</v>
      </c>
      <c r="CN339" s="441"/>
      <c r="CO339" s="441"/>
      <c r="CP339" s="441"/>
      <c r="CQ339" s="441"/>
      <c r="CR339" s="441"/>
      <c r="CS339" s="441"/>
    </row>
    <row r="340" spans="57:97" ht="15" x14ac:dyDescent="0.25">
      <c r="BE340" s="432">
        <v>211</v>
      </c>
      <c r="BF340" s="432"/>
      <c r="BG340" s="432"/>
      <c r="BH340" s="216">
        <f>BH339-BH341</f>
        <v>5944.7004608294928</v>
      </c>
      <c r="BI340" s="435">
        <f>BH340*0.2</f>
        <v>1188.9400921658987</v>
      </c>
      <c r="BJ340" s="435"/>
      <c r="BK340" s="435"/>
      <c r="BL340" s="435"/>
      <c r="BM340" s="435"/>
      <c r="BN340" s="436">
        <f>BH340-BI340</f>
        <v>4755.7603686635939</v>
      </c>
      <c r="BO340" s="445"/>
      <c r="BP340" s="445"/>
      <c r="BQ340" s="445"/>
      <c r="BR340" s="445"/>
      <c r="BS340" s="445"/>
      <c r="BT340" s="445"/>
      <c r="CD340" s="437">
        <f>BI340*15/20</f>
        <v>891.70506912442397</v>
      </c>
      <c r="CE340" s="446"/>
      <c r="CF340" s="446"/>
      <c r="CG340" s="446"/>
      <c r="CH340" s="446"/>
      <c r="CI340" s="446"/>
      <c r="CJ340" s="446"/>
      <c r="CM340" s="437">
        <f>BI340*5/20</f>
        <v>297.23502304147468</v>
      </c>
      <c r="CN340" s="446"/>
      <c r="CO340" s="446"/>
      <c r="CP340" s="446"/>
      <c r="CQ340" s="446"/>
      <c r="CR340" s="446"/>
      <c r="CS340" s="446"/>
    </row>
    <row r="341" spans="57:97" ht="12" x14ac:dyDescent="0.2">
      <c r="BE341" s="432">
        <v>213</v>
      </c>
      <c r="BF341" s="432"/>
      <c r="BG341" s="432"/>
      <c r="BH341" s="216">
        <f>BH339*30.2/130.2</f>
        <v>1795.2995391705072</v>
      </c>
      <c r="BI341" s="435">
        <f>BI340*30.2%</f>
        <v>359.05990783410141</v>
      </c>
      <c r="BJ341" s="435"/>
      <c r="BK341" s="435"/>
      <c r="BL341" s="435"/>
      <c r="BM341" s="435"/>
      <c r="BN341" s="435">
        <f>BN340*30.2%</f>
        <v>1436.2396313364054</v>
      </c>
      <c r="BO341" s="435"/>
      <c r="BP341" s="435"/>
      <c r="BQ341" s="435"/>
      <c r="BR341" s="435"/>
      <c r="BS341" s="435"/>
      <c r="BT341" s="435"/>
    </row>
    <row r="345" spans="57:97" ht="15" hidden="1" x14ac:dyDescent="0.25">
      <c r="CM345" s="778">
        <f>CM273+CM280+CM288+CM295+CM302+CM309+CM317+CM325+CM333+CM340</f>
        <v>6103.6866359447004</v>
      </c>
      <c r="CN345" s="779"/>
      <c r="CO345" s="779"/>
      <c r="CP345" s="779"/>
      <c r="CQ345" s="779"/>
      <c r="CR345" s="779"/>
    </row>
    <row r="346" spans="57:97" ht="12" x14ac:dyDescent="0.2">
      <c r="BE346" s="432" t="s">
        <v>559</v>
      </c>
      <c r="BF346" s="432"/>
      <c r="BG346" s="432"/>
      <c r="BH346" s="432"/>
      <c r="BI346" s="432"/>
      <c r="BJ346" s="432"/>
      <c r="BK346" s="432"/>
      <c r="BL346" s="432"/>
      <c r="BM346" s="432"/>
      <c r="BN346" s="432"/>
      <c r="BO346" s="432"/>
      <c r="BP346" s="432"/>
      <c r="BQ346" s="432"/>
      <c r="BR346" s="432"/>
      <c r="BS346" s="432"/>
      <c r="BT346" s="432"/>
      <c r="BU346" s="432"/>
      <c r="BV346" s="432"/>
      <c r="BW346" s="432"/>
      <c r="BX346" s="432"/>
      <c r="BY346" s="432"/>
      <c r="BZ346" s="432"/>
      <c r="CA346" s="432"/>
    </row>
    <row r="347" spans="57:97" ht="12" x14ac:dyDescent="0.2">
      <c r="BE347" s="432" t="s">
        <v>126</v>
      </c>
      <c r="BF347" s="432"/>
      <c r="BG347" s="432"/>
      <c r="BH347" s="433">
        <f>300*99</f>
        <v>29700</v>
      </c>
      <c r="BI347" s="433"/>
      <c r="BJ347" s="433"/>
      <c r="BK347" s="433"/>
      <c r="BL347" s="433"/>
      <c r="BM347" s="332" t="s">
        <v>127</v>
      </c>
      <c r="BN347" s="332"/>
      <c r="BO347" s="332"/>
      <c r="BP347" s="332"/>
      <c r="BQ347" s="332"/>
      <c r="BR347" s="332"/>
      <c r="BS347" s="332"/>
      <c r="BT347" s="332"/>
    </row>
    <row r="348" spans="57:97" ht="15" x14ac:dyDescent="0.25">
      <c r="BE348" s="434">
        <v>0.6</v>
      </c>
      <c r="BF348" s="432"/>
      <c r="BG348" s="432"/>
      <c r="BH348" s="216">
        <f>BH347*BE348</f>
        <v>17820</v>
      </c>
      <c r="BI348" s="432" t="s">
        <v>128</v>
      </c>
      <c r="BJ348" s="432"/>
      <c r="BK348" s="432"/>
      <c r="BL348" s="432"/>
      <c r="BM348" s="432"/>
      <c r="BN348" s="432" t="s">
        <v>129</v>
      </c>
      <c r="BO348" s="432"/>
      <c r="BP348" s="432"/>
      <c r="BQ348" s="432"/>
      <c r="BR348" s="432"/>
      <c r="BS348" s="432"/>
      <c r="BT348" s="432"/>
      <c r="CD348" s="444" t="s">
        <v>368</v>
      </c>
      <c r="CE348" s="441"/>
      <c r="CF348" s="441"/>
      <c r="CG348" s="441"/>
      <c r="CH348" s="441"/>
      <c r="CI348" s="441"/>
      <c r="CJ348" s="441"/>
      <c r="CM348" s="444" t="s">
        <v>366</v>
      </c>
      <c r="CN348" s="441"/>
      <c r="CO348" s="441"/>
      <c r="CP348" s="441"/>
      <c r="CQ348" s="441"/>
      <c r="CR348" s="441"/>
      <c r="CS348" s="441"/>
    </row>
    <row r="349" spans="57:97" ht="15" x14ac:dyDescent="0.25">
      <c r="BE349" s="432">
        <v>211</v>
      </c>
      <c r="BF349" s="432"/>
      <c r="BG349" s="432"/>
      <c r="BH349" s="216">
        <f>BH348-BH350</f>
        <v>13686.635944700462</v>
      </c>
      <c r="BI349" s="435">
        <f>BH349*0.2</f>
        <v>2737.3271889400926</v>
      </c>
      <c r="BJ349" s="435"/>
      <c r="BK349" s="435"/>
      <c r="BL349" s="435"/>
      <c r="BM349" s="435"/>
      <c r="BN349" s="436">
        <f>BH349-BI349</f>
        <v>10949.308755760369</v>
      </c>
      <c r="BO349" s="445"/>
      <c r="BP349" s="445"/>
      <c r="BQ349" s="445"/>
      <c r="BR349" s="445"/>
      <c r="BS349" s="445"/>
      <c r="BT349" s="445"/>
      <c r="CD349" s="437">
        <f>BI349*15/20</f>
        <v>2052.9953917050693</v>
      </c>
      <c r="CE349" s="446"/>
      <c r="CF349" s="446"/>
      <c r="CG349" s="446"/>
      <c r="CH349" s="446"/>
      <c r="CI349" s="446"/>
      <c r="CJ349" s="446"/>
      <c r="CM349" s="437">
        <f>BI349*5/20</f>
        <v>684.33179723502315</v>
      </c>
      <c r="CN349" s="446"/>
      <c r="CO349" s="446"/>
      <c r="CP349" s="446"/>
      <c r="CQ349" s="446"/>
      <c r="CR349" s="446"/>
      <c r="CS349" s="446"/>
    </row>
    <row r="350" spans="57:97" ht="12" x14ac:dyDescent="0.2">
      <c r="BE350" s="432">
        <v>213</v>
      </c>
      <c r="BF350" s="432"/>
      <c r="BG350" s="432"/>
      <c r="BH350" s="216">
        <f>BH348*30.2/130.2</f>
        <v>4133.3640552995394</v>
      </c>
      <c r="BI350" s="435">
        <f>BI349*30.2%</f>
        <v>826.67281105990799</v>
      </c>
      <c r="BJ350" s="435"/>
      <c r="BK350" s="435"/>
      <c r="BL350" s="435"/>
      <c r="BM350" s="435"/>
      <c r="BN350" s="435">
        <f>BN349*30.2%</f>
        <v>3306.691244239631</v>
      </c>
      <c r="BO350" s="435"/>
      <c r="BP350" s="435"/>
      <c r="BQ350" s="435"/>
      <c r="BR350" s="435"/>
      <c r="BS350" s="435"/>
      <c r="BT350" s="435"/>
    </row>
    <row r="351" spans="57:97" ht="12" x14ac:dyDescent="0.2"/>
    <row r="352" spans="57:97" ht="12" x14ac:dyDescent="0.2">
      <c r="BE352" s="432" t="s">
        <v>572</v>
      </c>
      <c r="BF352" s="432"/>
      <c r="BG352" s="432"/>
      <c r="BH352" s="432"/>
      <c r="BI352" s="432"/>
      <c r="BJ352" s="432"/>
      <c r="BK352" s="432"/>
      <c r="BL352" s="432"/>
      <c r="BM352" s="432"/>
      <c r="BN352" s="432"/>
      <c r="BO352" s="432"/>
      <c r="BP352" s="432"/>
      <c r="BQ352" s="432"/>
      <c r="BR352" s="432"/>
      <c r="BS352" s="432"/>
      <c r="BT352" s="432"/>
      <c r="BU352" s="432"/>
      <c r="BV352" s="432"/>
      <c r="BW352" s="432"/>
      <c r="BX352" s="432"/>
      <c r="BY352" s="432"/>
      <c r="BZ352" s="432"/>
      <c r="CA352" s="432"/>
    </row>
    <row r="353" spans="57:97" ht="12" x14ac:dyDescent="0.2">
      <c r="BE353" s="432" t="s">
        <v>126</v>
      </c>
      <c r="BF353" s="432"/>
      <c r="BG353" s="432"/>
      <c r="BH353" s="433">
        <f>300*143</f>
        <v>42900</v>
      </c>
      <c r="BI353" s="433"/>
      <c r="BJ353" s="433"/>
      <c r="BK353" s="433"/>
      <c r="BL353" s="433"/>
      <c r="BM353" s="332" t="s">
        <v>127</v>
      </c>
      <c r="BN353" s="332"/>
      <c r="BO353" s="332"/>
      <c r="BP353" s="332"/>
      <c r="BQ353" s="332"/>
      <c r="BR353" s="332"/>
      <c r="BS353" s="332"/>
      <c r="BT353" s="332"/>
    </row>
    <row r="354" spans="57:97" ht="15" x14ac:dyDescent="0.25">
      <c r="BE354" s="434">
        <v>0.6</v>
      </c>
      <c r="BF354" s="432"/>
      <c r="BG354" s="432"/>
      <c r="BH354" s="216">
        <f>BH353*BE354</f>
        <v>25740</v>
      </c>
      <c r="BI354" s="432" t="s">
        <v>128</v>
      </c>
      <c r="BJ354" s="432"/>
      <c r="BK354" s="432"/>
      <c r="BL354" s="432"/>
      <c r="BM354" s="432"/>
      <c r="BN354" s="432" t="s">
        <v>129</v>
      </c>
      <c r="BO354" s="432"/>
      <c r="BP354" s="432"/>
      <c r="BQ354" s="432"/>
      <c r="BR354" s="432"/>
      <c r="BS354" s="432"/>
      <c r="BT354" s="432"/>
      <c r="CD354" s="444" t="s">
        <v>368</v>
      </c>
      <c r="CE354" s="441"/>
      <c r="CF354" s="441"/>
      <c r="CG354" s="441"/>
      <c r="CH354" s="441"/>
      <c r="CI354" s="441"/>
      <c r="CJ354" s="441"/>
      <c r="CM354" s="444" t="s">
        <v>366</v>
      </c>
      <c r="CN354" s="441"/>
      <c r="CO354" s="441"/>
      <c r="CP354" s="441"/>
      <c r="CQ354" s="441"/>
      <c r="CR354" s="441"/>
      <c r="CS354" s="441"/>
    </row>
    <row r="355" spans="57:97" ht="15" x14ac:dyDescent="0.25">
      <c r="BE355" s="432">
        <v>211</v>
      </c>
      <c r="BF355" s="432"/>
      <c r="BG355" s="432"/>
      <c r="BH355" s="216">
        <f>BH354-BH356</f>
        <v>19769.585253456222</v>
      </c>
      <c r="BI355" s="435">
        <f>BH355*0.2</f>
        <v>3953.9170506912446</v>
      </c>
      <c r="BJ355" s="435"/>
      <c r="BK355" s="435"/>
      <c r="BL355" s="435"/>
      <c r="BM355" s="435"/>
      <c r="BN355" s="436">
        <f>BH355-BI355</f>
        <v>15815.668202764977</v>
      </c>
      <c r="BO355" s="445"/>
      <c r="BP355" s="445"/>
      <c r="BQ355" s="445"/>
      <c r="BR355" s="445"/>
      <c r="BS355" s="445"/>
      <c r="BT355" s="445"/>
      <c r="CD355" s="437" t="s">
        <v>578</v>
      </c>
      <c r="CE355" s="446"/>
      <c r="CF355" s="446"/>
      <c r="CG355" s="446"/>
      <c r="CH355" s="446"/>
      <c r="CI355" s="446"/>
      <c r="CJ355" s="446"/>
      <c r="CM355" s="437">
        <f>BI355*5/20</f>
        <v>988.47926267281105</v>
      </c>
      <c r="CN355" s="446"/>
      <c r="CO355" s="446"/>
      <c r="CP355" s="446"/>
      <c r="CQ355" s="446"/>
      <c r="CR355" s="446"/>
      <c r="CS355" s="446"/>
    </row>
    <row r="356" spans="57:97" ht="12" x14ac:dyDescent="0.2">
      <c r="BE356" s="432">
        <v>213</v>
      </c>
      <c r="BF356" s="432"/>
      <c r="BG356" s="432"/>
      <c r="BH356" s="216">
        <f>BH354*30.2/130.2</f>
        <v>5970.4147465437791</v>
      </c>
      <c r="BI356" s="435">
        <f>BI355*30.2%</f>
        <v>1194.0829493087558</v>
      </c>
      <c r="BJ356" s="435"/>
      <c r="BK356" s="435"/>
      <c r="BL356" s="435"/>
      <c r="BM356" s="435"/>
      <c r="BN356" s="435">
        <f>BN355*30.2%</f>
        <v>4776.3317972350233</v>
      </c>
      <c r="BO356" s="435"/>
      <c r="BP356" s="435"/>
      <c r="BQ356" s="435"/>
      <c r="BR356" s="435"/>
      <c r="BS356" s="435"/>
      <c r="BT356" s="435"/>
    </row>
  </sheetData>
  <mergeCells count="811">
    <mergeCell ref="A12:S12"/>
    <mergeCell ref="U12:W12"/>
    <mergeCell ref="A14:S14"/>
    <mergeCell ref="U14:W14"/>
    <mergeCell ref="A16:S16"/>
    <mergeCell ref="U16:W16"/>
    <mergeCell ref="A7:BA7"/>
    <mergeCell ref="A8:BA8"/>
    <mergeCell ref="C10:E10"/>
    <mergeCell ref="G10:L10"/>
    <mergeCell ref="N10:Q10"/>
    <mergeCell ref="U10:AG10"/>
    <mergeCell ref="AH10:AI10"/>
    <mergeCell ref="AJ10:AL10"/>
    <mergeCell ref="AN10:AT10"/>
    <mergeCell ref="AV10:AY10"/>
    <mergeCell ref="Y16:AA16"/>
    <mergeCell ref="AX19:BB19"/>
    <mergeCell ref="A20:G22"/>
    <mergeCell ref="H20:AB22"/>
    <mergeCell ref="AC20:AG22"/>
    <mergeCell ref="AH20:AM22"/>
    <mergeCell ref="AN20:AR22"/>
    <mergeCell ref="AS20:AW22"/>
    <mergeCell ref="AX20:BB22"/>
    <mergeCell ref="H34:M34"/>
    <mergeCell ref="AS34:AW34"/>
    <mergeCell ref="AX34:BB34"/>
    <mergeCell ref="AO35:AR35"/>
    <mergeCell ref="AS35:AW35"/>
    <mergeCell ref="AX35:BB35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H51:K51"/>
    <mergeCell ref="AS51:AW51"/>
    <mergeCell ref="AX51:BB51"/>
    <mergeCell ref="AO52:AR52"/>
    <mergeCell ref="AS52:AW52"/>
    <mergeCell ref="AX52:BB52"/>
    <mergeCell ref="AX37:BB39"/>
    <mergeCell ref="A40:BB4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37:G39"/>
    <mergeCell ref="H37:AB39"/>
    <mergeCell ref="AC37:AG39"/>
    <mergeCell ref="AH37:AM39"/>
    <mergeCell ref="AN37:AR39"/>
    <mergeCell ref="AS37:AW39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AX63:BB67"/>
    <mergeCell ref="H64:M64"/>
    <mergeCell ref="N64:P64"/>
    <mergeCell ref="R64:V64"/>
    <mergeCell ref="I66:K66"/>
    <mergeCell ref="R59:V59"/>
    <mergeCell ref="I61:K61"/>
    <mergeCell ref="M61:O61"/>
    <mergeCell ref="Q61:S61"/>
    <mergeCell ref="U61:W61"/>
    <mergeCell ref="Z61:AB61"/>
    <mergeCell ref="M66:O66"/>
    <mergeCell ref="Q66:S66"/>
    <mergeCell ref="U66:W66"/>
    <mergeCell ref="Z66:AB66"/>
    <mergeCell ref="A68:G72"/>
    <mergeCell ref="AC68:AG72"/>
    <mergeCell ref="U71:W71"/>
    <mergeCell ref="Z71:AB71"/>
    <mergeCell ref="A63:G67"/>
    <mergeCell ref="AC63:AG67"/>
    <mergeCell ref="AH73:AM77"/>
    <mergeCell ref="AN73:AR77"/>
    <mergeCell ref="AS73:AW77"/>
    <mergeCell ref="AH63:AM67"/>
    <mergeCell ref="AN63:AR67"/>
    <mergeCell ref="AS63:AW67"/>
    <mergeCell ref="AX73:BB77"/>
    <mergeCell ref="H74:M74"/>
    <mergeCell ref="N74:P74"/>
    <mergeCell ref="R74:V74"/>
    <mergeCell ref="I76:K76"/>
    <mergeCell ref="AH68:AM72"/>
    <mergeCell ref="AN68:AR72"/>
    <mergeCell ref="AS68:AW72"/>
    <mergeCell ref="AX68:BB72"/>
    <mergeCell ref="H69:M69"/>
    <mergeCell ref="N69:P69"/>
    <mergeCell ref="R69:V69"/>
    <mergeCell ref="I71:K71"/>
    <mergeCell ref="M71:O71"/>
    <mergeCell ref="Q71:S71"/>
    <mergeCell ref="M76:O76"/>
    <mergeCell ref="Q76:S76"/>
    <mergeCell ref="U76:W76"/>
    <mergeCell ref="Z76:AB76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AX78:BB82"/>
    <mergeCell ref="H79:M79"/>
    <mergeCell ref="N79:P79"/>
    <mergeCell ref="R79:V79"/>
    <mergeCell ref="I81:K81"/>
    <mergeCell ref="M81:O81"/>
    <mergeCell ref="Q81:S81"/>
    <mergeCell ref="AS83:AW83"/>
    <mergeCell ref="AX83:BB83"/>
    <mergeCell ref="AO84:AR84"/>
    <mergeCell ref="AS84:AW84"/>
    <mergeCell ref="AX84:BB84"/>
    <mergeCell ref="A86:N86"/>
    <mergeCell ref="O86:AN86"/>
    <mergeCell ref="AO86:AU86"/>
    <mergeCell ref="AV86:BB86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103:Z103"/>
    <mergeCell ref="AA103:AF103"/>
    <mergeCell ref="AG103:AL103"/>
    <mergeCell ref="AM103:AT103"/>
    <mergeCell ref="AU103:BB103"/>
    <mergeCell ref="A104:Z104"/>
    <mergeCell ref="AA104:AF104"/>
    <mergeCell ref="AG104:AL125"/>
    <mergeCell ref="AM104:AT125"/>
    <mergeCell ref="AU104:BB104"/>
    <mergeCell ref="A105:Z105"/>
    <mergeCell ref="AA105:AF105"/>
    <mergeCell ref="AU105:BB105"/>
    <mergeCell ref="A106:Z106"/>
    <mergeCell ref="AA106:AF106"/>
    <mergeCell ref="A109:Z109"/>
    <mergeCell ref="AA109:AF109"/>
    <mergeCell ref="AU109:BB109"/>
    <mergeCell ref="A110:Z110"/>
    <mergeCell ref="AA110:AF110"/>
    <mergeCell ref="AU110:BB110"/>
    <mergeCell ref="AU106:BB106"/>
    <mergeCell ref="A107:Z107"/>
    <mergeCell ref="AA107:AF107"/>
    <mergeCell ref="AU107:BB107"/>
    <mergeCell ref="A108:Z108"/>
    <mergeCell ref="AA108:AF108"/>
    <mergeCell ref="AU108:BB108"/>
    <mergeCell ref="A113:Z113"/>
    <mergeCell ref="AA113:AF113"/>
    <mergeCell ref="AU113:BB113"/>
    <mergeCell ref="A114:Z114"/>
    <mergeCell ref="AA114:AF114"/>
    <mergeCell ref="AU114:BB114"/>
    <mergeCell ref="A111:Z111"/>
    <mergeCell ref="AA111:AF111"/>
    <mergeCell ref="AU111:BB111"/>
    <mergeCell ref="A112:Z112"/>
    <mergeCell ref="AA112:AF112"/>
    <mergeCell ref="AU112:BB112"/>
    <mergeCell ref="A117:Z117"/>
    <mergeCell ref="AA117:AF117"/>
    <mergeCell ref="AU117:BB117"/>
    <mergeCell ref="A118:Z118"/>
    <mergeCell ref="AA118:AF118"/>
    <mergeCell ref="AU118:BB118"/>
    <mergeCell ref="A115:Z115"/>
    <mergeCell ref="AA115:AF115"/>
    <mergeCell ref="AU115:BB115"/>
    <mergeCell ref="A116:Z116"/>
    <mergeCell ref="AA116:AF116"/>
    <mergeCell ref="AU116:BB116"/>
    <mergeCell ref="A121:Z121"/>
    <mergeCell ref="AA121:AF121"/>
    <mergeCell ref="AU121:BB121"/>
    <mergeCell ref="A122:Z122"/>
    <mergeCell ref="AA122:AF122"/>
    <mergeCell ref="AU122:BB122"/>
    <mergeCell ref="A119:Z119"/>
    <mergeCell ref="AA119:AF119"/>
    <mergeCell ref="AU119:BB119"/>
    <mergeCell ref="A120:Z120"/>
    <mergeCell ref="AA120:AF120"/>
    <mergeCell ref="AU120:BB120"/>
    <mergeCell ref="A125:Z125"/>
    <mergeCell ref="AA125:AF125"/>
    <mergeCell ref="AU125:BB125"/>
    <mergeCell ref="A126:Z126"/>
    <mergeCell ref="AA126:AF126"/>
    <mergeCell ref="AG126:AL126"/>
    <mergeCell ref="AM126:AT126"/>
    <mergeCell ref="AU126:BB126"/>
    <mergeCell ref="A123:Z123"/>
    <mergeCell ref="AA123:AF123"/>
    <mergeCell ref="AU123:BB123"/>
    <mergeCell ref="A124:Z124"/>
    <mergeCell ref="AA124:AF124"/>
    <mergeCell ref="AU124:BB124"/>
    <mergeCell ref="A130:Z130"/>
    <mergeCell ref="AA130:AF130"/>
    <mergeCell ref="AG130:AL130"/>
    <mergeCell ref="AM130:AT130"/>
    <mergeCell ref="AU130:BB130"/>
    <mergeCell ref="A131:Z131"/>
    <mergeCell ref="AA131:AF131"/>
    <mergeCell ref="AG131:AL131"/>
    <mergeCell ref="AM131:AT131"/>
    <mergeCell ref="AU131:BB131"/>
    <mergeCell ref="A132:Z132"/>
    <mergeCell ref="AA132:AF132"/>
    <mergeCell ref="AG132:AL137"/>
    <mergeCell ref="AM132:AT137"/>
    <mergeCell ref="AU132:BB132"/>
    <mergeCell ref="A133:Z133"/>
    <mergeCell ref="AA133:AF133"/>
    <mergeCell ref="AU133:BB133"/>
    <mergeCell ref="A134:Z134"/>
    <mergeCell ref="AA134:AF134"/>
    <mergeCell ref="A137:Z137"/>
    <mergeCell ref="AA137:AF137"/>
    <mergeCell ref="AU137:BB137"/>
    <mergeCell ref="A138:Z138"/>
    <mergeCell ref="AA138:AF138"/>
    <mergeCell ref="AG138:AL138"/>
    <mergeCell ref="AM138:AT138"/>
    <mergeCell ref="AU138:BB138"/>
    <mergeCell ref="AU134:BB134"/>
    <mergeCell ref="A135:Z135"/>
    <mergeCell ref="AA135:AF135"/>
    <mergeCell ref="AU135:BB135"/>
    <mergeCell ref="A136:Z136"/>
    <mergeCell ref="AA136:AF136"/>
    <mergeCell ref="AU136:BB136"/>
    <mergeCell ref="AY142:BB142"/>
    <mergeCell ref="H143:L143"/>
    <mergeCell ref="M143:Q143"/>
    <mergeCell ref="AD143:AI143"/>
    <mergeCell ref="AJ143:AP143"/>
    <mergeCell ref="AQ143:AT143"/>
    <mergeCell ref="AU143:AX143"/>
    <mergeCell ref="H142:L142"/>
    <mergeCell ref="M142:Q142"/>
    <mergeCell ref="R142:U143"/>
    <mergeCell ref="V142:Y143"/>
    <mergeCell ref="Z142:AC143"/>
    <mergeCell ref="AY143:BB143"/>
    <mergeCell ref="AY144:BB144"/>
    <mergeCell ref="A145:G145"/>
    <mergeCell ref="H145:L145"/>
    <mergeCell ref="M145:Q145"/>
    <mergeCell ref="R145:U148"/>
    <mergeCell ref="V145:Y148"/>
    <mergeCell ref="Z145:AC148"/>
    <mergeCell ref="AD145:AI145"/>
    <mergeCell ref="AJ145:AP145"/>
    <mergeCell ref="AQ145:AT145"/>
    <mergeCell ref="AU145:AX145"/>
    <mergeCell ref="AY145:BB145"/>
    <mergeCell ref="A146:G146"/>
    <mergeCell ref="H146:L146"/>
    <mergeCell ref="M146:Q146"/>
    <mergeCell ref="AD146:AI146"/>
    <mergeCell ref="AJ146:AP146"/>
    <mergeCell ref="AQ146:AT146"/>
    <mergeCell ref="AU146:AX146"/>
    <mergeCell ref="AY146:BB146"/>
    <mergeCell ref="A147:G147"/>
    <mergeCell ref="H147:L147"/>
    <mergeCell ref="A144:G144"/>
    <mergeCell ref="H144:L144"/>
    <mergeCell ref="H148:L148"/>
    <mergeCell ref="M148:Q148"/>
    <mergeCell ref="AD148:AI148"/>
    <mergeCell ref="AJ148:AP148"/>
    <mergeCell ref="AQ148:AT148"/>
    <mergeCell ref="AQ149:AT149"/>
    <mergeCell ref="AU149:AX149"/>
    <mergeCell ref="A142:G143"/>
    <mergeCell ref="AU144:AX144"/>
    <mergeCell ref="M144:Q144"/>
    <mergeCell ref="R144:U144"/>
    <mergeCell ref="V144:Y144"/>
    <mergeCell ref="Z144:AC144"/>
    <mergeCell ref="AD144:AI144"/>
    <mergeCell ref="AJ144:AP144"/>
    <mergeCell ref="AQ144:AT144"/>
    <mergeCell ref="AD142:AP142"/>
    <mergeCell ref="AQ142:AT142"/>
    <mergeCell ref="AU142:AX142"/>
    <mergeCell ref="AQ151:AT151"/>
    <mergeCell ref="AU151:AX151"/>
    <mergeCell ref="AY151:BB151"/>
    <mergeCell ref="BE151:CA151"/>
    <mergeCell ref="A151:G151"/>
    <mergeCell ref="H151:L151"/>
    <mergeCell ref="M151:Q151"/>
    <mergeCell ref="M147:Q147"/>
    <mergeCell ref="AD147:AI147"/>
    <mergeCell ref="AJ147:AP147"/>
    <mergeCell ref="AQ147:AT147"/>
    <mergeCell ref="AU147:AX147"/>
    <mergeCell ref="AY147:BB147"/>
    <mergeCell ref="AU148:AX148"/>
    <mergeCell ref="AY148:BB148"/>
    <mergeCell ref="A149:G149"/>
    <mergeCell ref="H149:L149"/>
    <mergeCell ref="M149:Q149"/>
    <mergeCell ref="R149:U149"/>
    <mergeCell ref="V149:Y149"/>
    <mergeCell ref="Z149:AC149"/>
    <mergeCell ref="AD149:AI149"/>
    <mergeCell ref="AJ149:AP149"/>
    <mergeCell ref="A148:G148"/>
    <mergeCell ref="AY149:BB149"/>
    <mergeCell ref="A150:F150"/>
    <mergeCell ref="H150:L150"/>
    <mergeCell ref="M150:Q150"/>
    <mergeCell ref="R150:U150"/>
    <mergeCell ref="V150:Y150"/>
    <mergeCell ref="Z150:AC150"/>
    <mergeCell ref="AD150:AI150"/>
    <mergeCell ref="AJ150:AP150"/>
    <mergeCell ref="AQ150:AT150"/>
    <mergeCell ref="AU150:AX150"/>
    <mergeCell ref="AY150:BB150"/>
    <mergeCell ref="R151:U151"/>
    <mergeCell ref="V151:Y151"/>
    <mergeCell ref="Z151:AC151"/>
    <mergeCell ref="B155:S156"/>
    <mergeCell ref="AM155:BC156"/>
    <mergeCell ref="BE155:BG155"/>
    <mergeCell ref="BI155:BM155"/>
    <mergeCell ref="BN155:BT155"/>
    <mergeCell ref="BE159:CA159"/>
    <mergeCell ref="BN153:BT153"/>
    <mergeCell ref="B154:S154"/>
    <mergeCell ref="AM154:BB154"/>
    <mergeCell ref="BC154:BD154"/>
    <mergeCell ref="BE154:BG154"/>
    <mergeCell ref="BI154:BM154"/>
    <mergeCell ref="BN154:BT154"/>
    <mergeCell ref="BC153:BD153"/>
    <mergeCell ref="BE153:BG153"/>
    <mergeCell ref="BI153:BM153"/>
    <mergeCell ref="BC152:BD152"/>
    <mergeCell ref="BE152:BG152"/>
    <mergeCell ref="BH152:BL152"/>
    <mergeCell ref="AD151:AI151"/>
    <mergeCell ref="AJ151:AP151"/>
    <mergeCell ref="BE163:BG163"/>
    <mergeCell ref="BI163:BM163"/>
    <mergeCell ref="BN163:BT163"/>
    <mergeCell ref="BE167:CA167"/>
    <mergeCell ref="BE168:CA168"/>
    <mergeCell ref="BE169:BG169"/>
    <mergeCell ref="BH169:BL169"/>
    <mergeCell ref="BE160:BG160"/>
    <mergeCell ref="BH160:BL160"/>
    <mergeCell ref="BE161:BG161"/>
    <mergeCell ref="BI161:BM161"/>
    <mergeCell ref="BN161:BT161"/>
    <mergeCell ref="BE162:BG162"/>
    <mergeCell ref="BI162:BM162"/>
    <mergeCell ref="BN162:BT162"/>
    <mergeCell ref="BE172:BG172"/>
    <mergeCell ref="BI172:BM172"/>
    <mergeCell ref="BN172:BT172"/>
    <mergeCell ref="BE175:CA175"/>
    <mergeCell ref="BE176:BG176"/>
    <mergeCell ref="BH176:BL176"/>
    <mergeCell ref="BE170:BG170"/>
    <mergeCell ref="BI170:BM170"/>
    <mergeCell ref="BN170:BT170"/>
    <mergeCell ref="BE171:BG171"/>
    <mergeCell ref="BI171:BM171"/>
    <mergeCell ref="BN171:BT171"/>
    <mergeCell ref="BE179:BG179"/>
    <mergeCell ref="BI179:BM179"/>
    <mergeCell ref="BN179:BT179"/>
    <mergeCell ref="BE183:CA183"/>
    <mergeCell ref="BE184:BG184"/>
    <mergeCell ref="BH184:BL184"/>
    <mergeCell ref="BE177:BG177"/>
    <mergeCell ref="BI177:BM177"/>
    <mergeCell ref="BN177:BT177"/>
    <mergeCell ref="BE178:BG178"/>
    <mergeCell ref="BI178:BM178"/>
    <mergeCell ref="BN178:BT178"/>
    <mergeCell ref="BE187:BG187"/>
    <mergeCell ref="BI187:BM187"/>
    <mergeCell ref="BN187:BT187"/>
    <mergeCell ref="BE190:CA190"/>
    <mergeCell ref="BE191:BG191"/>
    <mergeCell ref="BH191:BL191"/>
    <mergeCell ref="BE185:BG185"/>
    <mergeCell ref="BI185:BM185"/>
    <mergeCell ref="BN185:BT185"/>
    <mergeCell ref="BE186:BG186"/>
    <mergeCell ref="BI186:BM186"/>
    <mergeCell ref="BN186:BT186"/>
    <mergeCell ref="BE194:BG194"/>
    <mergeCell ref="BI194:BM194"/>
    <mergeCell ref="BN194:BT194"/>
    <mergeCell ref="BE197:CA197"/>
    <mergeCell ref="BE198:BG198"/>
    <mergeCell ref="BH198:BL198"/>
    <mergeCell ref="BE192:BG192"/>
    <mergeCell ref="BI192:BM192"/>
    <mergeCell ref="BN192:BT192"/>
    <mergeCell ref="BE193:BG193"/>
    <mergeCell ref="BI193:BM193"/>
    <mergeCell ref="BN193:BT193"/>
    <mergeCell ref="BE201:BG201"/>
    <mergeCell ref="BI201:BM201"/>
    <mergeCell ref="BN201:BT201"/>
    <mergeCell ref="BE204:CA204"/>
    <mergeCell ref="BE205:BG205"/>
    <mergeCell ref="BH205:BL205"/>
    <mergeCell ref="BE199:BG199"/>
    <mergeCell ref="BI199:BM199"/>
    <mergeCell ref="BN199:BT199"/>
    <mergeCell ref="BE200:BG200"/>
    <mergeCell ref="BI200:BM200"/>
    <mergeCell ref="BN200:BT200"/>
    <mergeCell ref="BE208:BG208"/>
    <mergeCell ref="BI208:BM208"/>
    <mergeCell ref="BN208:BT208"/>
    <mergeCell ref="BE211:CA211"/>
    <mergeCell ref="BE212:BG212"/>
    <mergeCell ref="BH212:BL212"/>
    <mergeCell ref="BE206:BG206"/>
    <mergeCell ref="BI206:BM206"/>
    <mergeCell ref="BN206:BT206"/>
    <mergeCell ref="BE207:BG207"/>
    <mergeCell ref="BI207:BM207"/>
    <mergeCell ref="BN207:BT207"/>
    <mergeCell ref="BE215:BG215"/>
    <mergeCell ref="BI215:BM215"/>
    <mergeCell ref="BN215:BT215"/>
    <mergeCell ref="BE218:CA218"/>
    <mergeCell ref="BE219:BG219"/>
    <mergeCell ref="BH219:BL219"/>
    <mergeCell ref="BE213:BG213"/>
    <mergeCell ref="BI213:BM213"/>
    <mergeCell ref="BN213:BT213"/>
    <mergeCell ref="BE214:BG214"/>
    <mergeCell ref="BI214:BM214"/>
    <mergeCell ref="BN214:BT214"/>
    <mergeCell ref="BE222:BG222"/>
    <mergeCell ref="BI222:BM222"/>
    <mergeCell ref="BN222:BT222"/>
    <mergeCell ref="BE225:CA225"/>
    <mergeCell ref="BE226:BG226"/>
    <mergeCell ref="BH226:BL226"/>
    <mergeCell ref="BE220:BG220"/>
    <mergeCell ref="BI220:BM220"/>
    <mergeCell ref="BN220:BT220"/>
    <mergeCell ref="BE221:BG221"/>
    <mergeCell ref="BI221:BM221"/>
    <mergeCell ref="BN221:BT221"/>
    <mergeCell ref="BE229:BG229"/>
    <mergeCell ref="BI229:BM229"/>
    <mergeCell ref="BN229:BT229"/>
    <mergeCell ref="BE230:CA230"/>
    <mergeCell ref="BE231:BG231"/>
    <mergeCell ref="BH231:BL231"/>
    <mergeCell ref="BE227:BG227"/>
    <mergeCell ref="BI227:BM227"/>
    <mergeCell ref="BN227:BT227"/>
    <mergeCell ref="BE228:BG228"/>
    <mergeCell ref="BI228:BM228"/>
    <mergeCell ref="BN228:BT228"/>
    <mergeCell ref="BE234:BG234"/>
    <mergeCell ref="BI234:BM234"/>
    <mergeCell ref="BN234:BT234"/>
    <mergeCell ref="BE237:CA237"/>
    <mergeCell ref="BE238:BG238"/>
    <mergeCell ref="BH238:BL238"/>
    <mergeCell ref="BE232:BG232"/>
    <mergeCell ref="BI232:BM232"/>
    <mergeCell ref="BN232:BT232"/>
    <mergeCell ref="BE233:BG233"/>
    <mergeCell ref="BI233:BM233"/>
    <mergeCell ref="BN233:BT233"/>
    <mergeCell ref="BE241:BG241"/>
    <mergeCell ref="BI241:BM241"/>
    <mergeCell ref="BN241:BT241"/>
    <mergeCell ref="BE244:CA244"/>
    <mergeCell ref="BE245:BG245"/>
    <mergeCell ref="BH245:BL245"/>
    <mergeCell ref="BE239:BG239"/>
    <mergeCell ref="BI239:BM239"/>
    <mergeCell ref="BN239:BT239"/>
    <mergeCell ref="BE240:BG240"/>
    <mergeCell ref="BI240:BM240"/>
    <mergeCell ref="BN240:BT240"/>
    <mergeCell ref="BE246:BG246"/>
    <mergeCell ref="BI246:BM246"/>
    <mergeCell ref="BN246:BT246"/>
    <mergeCell ref="CD246:CJ246"/>
    <mergeCell ref="CM246:CS246"/>
    <mergeCell ref="BE247:BG247"/>
    <mergeCell ref="BI247:BM247"/>
    <mergeCell ref="BN247:BT247"/>
    <mergeCell ref="CD247:CJ247"/>
    <mergeCell ref="CM247:CS247"/>
    <mergeCell ref="CD254:CJ254"/>
    <mergeCell ref="CM254:CS254"/>
    <mergeCell ref="BE255:BG255"/>
    <mergeCell ref="BI255:BM255"/>
    <mergeCell ref="BN255:BT255"/>
    <mergeCell ref="CD255:CJ255"/>
    <mergeCell ref="CM255:CS255"/>
    <mergeCell ref="BE248:BG248"/>
    <mergeCell ref="BI248:BM248"/>
    <mergeCell ref="BN248:BT248"/>
    <mergeCell ref="BE252:CA252"/>
    <mergeCell ref="BE253:BG253"/>
    <mergeCell ref="BH253:BL253"/>
    <mergeCell ref="BE256:BG256"/>
    <mergeCell ref="BI256:BM256"/>
    <mergeCell ref="BN256:BT256"/>
    <mergeCell ref="BE259:CA259"/>
    <mergeCell ref="BE260:BG260"/>
    <mergeCell ref="BH260:BL260"/>
    <mergeCell ref="BE254:BG254"/>
    <mergeCell ref="BI254:BM254"/>
    <mergeCell ref="BN254:BT254"/>
    <mergeCell ref="BE261:BG261"/>
    <mergeCell ref="BI261:BM261"/>
    <mergeCell ref="BN261:BT261"/>
    <mergeCell ref="CD261:CJ261"/>
    <mergeCell ref="CM261:CS261"/>
    <mergeCell ref="BE262:BG262"/>
    <mergeCell ref="BI262:BM262"/>
    <mergeCell ref="BN262:BT262"/>
    <mergeCell ref="CD262:CJ262"/>
    <mergeCell ref="CM262:CS262"/>
    <mergeCell ref="CD272:CJ272"/>
    <mergeCell ref="CM272:CS272"/>
    <mergeCell ref="BE273:BG273"/>
    <mergeCell ref="BI273:BM273"/>
    <mergeCell ref="BN273:BT273"/>
    <mergeCell ref="CD273:CJ273"/>
    <mergeCell ref="CM273:CS273"/>
    <mergeCell ref="BE263:BG263"/>
    <mergeCell ref="BI263:BM263"/>
    <mergeCell ref="BN263:BT263"/>
    <mergeCell ref="BE270:CA270"/>
    <mergeCell ref="BE271:BG271"/>
    <mergeCell ref="BH271:BL271"/>
    <mergeCell ref="BE274:BG274"/>
    <mergeCell ref="BI274:BM274"/>
    <mergeCell ref="BN274:BT274"/>
    <mergeCell ref="BE277:CA277"/>
    <mergeCell ref="BE278:BG278"/>
    <mergeCell ref="BH278:BL278"/>
    <mergeCell ref="BE272:BG272"/>
    <mergeCell ref="BI272:BM272"/>
    <mergeCell ref="BN272:BT272"/>
    <mergeCell ref="BE279:BG279"/>
    <mergeCell ref="BI279:BM279"/>
    <mergeCell ref="BN279:BT279"/>
    <mergeCell ref="CD279:CJ279"/>
    <mergeCell ref="CM279:CS279"/>
    <mergeCell ref="BE280:BG280"/>
    <mergeCell ref="BI280:BM280"/>
    <mergeCell ref="BN280:BT280"/>
    <mergeCell ref="CD280:CJ280"/>
    <mergeCell ref="CM280:CS280"/>
    <mergeCell ref="CD287:CJ287"/>
    <mergeCell ref="CM287:CS287"/>
    <mergeCell ref="BE288:BG288"/>
    <mergeCell ref="BI288:BM288"/>
    <mergeCell ref="BN288:BT288"/>
    <mergeCell ref="CD288:CJ288"/>
    <mergeCell ref="CM288:CS288"/>
    <mergeCell ref="BE281:BG281"/>
    <mergeCell ref="BI281:BM281"/>
    <mergeCell ref="BN281:BT281"/>
    <mergeCell ref="BE285:CA285"/>
    <mergeCell ref="BE286:BG286"/>
    <mergeCell ref="BH286:BL286"/>
    <mergeCell ref="BE289:BG289"/>
    <mergeCell ref="BI289:BM289"/>
    <mergeCell ref="BN289:BT289"/>
    <mergeCell ref="BE292:CA292"/>
    <mergeCell ref="BE293:BG293"/>
    <mergeCell ref="BH293:BL293"/>
    <mergeCell ref="BE287:BG287"/>
    <mergeCell ref="BI287:BM287"/>
    <mergeCell ref="BN287:BT287"/>
    <mergeCell ref="BE294:BG294"/>
    <mergeCell ref="BI294:BM294"/>
    <mergeCell ref="BN294:BT294"/>
    <mergeCell ref="CD294:CJ294"/>
    <mergeCell ref="CM294:CS294"/>
    <mergeCell ref="BE295:BG295"/>
    <mergeCell ref="BI295:BM295"/>
    <mergeCell ref="BN295:BT295"/>
    <mergeCell ref="CD295:CJ295"/>
    <mergeCell ref="CM295:CS295"/>
    <mergeCell ref="CD301:CJ301"/>
    <mergeCell ref="CM301:CS301"/>
    <mergeCell ref="BE302:BG302"/>
    <mergeCell ref="BI302:BM302"/>
    <mergeCell ref="BN302:BT302"/>
    <mergeCell ref="CD302:CJ302"/>
    <mergeCell ref="CM302:CS302"/>
    <mergeCell ref="BE296:BG296"/>
    <mergeCell ref="BI296:BM296"/>
    <mergeCell ref="BN296:BT296"/>
    <mergeCell ref="BE299:CA299"/>
    <mergeCell ref="BE300:BG300"/>
    <mergeCell ref="BH300:BL300"/>
    <mergeCell ref="BE303:BG303"/>
    <mergeCell ref="BI303:BM303"/>
    <mergeCell ref="BN303:BT303"/>
    <mergeCell ref="BE306:CA306"/>
    <mergeCell ref="BE307:BG307"/>
    <mergeCell ref="BH307:BL307"/>
    <mergeCell ref="BE301:BG301"/>
    <mergeCell ref="BI301:BM301"/>
    <mergeCell ref="BN301:BT301"/>
    <mergeCell ref="BE308:BG308"/>
    <mergeCell ref="BI308:BM308"/>
    <mergeCell ref="BN308:BT308"/>
    <mergeCell ref="CD308:CJ308"/>
    <mergeCell ref="CM308:CS308"/>
    <mergeCell ref="BE309:BG309"/>
    <mergeCell ref="BI309:BM309"/>
    <mergeCell ref="BN309:BT309"/>
    <mergeCell ref="CD309:CJ309"/>
    <mergeCell ref="CM309:CS309"/>
    <mergeCell ref="CD316:CJ316"/>
    <mergeCell ref="CM316:CS316"/>
    <mergeCell ref="BE317:BG317"/>
    <mergeCell ref="BI317:BM317"/>
    <mergeCell ref="BN317:BT317"/>
    <mergeCell ref="CD317:CJ317"/>
    <mergeCell ref="CM317:CS317"/>
    <mergeCell ref="BE310:BG310"/>
    <mergeCell ref="BI310:BM310"/>
    <mergeCell ref="BN310:BT310"/>
    <mergeCell ref="BE314:CA314"/>
    <mergeCell ref="BE315:BG315"/>
    <mergeCell ref="BH315:BL315"/>
    <mergeCell ref="BE318:BG318"/>
    <mergeCell ref="BI318:BM318"/>
    <mergeCell ref="BN318:BT318"/>
    <mergeCell ref="BE322:CA322"/>
    <mergeCell ref="BE323:BG323"/>
    <mergeCell ref="BH323:BL323"/>
    <mergeCell ref="BE316:BG316"/>
    <mergeCell ref="BI316:BM316"/>
    <mergeCell ref="BN316:BT316"/>
    <mergeCell ref="BE324:BG324"/>
    <mergeCell ref="BI324:BM324"/>
    <mergeCell ref="BN324:BT324"/>
    <mergeCell ref="CD324:CJ324"/>
    <mergeCell ref="CM324:CS324"/>
    <mergeCell ref="BE325:BG325"/>
    <mergeCell ref="BI325:BM325"/>
    <mergeCell ref="BN325:BT325"/>
    <mergeCell ref="CD325:CJ325"/>
    <mergeCell ref="CM325:CS325"/>
    <mergeCell ref="CD332:CJ332"/>
    <mergeCell ref="CM332:CS332"/>
    <mergeCell ref="BE333:BG333"/>
    <mergeCell ref="BI333:BM333"/>
    <mergeCell ref="BN333:BT333"/>
    <mergeCell ref="CD333:CJ333"/>
    <mergeCell ref="CM333:CS333"/>
    <mergeCell ref="BE326:BG326"/>
    <mergeCell ref="BI326:BM326"/>
    <mergeCell ref="BN326:BT326"/>
    <mergeCell ref="BE330:CA330"/>
    <mergeCell ref="BE331:BG331"/>
    <mergeCell ref="BH331:BL331"/>
    <mergeCell ref="BE334:BG334"/>
    <mergeCell ref="BI334:BM334"/>
    <mergeCell ref="BN334:BT334"/>
    <mergeCell ref="BE337:CA337"/>
    <mergeCell ref="BE338:BG338"/>
    <mergeCell ref="BH338:BL338"/>
    <mergeCell ref="BE332:BG332"/>
    <mergeCell ref="BI332:BM332"/>
    <mergeCell ref="BN332:BT332"/>
    <mergeCell ref="BE339:BG339"/>
    <mergeCell ref="BI339:BM339"/>
    <mergeCell ref="BN339:BT339"/>
    <mergeCell ref="CD339:CJ339"/>
    <mergeCell ref="CM339:CS339"/>
    <mergeCell ref="BE340:BG340"/>
    <mergeCell ref="BI340:BM340"/>
    <mergeCell ref="BN340:BT340"/>
    <mergeCell ref="CD340:CJ340"/>
    <mergeCell ref="CM340:CS340"/>
    <mergeCell ref="CD348:CJ348"/>
    <mergeCell ref="CM348:CS348"/>
    <mergeCell ref="BE349:BG349"/>
    <mergeCell ref="BI349:BM349"/>
    <mergeCell ref="BN349:BT349"/>
    <mergeCell ref="CD349:CJ349"/>
    <mergeCell ref="CM349:CS349"/>
    <mergeCell ref="BE341:BG341"/>
    <mergeCell ref="BI341:BM341"/>
    <mergeCell ref="BN341:BT341"/>
    <mergeCell ref="CM345:CR345"/>
    <mergeCell ref="BE346:CA346"/>
    <mergeCell ref="BE347:BG347"/>
    <mergeCell ref="BH347:BL347"/>
    <mergeCell ref="BE350:BG350"/>
    <mergeCell ref="BI350:BM350"/>
    <mergeCell ref="BN350:BT350"/>
    <mergeCell ref="BE352:CA352"/>
    <mergeCell ref="BE353:BG353"/>
    <mergeCell ref="BH353:BL353"/>
    <mergeCell ref="BE348:BG348"/>
    <mergeCell ref="BI348:BM348"/>
    <mergeCell ref="BN348:BT348"/>
    <mergeCell ref="BE356:BG356"/>
    <mergeCell ref="BI356:BM356"/>
    <mergeCell ref="BN356:BT356"/>
    <mergeCell ref="BE354:BG354"/>
    <mergeCell ref="BI354:BM354"/>
    <mergeCell ref="BN354:BT354"/>
    <mergeCell ref="CD354:CJ354"/>
    <mergeCell ref="CM354:CS354"/>
    <mergeCell ref="BE355:BG355"/>
    <mergeCell ref="BI355:BM355"/>
    <mergeCell ref="BN355:BT355"/>
    <mergeCell ref="CD355:CJ355"/>
    <mergeCell ref="CM355:CS355"/>
  </mergeCells>
  <pageMargins left="0" right="0" top="0" bottom="0" header="0.31496062992125984" footer="0.31496062992125984"/>
  <pageSetup paperSize="9" scale="75" fitToHeight="0" orientation="portrait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A199"/>
  <sheetViews>
    <sheetView topLeftCell="AI160" workbookViewId="0">
      <selection activeCell="CA194" sqref="CA194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6" width="1.85546875" style="117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4.42578125" style="117" customWidth="1"/>
    <col min="55" max="55" width="4.5703125" style="117" customWidth="1"/>
    <col min="56" max="56" width="4.7109375" style="117" customWidth="1"/>
    <col min="57" max="57" width="6.7109375" style="117" customWidth="1"/>
    <col min="58" max="58" width="8.140625" style="117" customWidth="1"/>
    <col min="59" max="59" width="4.140625" style="117" customWidth="1"/>
    <col min="60" max="60" width="7.7109375" style="117" customWidth="1"/>
    <col min="61" max="61" width="3.140625" style="117" customWidth="1"/>
    <col min="62" max="82" width="1.85546875" style="117"/>
    <col min="83" max="83" width="6.42578125" style="117" customWidth="1"/>
    <col min="84" max="110" width="1.85546875" style="117"/>
    <col min="111" max="111" width="10.85546875" style="117" customWidth="1"/>
    <col min="112" max="136" width="1.85546875" style="117"/>
    <col min="137" max="137" width="7.85546875" style="117" customWidth="1"/>
    <col min="138" max="160" width="1.85546875" style="117"/>
    <col min="161" max="163" width="0" style="117" hidden="1" customWidth="1"/>
    <col min="164" max="164" width="9.140625" style="117" hidden="1" customWidth="1"/>
    <col min="165" max="188" width="0" style="117" hidden="1" customWidth="1"/>
    <col min="189" max="16384" width="1.85546875" style="117"/>
  </cols>
  <sheetData>
    <row r="1" spans="1:53" s="100" customFormat="1" ht="15" customHeight="1" x14ac:dyDescent="0.25">
      <c r="AW1" s="100" t="s">
        <v>83</v>
      </c>
    </row>
    <row r="2" spans="1:53" s="100" customFormat="1" ht="5.0999999999999996" customHeight="1" x14ac:dyDescent="0.25"/>
    <row r="3" spans="1:53" s="100" customFormat="1" ht="15" customHeight="1" x14ac:dyDescent="0.25">
      <c r="AQ3" s="100" t="s">
        <v>91</v>
      </c>
    </row>
    <row r="4" spans="1:53" s="100" customFormat="1" ht="5.0999999999999996" customHeight="1" x14ac:dyDescent="0.25"/>
    <row r="5" spans="1:53" s="100" customFormat="1" ht="15" customHeight="1" x14ac:dyDescent="0.25"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 t="s">
        <v>85</v>
      </c>
      <c r="AX5" s="100" t="s">
        <v>222</v>
      </c>
    </row>
    <row r="6" spans="1:53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3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3" s="100" customFormat="1" ht="15" customHeight="1" x14ac:dyDescent="0.25">
      <c r="A8" s="756" t="s">
        <v>316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3" s="100" customFormat="1" ht="5.0999999999999996" customHeight="1" x14ac:dyDescent="0.25">
      <c r="A9" s="158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</row>
    <row r="10" spans="1:53" s="100" customFormat="1" ht="15" customHeight="1" x14ac:dyDescent="0.25">
      <c r="A10" s="158"/>
      <c r="B10" s="158" t="s">
        <v>113</v>
      </c>
      <c r="C10" s="757">
        <v>19</v>
      </c>
      <c r="D10" s="757"/>
      <c r="E10" s="757"/>
      <c r="F10" s="158"/>
      <c r="G10" s="757" t="s">
        <v>196</v>
      </c>
      <c r="H10" s="757"/>
      <c r="I10" s="757"/>
      <c r="J10" s="757"/>
      <c r="K10" s="757"/>
      <c r="L10" s="757"/>
      <c r="M10" s="158"/>
      <c r="N10" s="756">
        <v>2017</v>
      </c>
      <c r="O10" s="756"/>
      <c r="P10" s="756"/>
      <c r="Q10" s="756"/>
      <c r="R10" s="158"/>
      <c r="S10" s="158" t="s">
        <v>114</v>
      </c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758" t="s">
        <v>115</v>
      </c>
      <c r="AI10" s="758"/>
      <c r="AJ10" s="757">
        <v>31</v>
      </c>
      <c r="AK10" s="757"/>
      <c r="AL10" s="757"/>
      <c r="AM10" s="158"/>
      <c r="AN10" s="757" t="s">
        <v>116</v>
      </c>
      <c r="AO10" s="757"/>
      <c r="AP10" s="757"/>
      <c r="AQ10" s="757"/>
      <c r="AR10" s="757"/>
      <c r="AS10" s="757"/>
      <c r="AT10" s="757"/>
      <c r="AU10" s="158"/>
      <c r="AV10" s="756">
        <v>2018</v>
      </c>
      <c r="AW10" s="756"/>
      <c r="AX10" s="756"/>
      <c r="AY10" s="756"/>
      <c r="AZ10" s="158"/>
      <c r="BA10" s="158" t="s">
        <v>114</v>
      </c>
    </row>
    <row r="11" spans="1:53" s="82" customFormat="1" ht="12" customHeight="1" x14ac:dyDescent="0.2"/>
    <row r="12" spans="1:53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36</v>
      </c>
      <c r="V12" s="761"/>
      <c r="W12" s="761"/>
    </row>
    <row r="13" spans="1:53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3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1">
        <v>10</v>
      </c>
      <c r="V14" s="761"/>
      <c r="W14" s="761"/>
    </row>
    <row r="15" spans="1:53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3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1</v>
      </c>
      <c r="V16" s="761"/>
      <c r="W16" s="761"/>
      <c r="X16" s="83" t="s">
        <v>4</v>
      </c>
      <c r="Y16" s="761">
        <v>10</v>
      </c>
      <c r="Z16" s="761"/>
      <c r="AA16" s="761"/>
    </row>
    <row r="17" spans="1:54" ht="5.0999999999999996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7</v>
      </c>
      <c r="AR19" s="162"/>
      <c r="AS19" s="164"/>
      <c r="AX19" s="708">
        <v>5500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11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4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hidden="1" customHeight="1" x14ac:dyDescent="0.2">
      <c r="A24" s="764" t="s">
        <v>88</v>
      </c>
      <c r="B24" s="765"/>
      <c r="C24" s="765"/>
      <c r="D24" s="765"/>
      <c r="E24" s="765"/>
      <c r="F24" s="765"/>
      <c r="G24" s="766"/>
      <c r="H24" s="714" t="s">
        <v>16</v>
      </c>
      <c r="I24" s="704"/>
      <c r="J24" s="704"/>
      <c r="K24" s="704"/>
      <c r="L24" s="704"/>
      <c r="M24" s="704"/>
      <c r="N24" s="704"/>
      <c r="O24" s="704"/>
      <c r="P24" s="704"/>
      <c r="Q24" s="704"/>
      <c r="R24" s="704"/>
      <c r="S24" s="704"/>
      <c r="T24" s="704"/>
      <c r="U24" s="704"/>
      <c r="V24" s="704"/>
      <c r="W24" s="704"/>
      <c r="X24" s="704"/>
      <c r="Y24" s="704"/>
      <c r="Z24" s="780">
        <v>0.1</v>
      </c>
      <c r="AA24" s="780"/>
      <c r="AB24" s="780"/>
      <c r="AC24" s="781">
        <f>(AX51+AX83)*Z24*AH24</f>
        <v>1544.4</v>
      </c>
      <c r="AD24" s="781"/>
      <c r="AE24" s="781"/>
      <c r="AF24" s="781"/>
      <c r="AG24" s="781"/>
      <c r="AH24" s="668">
        <v>1</v>
      </c>
      <c r="AI24" s="668"/>
      <c r="AJ24" s="668"/>
      <c r="AK24" s="668"/>
      <c r="AL24" s="668"/>
      <c r="AM24" s="668"/>
      <c r="AN24" s="781">
        <f>AC24/U12</f>
        <v>42.900000000000006</v>
      </c>
      <c r="AO24" s="781"/>
      <c r="AP24" s="781"/>
      <c r="AQ24" s="781"/>
      <c r="AR24" s="781"/>
      <c r="AS24" s="668" t="s">
        <v>17</v>
      </c>
      <c r="AT24" s="668"/>
      <c r="AU24" s="668"/>
      <c r="AV24" s="668"/>
      <c r="AW24" s="668"/>
      <c r="AX24" s="781" t="s">
        <v>17</v>
      </c>
      <c r="AY24" s="781"/>
      <c r="AZ24" s="781"/>
      <c r="BA24" s="781"/>
      <c r="BB24" s="782"/>
    </row>
    <row r="25" spans="1:54" s="165" customFormat="1" ht="26.25" hidden="1" customHeight="1" x14ac:dyDescent="0.2">
      <c r="A25" s="767"/>
      <c r="B25" s="768"/>
      <c r="C25" s="768"/>
      <c r="D25" s="768"/>
      <c r="E25" s="768"/>
      <c r="F25" s="768"/>
      <c r="G25" s="769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771" t="s">
        <v>89</v>
      </c>
      <c r="B26" s="772"/>
      <c r="C26" s="772"/>
      <c r="D26" s="772"/>
      <c r="E26" s="772"/>
      <c r="F26" s="772"/>
      <c r="G26" s="773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11.25" customHeight="1" x14ac:dyDescent="0.2">
      <c r="A27" s="750"/>
      <c r="B27" s="751"/>
      <c r="C27" s="751"/>
      <c r="D27" s="751"/>
      <c r="E27" s="751"/>
      <c r="F27" s="751"/>
      <c r="G27" s="7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17.25" customHeight="1" thickBot="1" x14ac:dyDescent="0.25">
      <c r="A33" s="753"/>
      <c r="B33" s="754"/>
      <c r="C33" s="754"/>
      <c r="D33" s="754"/>
      <c r="E33" s="754"/>
      <c r="F33" s="754"/>
      <c r="G33" s="775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6"/>
      <c r="AA33" s="726"/>
      <c r="AB33" s="726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95"/>
      <c r="R34" s="169" t="s">
        <v>18</v>
      </c>
      <c r="S34" s="170"/>
      <c r="T34" s="170"/>
      <c r="U34" s="171"/>
      <c r="V34" s="171"/>
      <c r="W34" s="171"/>
      <c r="X34" s="171"/>
      <c r="Y34" s="171"/>
      <c r="Z34" s="162"/>
      <c r="AA34" s="162"/>
      <c r="AB34" s="162"/>
      <c r="AC34" s="171"/>
      <c r="AD34" s="171" t="s">
        <v>19</v>
      </c>
      <c r="AE34" s="171" t="s">
        <v>20</v>
      </c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2"/>
      <c r="AS34" s="453">
        <f>AN24</f>
        <v>42.900000000000006</v>
      </c>
      <c r="AT34" s="453"/>
      <c r="AU34" s="453"/>
      <c r="AV34" s="453"/>
      <c r="AW34" s="453"/>
      <c r="AX34" s="453">
        <f>AC24</f>
        <v>1544.4</v>
      </c>
      <c r="AY34" s="453"/>
      <c r="AZ34" s="453"/>
      <c r="BA34" s="453"/>
      <c r="BB34" s="454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173"/>
      <c r="I35" s="173"/>
      <c r="J35" s="173"/>
      <c r="K35" s="173"/>
      <c r="L35" s="173"/>
      <c r="M35" s="173"/>
      <c r="P35" s="168"/>
      <c r="Q35" s="174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12.9558</v>
      </c>
      <c r="AT35" s="463"/>
      <c r="AU35" s="463"/>
      <c r="AV35" s="463"/>
      <c r="AW35" s="463"/>
      <c r="AX35" s="463">
        <f>AX34*AO35</f>
        <v>466.40879999999999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173"/>
      <c r="I36" s="173"/>
      <c r="J36" s="173"/>
      <c r="K36" s="173"/>
      <c r="L36" s="173"/>
      <c r="M36" s="173"/>
      <c r="P36" s="168"/>
      <c r="Q36" s="174"/>
      <c r="R36" s="174"/>
      <c r="S36" s="174"/>
      <c r="U36" s="174"/>
      <c r="V36" s="174"/>
      <c r="W36" s="174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8"/>
      <c r="AT36" s="179"/>
      <c r="AU36" s="179"/>
      <c r="AV36" s="179"/>
      <c r="AW36" s="179"/>
      <c r="AX36" s="178"/>
      <c r="AY36" s="179"/>
      <c r="AZ36" s="179"/>
      <c r="BA36" s="179"/>
      <c r="BB36" s="179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22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772"/>
      <c r="B41" s="772"/>
      <c r="C41" s="772"/>
      <c r="D41" s="772"/>
      <c r="E41" s="772"/>
      <c r="F41" s="772"/>
      <c r="G41" s="783"/>
      <c r="H41" s="718" t="s">
        <v>16</v>
      </c>
      <c r="I41" s="712"/>
      <c r="J41" s="712"/>
      <c r="K41" s="712"/>
      <c r="L41" s="712"/>
      <c r="M41" s="712"/>
      <c r="N41" s="712"/>
      <c r="O41" s="712"/>
      <c r="P41" s="712"/>
      <c r="Q41" s="712"/>
      <c r="R41" s="712"/>
      <c r="S41" s="712"/>
      <c r="T41" s="712"/>
      <c r="U41" s="712"/>
      <c r="V41" s="712"/>
      <c r="W41" s="712"/>
      <c r="X41" s="712"/>
      <c r="Y41" s="712"/>
      <c r="Z41" s="722">
        <v>0</v>
      </c>
      <c r="AA41" s="723"/>
      <c r="AB41" s="724"/>
      <c r="AC41" s="786">
        <f>AX83*Z41*AH41</f>
        <v>0</v>
      </c>
      <c r="AD41" s="786"/>
      <c r="AE41" s="786"/>
      <c r="AF41" s="786"/>
      <c r="AG41" s="787"/>
      <c r="AH41" s="788">
        <v>1</v>
      </c>
      <c r="AI41" s="789"/>
      <c r="AJ41" s="789"/>
      <c r="AK41" s="789"/>
      <c r="AL41" s="789"/>
      <c r="AM41" s="790"/>
      <c r="AN41" s="791">
        <f>AC41/U12</f>
        <v>0</v>
      </c>
      <c r="AO41" s="786"/>
      <c r="AP41" s="786"/>
      <c r="AQ41" s="786"/>
      <c r="AR41" s="787"/>
      <c r="AS41" s="788" t="s">
        <v>17</v>
      </c>
      <c r="AT41" s="789"/>
      <c r="AU41" s="789"/>
      <c r="AV41" s="789"/>
      <c r="AW41" s="790"/>
      <c r="AX41" s="791" t="s">
        <v>17</v>
      </c>
      <c r="AY41" s="786"/>
      <c r="AZ41" s="786"/>
      <c r="BA41" s="786"/>
      <c r="BB41" s="787"/>
    </row>
    <row r="42" spans="1:54" s="165" customFormat="1" ht="0.75" hidden="1" customHeight="1" x14ac:dyDescent="0.2">
      <c r="A42" s="751"/>
      <c r="B42" s="751"/>
      <c r="C42" s="751"/>
      <c r="D42" s="751"/>
      <c r="E42" s="751"/>
      <c r="F42" s="751"/>
      <c r="G42" s="752"/>
      <c r="H42" s="719"/>
      <c r="I42" s="704"/>
      <c r="J42" s="704"/>
      <c r="K42" s="704"/>
      <c r="L42" s="704"/>
      <c r="M42" s="704"/>
      <c r="N42" s="704"/>
      <c r="O42" s="704"/>
      <c r="P42" s="704"/>
      <c r="Q42" s="704"/>
      <c r="R42" s="704"/>
      <c r="S42" s="704"/>
      <c r="T42" s="704"/>
      <c r="U42" s="704"/>
      <c r="V42" s="704"/>
      <c r="W42" s="704"/>
      <c r="X42" s="704"/>
      <c r="Y42" s="704"/>
      <c r="Z42" s="725"/>
      <c r="AA42" s="726"/>
      <c r="AB42" s="727"/>
      <c r="AC42" s="704"/>
      <c r="AD42" s="704"/>
      <c r="AE42" s="704"/>
      <c r="AF42" s="704"/>
      <c r="AG42" s="735"/>
      <c r="AH42" s="511"/>
      <c r="AI42" s="512"/>
      <c r="AJ42" s="512"/>
      <c r="AK42" s="512"/>
      <c r="AL42" s="512"/>
      <c r="AM42" s="513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714"/>
      <c r="AY42" s="704"/>
      <c r="AZ42" s="704"/>
      <c r="BA42" s="704"/>
      <c r="BB42" s="735"/>
    </row>
    <row r="43" spans="1:54" ht="18" customHeight="1" x14ac:dyDescent="0.2">
      <c r="A43" s="751"/>
      <c r="B43" s="751"/>
      <c r="C43" s="751"/>
      <c r="D43" s="751"/>
      <c r="E43" s="751"/>
      <c r="F43" s="751"/>
      <c r="G43" s="752"/>
      <c r="H43" s="719"/>
      <c r="I43" s="704"/>
      <c r="J43" s="704"/>
      <c r="K43" s="704"/>
      <c r="L43" s="704"/>
      <c r="M43" s="704"/>
      <c r="N43" s="704"/>
      <c r="O43" s="704"/>
      <c r="P43" s="704"/>
      <c r="Q43" s="704"/>
      <c r="R43" s="704"/>
      <c r="S43" s="704"/>
      <c r="T43" s="704"/>
      <c r="U43" s="704"/>
      <c r="V43" s="704"/>
      <c r="W43" s="704"/>
      <c r="X43" s="704"/>
      <c r="Y43" s="704"/>
      <c r="Z43" s="725"/>
      <c r="AA43" s="726"/>
      <c r="AB43" s="727"/>
      <c r="AC43" s="669"/>
      <c r="AD43" s="669"/>
      <c r="AE43" s="669"/>
      <c r="AF43" s="669"/>
      <c r="AG43" s="670"/>
      <c r="AH43" s="736"/>
      <c r="AI43" s="737"/>
      <c r="AJ43" s="737"/>
      <c r="AK43" s="737"/>
      <c r="AL43" s="737"/>
      <c r="AM43" s="738"/>
      <c r="AN43" s="716"/>
      <c r="AO43" s="669"/>
      <c r="AP43" s="669"/>
      <c r="AQ43" s="669"/>
      <c r="AR43" s="670"/>
      <c r="AS43" s="736"/>
      <c r="AT43" s="737"/>
      <c r="AU43" s="737"/>
      <c r="AV43" s="737"/>
      <c r="AW43" s="738"/>
      <c r="AX43" s="716"/>
      <c r="AY43" s="669"/>
      <c r="AZ43" s="669"/>
      <c r="BA43" s="669"/>
      <c r="BB43" s="670"/>
    </row>
    <row r="44" spans="1:54" s="165" customFormat="1" ht="21" hidden="1" customHeight="1" x14ac:dyDescent="0.2">
      <c r="A44" s="751"/>
      <c r="B44" s="751"/>
      <c r="C44" s="751"/>
      <c r="D44" s="751"/>
      <c r="E44" s="751"/>
      <c r="F44" s="751"/>
      <c r="G44" s="752"/>
      <c r="H44" s="719"/>
      <c r="I44" s="704"/>
      <c r="J44" s="704"/>
      <c r="K44" s="704"/>
      <c r="L44" s="704"/>
      <c r="M44" s="704"/>
      <c r="N44" s="704"/>
      <c r="O44" s="704"/>
      <c r="P44" s="704"/>
      <c r="Q44" s="704"/>
      <c r="R44" s="704"/>
      <c r="S44" s="704"/>
      <c r="T44" s="704"/>
      <c r="U44" s="704"/>
      <c r="V44" s="704"/>
      <c r="W44" s="704"/>
      <c r="X44" s="704"/>
      <c r="Y44" s="704"/>
      <c r="Z44" s="725"/>
      <c r="AA44" s="726"/>
      <c r="AB44" s="727"/>
      <c r="AC44" s="86"/>
      <c r="AD44" s="84"/>
      <c r="AE44" s="84"/>
      <c r="AF44" s="84"/>
      <c r="AG44" s="85"/>
      <c r="AH44" s="180"/>
      <c r="AI44" s="181"/>
      <c r="AJ44" s="181"/>
      <c r="AK44" s="181"/>
      <c r="AL44" s="181"/>
      <c r="AM44" s="182"/>
      <c r="AN44" s="86"/>
      <c r="AO44" s="84"/>
      <c r="AP44" s="84"/>
      <c r="AQ44" s="84"/>
      <c r="AR44" s="85"/>
      <c r="AS44" s="180"/>
      <c r="AT44" s="181"/>
      <c r="AU44" s="181"/>
      <c r="AV44" s="181"/>
      <c r="AW44" s="182"/>
      <c r="AX44" s="86"/>
      <c r="AY44" s="84"/>
      <c r="AZ44" s="84"/>
      <c r="BA44" s="84"/>
      <c r="BB44" s="84"/>
    </row>
    <row r="45" spans="1:54" s="165" customFormat="1" ht="21.75" hidden="1" customHeight="1" x14ac:dyDescent="0.2">
      <c r="A45" s="751"/>
      <c r="B45" s="751"/>
      <c r="C45" s="751"/>
      <c r="D45" s="751"/>
      <c r="E45" s="751"/>
      <c r="F45" s="751"/>
      <c r="G45" s="752"/>
      <c r="H45" s="719"/>
      <c r="I45" s="704"/>
      <c r="J45" s="704"/>
      <c r="K45" s="704"/>
      <c r="L45" s="704"/>
      <c r="M45" s="704"/>
      <c r="N45" s="704"/>
      <c r="O45" s="704"/>
      <c r="P45" s="704"/>
      <c r="Q45" s="704"/>
      <c r="R45" s="704"/>
      <c r="S45" s="704"/>
      <c r="T45" s="704"/>
      <c r="U45" s="704"/>
      <c r="V45" s="704"/>
      <c r="W45" s="704"/>
      <c r="X45" s="704"/>
      <c r="Y45" s="704"/>
      <c r="Z45" s="725"/>
      <c r="AA45" s="726"/>
      <c r="AB45" s="727"/>
      <c r="AC45" s="86"/>
      <c r="AD45" s="84"/>
      <c r="AE45" s="84"/>
      <c r="AF45" s="84"/>
      <c r="AG45" s="85"/>
      <c r="AH45" s="180"/>
      <c r="AI45" s="181"/>
      <c r="AJ45" s="181"/>
      <c r="AK45" s="181"/>
      <c r="AL45" s="181"/>
      <c r="AM45" s="182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84"/>
    </row>
    <row r="46" spans="1:54" s="165" customFormat="1" ht="24" hidden="1" customHeight="1" x14ac:dyDescent="0.2">
      <c r="A46" s="751"/>
      <c r="B46" s="751"/>
      <c r="C46" s="751"/>
      <c r="D46" s="751"/>
      <c r="E46" s="751"/>
      <c r="F46" s="751"/>
      <c r="G46" s="752"/>
      <c r="H46" s="719"/>
      <c r="I46" s="704"/>
      <c r="J46" s="704"/>
      <c r="K46" s="704"/>
      <c r="L46" s="704"/>
      <c r="M46" s="704"/>
      <c r="N46" s="704"/>
      <c r="O46" s="704"/>
      <c r="P46" s="704"/>
      <c r="Q46" s="704"/>
      <c r="R46" s="704"/>
      <c r="S46" s="704"/>
      <c r="T46" s="704"/>
      <c r="U46" s="704"/>
      <c r="V46" s="704"/>
      <c r="W46" s="704"/>
      <c r="X46" s="704"/>
      <c r="Y46" s="704"/>
      <c r="Z46" s="725"/>
      <c r="AA46" s="726"/>
      <c r="AB46" s="727"/>
      <c r="AC46" s="86"/>
      <c r="AD46" s="84"/>
      <c r="AE46" s="84"/>
      <c r="AF46" s="84"/>
      <c r="AG46" s="85"/>
      <c r="AH46" s="180"/>
      <c r="AI46" s="181"/>
      <c r="AJ46" s="181"/>
      <c r="AK46" s="181"/>
      <c r="AL46" s="181"/>
      <c r="AM46" s="182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84"/>
    </row>
    <row r="47" spans="1:54" s="165" customFormat="1" ht="18" hidden="1" customHeight="1" x14ac:dyDescent="0.2">
      <c r="A47" s="751"/>
      <c r="B47" s="751"/>
      <c r="C47" s="751"/>
      <c r="D47" s="751"/>
      <c r="E47" s="751"/>
      <c r="F47" s="751"/>
      <c r="G47" s="752"/>
      <c r="H47" s="719"/>
      <c r="I47" s="704"/>
      <c r="J47" s="704"/>
      <c r="K47" s="704"/>
      <c r="L47" s="704"/>
      <c r="M47" s="704"/>
      <c r="N47" s="704"/>
      <c r="O47" s="704"/>
      <c r="P47" s="704"/>
      <c r="Q47" s="704"/>
      <c r="R47" s="704"/>
      <c r="S47" s="704"/>
      <c r="T47" s="704"/>
      <c r="U47" s="704"/>
      <c r="V47" s="704"/>
      <c r="W47" s="704"/>
      <c r="X47" s="704"/>
      <c r="Y47" s="704"/>
      <c r="Z47" s="725"/>
      <c r="AA47" s="726"/>
      <c r="AB47" s="727"/>
      <c r="AC47" s="86"/>
      <c r="AD47" s="84"/>
      <c r="AE47" s="84"/>
      <c r="AF47" s="84"/>
      <c r="AG47" s="85"/>
      <c r="AH47" s="180"/>
      <c r="AI47" s="181"/>
      <c r="AJ47" s="181"/>
      <c r="AK47" s="181"/>
      <c r="AL47" s="181"/>
      <c r="AM47" s="182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84"/>
    </row>
    <row r="48" spans="1:54" s="165" customFormat="1" ht="17.25" hidden="1" customHeight="1" x14ac:dyDescent="0.2">
      <c r="A48" s="751"/>
      <c r="B48" s="751"/>
      <c r="C48" s="751"/>
      <c r="D48" s="751"/>
      <c r="E48" s="751"/>
      <c r="F48" s="751"/>
      <c r="G48" s="752"/>
      <c r="H48" s="719"/>
      <c r="I48" s="704"/>
      <c r="J48" s="704"/>
      <c r="K48" s="704"/>
      <c r="L48" s="704"/>
      <c r="M48" s="704"/>
      <c r="N48" s="704"/>
      <c r="O48" s="704"/>
      <c r="P48" s="704"/>
      <c r="Q48" s="704"/>
      <c r="R48" s="704"/>
      <c r="S48" s="704"/>
      <c r="T48" s="704"/>
      <c r="U48" s="704"/>
      <c r="V48" s="704"/>
      <c r="W48" s="704"/>
      <c r="X48" s="704"/>
      <c r="Y48" s="704"/>
      <c r="Z48" s="725"/>
      <c r="AA48" s="726"/>
      <c r="AB48" s="727"/>
      <c r="AC48" s="86"/>
      <c r="AD48" s="84"/>
      <c r="AE48" s="84"/>
      <c r="AF48" s="84"/>
      <c r="AG48" s="85"/>
      <c r="AH48" s="180"/>
      <c r="AI48" s="181"/>
      <c r="AJ48" s="181"/>
      <c r="AK48" s="181"/>
      <c r="AL48" s="181"/>
      <c r="AM48" s="182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84"/>
    </row>
    <row r="49" spans="1:54" s="165" customFormat="1" ht="14.25" hidden="1" customHeight="1" x14ac:dyDescent="0.2">
      <c r="A49" s="751"/>
      <c r="B49" s="751"/>
      <c r="C49" s="751"/>
      <c r="D49" s="751"/>
      <c r="E49" s="751"/>
      <c r="F49" s="751"/>
      <c r="G49" s="752"/>
      <c r="H49" s="719"/>
      <c r="I49" s="704"/>
      <c r="J49" s="704"/>
      <c r="K49" s="704"/>
      <c r="L49" s="704"/>
      <c r="M49" s="704"/>
      <c r="N49" s="704"/>
      <c r="O49" s="704"/>
      <c r="P49" s="704"/>
      <c r="Q49" s="704"/>
      <c r="R49" s="704"/>
      <c r="S49" s="704"/>
      <c r="T49" s="704"/>
      <c r="U49" s="704"/>
      <c r="V49" s="704"/>
      <c r="W49" s="704"/>
      <c r="X49" s="704"/>
      <c r="Y49" s="704"/>
      <c r="Z49" s="725"/>
      <c r="AA49" s="726"/>
      <c r="AB49" s="727"/>
      <c r="AC49" s="86"/>
      <c r="AD49" s="84"/>
      <c r="AE49" s="84"/>
      <c r="AF49" s="84"/>
      <c r="AG49" s="85"/>
      <c r="AH49" s="180"/>
      <c r="AI49" s="181"/>
      <c r="AJ49" s="181"/>
      <c r="AK49" s="181"/>
      <c r="AL49" s="181"/>
      <c r="AM49" s="182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84"/>
    </row>
    <row r="50" spans="1:54" ht="0.75" customHeight="1" thickBot="1" x14ac:dyDescent="0.25">
      <c r="A50" s="784"/>
      <c r="B50" s="784"/>
      <c r="C50" s="784"/>
      <c r="D50" s="784"/>
      <c r="E50" s="784"/>
      <c r="F50" s="784"/>
      <c r="G50" s="785"/>
      <c r="H50" s="720"/>
      <c r="I50" s="721"/>
      <c r="J50" s="721"/>
      <c r="K50" s="721"/>
      <c r="L50" s="721"/>
      <c r="M50" s="721"/>
      <c r="N50" s="721"/>
      <c r="O50" s="721"/>
      <c r="P50" s="721"/>
      <c r="Q50" s="721"/>
      <c r="R50" s="721"/>
      <c r="S50" s="721"/>
      <c r="T50" s="721"/>
      <c r="U50" s="721"/>
      <c r="V50" s="721"/>
      <c r="W50" s="721"/>
      <c r="X50" s="721"/>
      <c r="Y50" s="721"/>
      <c r="Z50" s="728"/>
      <c r="AA50" s="729"/>
      <c r="AB50" s="730"/>
      <c r="AC50" s="98"/>
      <c r="AD50" s="155"/>
      <c r="AE50" s="155"/>
      <c r="AF50" s="155"/>
      <c r="AG50" s="99"/>
      <c r="AH50" s="183"/>
      <c r="AI50" s="184"/>
      <c r="AJ50" s="184"/>
      <c r="AK50" s="184"/>
      <c r="AL50" s="184"/>
      <c r="AM50" s="185"/>
      <c r="AN50" s="98"/>
      <c r="AO50" s="155"/>
      <c r="AP50" s="155"/>
      <c r="AQ50" s="155"/>
      <c r="AR50" s="99"/>
      <c r="AS50" s="183"/>
      <c r="AT50" s="184"/>
      <c r="AU50" s="184"/>
      <c r="AV50" s="184"/>
      <c r="AW50" s="185"/>
      <c r="AX50" s="98"/>
      <c r="AY50" s="155"/>
      <c r="AZ50" s="155"/>
      <c r="BA50" s="155"/>
      <c r="BB50" s="155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189"/>
      <c r="I52" s="189"/>
      <c r="J52" s="189"/>
      <c r="K52" s="189"/>
      <c r="L52" s="164"/>
      <c r="M52" s="164"/>
      <c r="N52" s="164"/>
      <c r="O52" s="164"/>
      <c r="P52" s="164"/>
      <c r="Q52" s="190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660" t="s">
        <v>101</v>
      </c>
      <c r="B58" s="661"/>
      <c r="C58" s="661"/>
      <c r="D58" s="661"/>
      <c r="E58" s="661"/>
      <c r="F58" s="661"/>
      <c r="G58" s="661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96"/>
      <c r="AC58" s="662">
        <f>((R59+(R59*U61)+(R59*Q61)+(R59*M61)+(R59*I61))*Z61)</f>
        <v>32175</v>
      </c>
      <c r="AD58" s="662"/>
      <c r="AE58" s="662"/>
      <c r="AF58" s="662"/>
      <c r="AG58" s="662"/>
      <c r="AH58" s="662">
        <v>75</v>
      </c>
      <c r="AI58" s="662"/>
      <c r="AJ58" s="662"/>
      <c r="AK58" s="662"/>
      <c r="AL58" s="662"/>
      <c r="AM58" s="662"/>
      <c r="AN58" s="662">
        <f>AC58/AH58</f>
        <v>429</v>
      </c>
      <c r="AO58" s="662"/>
      <c r="AP58" s="662"/>
      <c r="AQ58" s="662"/>
      <c r="AR58" s="662"/>
      <c r="AS58" s="663">
        <f>U12</f>
        <v>36</v>
      </c>
      <c r="AT58" s="663"/>
      <c r="AU58" s="663"/>
      <c r="AV58" s="663"/>
      <c r="AW58" s="663"/>
      <c r="AX58" s="662">
        <f>AN58*AS58</f>
        <v>15444</v>
      </c>
      <c r="AY58" s="662"/>
      <c r="AZ58" s="662"/>
      <c r="BA58" s="662"/>
      <c r="BB58" s="684"/>
    </row>
    <row r="59" spans="1:54" s="165" customFormat="1" ht="20.25" customHeight="1" x14ac:dyDescent="0.2">
      <c r="A59" s="652"/>
      <c r="B59" s="653"/>
      <c r="C59" s="653"/>
      <c r="D59" s="653"/>
      <c r="E59" s="653"/>
      <c r="F59" s="653"/>
      <c r="G59" s="653"/>
      <c r="H59" s="714" t="s">
        <v>26</v>
      </c>
      <c r="I59" s="704"/>
      <c r="J59" s="704"/>
      <c r="K59" s="704"/>
      <c r="L59" s="704"/>
      <c r="M59" s="704"/>
      <c r="N59" s="669">
        <v>1.5</v>
      </c>
      <c r="O59" s="669"/>
      <c r="P59" s="669"/>
      <c r="Q59" s="84" t="s">
        <v>27</v>
      </c>
      <c r="R59" s="669">
        <f>$AX$19*N59</f>
        <v>8250</v>
      </c>
      <c r="S59" s="669"/>
      <c r="T59" s="669"/>
      <c r="U59" s="669"/>
      <c r="V59" s="669"/>
      <c r="W59" s="84" t="s">
        <v>28</v>
      </c>
      <c r="X59" s="84" t="s">
        <v>29</v>
      </c>
      <c r="Y59" s="84"/>
      <c r="Z59" s="84"/>
      <c r="AA59" s="84"/>
      <c r="AB59" s="85"/>
      <c r="AC59" s="601"/>
      <c r="AD59" s="601"/>
      <c r="AE59" s="601"/>
      <c r="AF59" s="601"/>
      <c r="AG59" s="601"/>
      <c r="AH59" s="601"/>
      <c r="AI59" s="601"/>
      <c r="AJ59" s="601"/>
      <c r="AK59" s="601"/>
      <c r="AL59" s="601"/>
      <c r="AM59" s="601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652"/>
      <c r="B60" s="653"/>
      <c r="C60" s="653"/>
      <c r="D60" s="653"/>
      <c r="E60" s="653"/>
      <c r="F60" s="653"/>
      <c r="G60" s="653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601"/>
      <c r="AD60" s="601"/>
      <c r="AE60" s="601"/>
      <c r="AF60" s="601"/>
      <c r="AG60" s="601"/>
      <c r="AH60" s="601"/>
      <c r="AI60" s="601"/>
      <c r="AJ60" s="601"/>
      <c r="AK60" s="601"/>
      <c r="AL60" s="601"/>
      <c r="AM60" s="601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1.25" customHeight="1" x14ac:dyDescent="0.2">
      <c r="A61" s="652"/>
      <c r="B61" s="653"/>
      <c r="C61" s="653"/>
      <c r="D61" s="653"/>
      <c r="E61" s="653"/>
      <c r="F61" s="653"/>
      <c r="G61" s="653"/>
      <c r="H61" s="97" t="s">
        <v>30</v>
      </c>
      <c r="I61" s="792">
        <v>0.2</v>
      </c>
      <c r="J61" s="792"/>
      <c r="K61" s="792"/>
      <c r="L61" s="84" t="s">
        <v>79</v>
      </c>
      <c r="M61" s="792">
        <v>0</v>
      </c>
      <c r="N61" s="792"/>
      <c r="O61" s="792"/>
      <c r="P61" s="84" t="s">
        <v>79</v>
      </c>
      <c r="Q61" s="792">
        <v>0.3</v>
      </c>
      <c r="R61" s="792"/>
      <c r="S61" s="792"/>
      <c r="T61" s="84" t="s">
        <v>79</v>
      </c>
      <c r="U61" s="792">
        <v>0</v>
      </c>
      <c r="V61" s="792"/>
      <c r="W61" s="792"/>
      <c r="X61" s="84" t="s">
        <v>31</v>
      </c>
      <c r="Y61" s="84" t="s">
        <v>28</v>
      </c>
      <c r="Z61" s="669">
        <v>2.6</v>
      </c>
      <c r="AA61" s="669"/>
      <c r="AB61" s="670"/>
      <c r="AC61" s="601"/>
      <c r="AD61" s="601"/>
      <c r="AE61" s="601"/>
      <c r="AF61" s="601"/>
      <c r="AG61" s="601"/>
      <c r="AH61" s="601"/>
      <c r="AI61" s="601"/>
      <c r="AJ61" s="601"/>
      <c r="AK61" s="601"/>
      <c r="AL61" s="601"/>
      <c r="AM61" s="601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" customHeight="1" thickBot="1" x14ac:dyDescent="0.25">
      <c r="A62" s="652"/>
      <c r="B62" s="653"/>
      <c r="C62" s="653"/>
      <c r="D62" s="653"/>
      <c r="E62" s="653"/>
      <c r="F62" s="653"/>
      <c r="G62" s="653"/>
      <c r="H62" s="98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99"/>
      <c r="AC62" s="601"/>
      <c r="AD62" s="601"/>
      <c r="AE62" s="601"/>
      <c r="AF62" s="601"/>
      <c r="AG62" s="601"/>
      <c r="AH62" s="601"/>
      <c r="AI62" s="601"/>
      <c r="AJ62" s="601"/>
      <c r="AK62" s="601"/>
      <c r="AL62" s="601"/>
      <c r="AM62" s="601"/>
      <c r="AN62" s="601"/>
      <c r="AO62" s="601"/>
      <c r="AP62" s="601"/>
      <c r="AQ62" s="601"/>
      <c r="AR62" s="601"/>
      <c r="AS62" s="664"/>
      <c r="AT62" s="664"/>
      <c r="AU62" s="664"/>
      <c r="AV62" s="664"/>
      <c r="AW62" s="664"/>
      <c r="AX62" s="601"/>
      <c r="AY62" s="601"/>
      <c r="AZ62" s="601"/>
      <c r="BA62" s="601"/>
      <c r="BB62" s="655"/>
    </row>
    <row r="63" spans="1:54" ht="5.0999999999999996" hidden="1" customHeight="1" x14ac:dyDescent="0.2">
      <c r="A63" s="652"/>
      <c r="B63" s="653"/>
      <c r="C63" s="653"/>
      <c r="D63" s="653"/>
      <c r="E63" s="653"/>
      <c r="F63" s="653"/>
      <c r="G63" s="653"/>
      <c r="H63" s="193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94" t="e">
        <f>#REF!</f>
        <v>#REF!</v>
      </c>
      <c r="AA63" s="191"/>
      <c r="AB63" s="195"/>
      <c r="AC63" s="507">
        <f>((R64+(R64*U66)+(R64*Q66)+(R64*M66)+(R64*I66))*Z66)*1.15</f>
        <v>0</v>
      </c>
      <c r="AD63" s="507"/>
      <c r="AE63" s="507"/>
      <c r="AF63" s="507"/>
      <c r="AG63" s="507"/>
      <c r="AH63" s="529">
        <v>1</v>
      </c>
      <c r="AI63" s="529"/>
      <c r="AJ63" s="529"/>
      <c r="AK63" s="529"/>
      <c r="AL63" s="529"/>
      <c r="AM63" s="529"/>
      <c r="AN63" s="529">
        <f>AC63/AH63</f>
        <v>0</v>
      </c>
      <c r="AO63" s="529"/>
      <c r="AP63" s="529"/>
      <c r="AQ63" s="529"/>
      <c r="AR63" s="529"/>
      <c r="AS63" s="663">
        <f t="shared" ref="AS63" si="0">U17</f>
        <v>0</v>
      </c>
      <c r="AT63" s="663"/>
      <c r="AU63" s="663"/>
      <c r="AV63" s="663"/>
      <c r="AW63" s="663"/>
      <c r="AX63" s="529">
        <f>AN63*AS63</f>
        <v>0</v>
      </c>
      <c r="AY63" s="529"/>
      <c r="AZ63" s="529"/>
      <c r="BA63" s="529"/>
      <c r="BB63" s="665"/>
    </row>
    <row r="64" spans="1:54" s="165" customFormat="1" ht="11.25" hidden="1" customHeight="1" x14ac:dyDescent="0.2">
      <c r="A64" s="652"/>
      <c r="B64" s="653"/>
      <c r="C64" s="653"/>
      <c r="D64" s="653"/>
      <c r="E64" s="653"/>
      <c r="F64" s="653"/>
      <c r="G64" s="653"/>
      <c r="H64" s="658" t="s">
        <v>26</v>
      </c>
      <c r="I64" s="659"/>
      <c r="J64" s="659"/>
      <c r="K64" s="659"/>
      <c r="L64" s="659"/>
      <c r="M64" s="659"/>
      <c r="N64" s="650">
        <v>0</v>
      </c>
      <c r="O64" s="650"/>
      <c r="P64" s="650"/>
      <c r="Q64" s="191" t="s">
        <v>27</v>
      </c>
      <c r="R64" s="650">
        <f>$AX$19*N64</f>
        <v>0</v>
      </c>
      <c r="S64" s="650"/>
      <c r="T64" s="650"/>
      <c r="U64" s="650"/>
      <c r="V64" s="650"/>
      <c r="W64" s="191" t="s">
        <v>28</v>
      </c>
      <c r="X64" s="191" t="s">
        <v>29</v>
      </c>
      <c r="Y64" s="191"/>
      <c r="Z64" s="191"/>
      <c r="AA64" s="191"/>
      <c r="AB64" s="195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664"/>
      <c r="AT64" s="664"/>
      <c r="AU64" s="664"/>
      <c r="AV64" s="664"/>
      <c r="AW64" s="664"/>
      <c r="AX64" s="529"/>
      <c r="AY64" s="529"/>
      <c r="AZ64" s="529"/>
      <c r="BA64" s="529"/>
      <c r="BB64" s="665"/>
    </row>
    <row r="65" spans="1:54" s="165" customFormat="1" ht="5.0999999999999996" hidden="1" customHeight="1" x14ac:dyDescent="0.2">
      <c r="A65" s="652"/>
      <c r="B65" s="653"/>
      <c r="C65" s="653"/>
      <c r="D65" s="653"/>
      <c r="E65" s="653"/>
      <c r="F65" s="653"/>
      <c r="G65" s="653"/>
      <c r="H65" s="196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91"/>
      <c r="AA65" s="191"/>
      <c r="AB65" s="195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65" customFormat="1" ht="11.25" hidden="1" customHeight="1" x14ac:dyDescent="0.2">
      <c r="A66" s="652"/>
      <c r="B66" s="653"/>
      <c r="C66" s="653"/>
      <c r="D66" s="653"/>
      <c r="E66" s="653"/>
      <c r="F66" s="653"/>
      <c r="G66" s="653"/>
      <c r="H66" s="197" t="s">
        <v>30</v>
      </c>
      <c r="I66" s="654">
        <v>0</v>
      </c>
      <c r="J66" s="654"/>
      <c r="K66" s="654"/>
      <c r="L66" s="191" t="s">
        <v>28</v>
      </c>
      <c r="M66" s="654">
        <v>0</v>
      </c>
      <c r="N66" s="654"/>
      <c r="O66" s="654"/>
      <c r="P66" s="191" t="s">
        <v>28</v>
      </c>
      <c r="Q66" s="654"/>
      <c r="R66" s="654"/>
      <c r="S66" s="654"/>
      <c r="T66" s="191" t="s">
        <v>28</v>
      </c>
      <c r="U66" s="654"/>
      <c r="V66" s="654"/>
      <c r="W66" s="654"/>
      <c r="X66" s="191" t="s">
        <v>31</v>
      </c>
      <c r="Y66" s="191" t="s">
        <v>28</v>
      </c>
      <c r="Z66" s="650">
        <v>2.6</v>
      </c>
      <c r="AA66" s="650"/>
      <c r="AB66" s="651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65" customFormat="1" ht="5.0999999999999996" hidden="1" customHeight="1" thickBot="1" x14ac:dyDescent="0.25">
      <c r="A67" s="652"/>
      <c r="B67" s="653"/>
      <c r="C67" s="653"/>
      <c r="D67" s="653"/>
      <c r="E67" s="653"/>
      <c r="F67" s="653"/>
      <c r="G67" s="653"/>
      <c r="H67" s="198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200"/>
      <c r="AA67" s="200"/>
      <c r="AB67" s="201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65" customFormat="1" ht="5.0999999999999996" hidden="1" customHeight="1" x14ac:dyDescent="0.2">
      <c r="A68" s="652"/>
      <c r="B68" s="653"/>
      <c r="C68" s="653"/>
      <c r="D68" s="653"/>
      <c r="E68" s="653"/>
      <c r="F68" s="653"/>
      <c r="G68" s="653"/>
      <c r="H68" s="19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94" t="e">
        <f>#REF!</f>
        <v>#REF!</v>
      </c>
      <c r="AA68" s="191"/>
      <c r="AB68" s="195"/>
      <c r="AC68" s="507">
        <f>((R69+(R69*U71)+(R69*Q71)+(R69*M71)+(R69*I71))*Z71)*1.15</f>
        <v>0</v>
      </c>
      <c r="AD68" s="507"/>
      <c r="AE68" s="507"/>
      <c r="AF68" s="507"/>
      <c r="AG68" s="507"/>
      <c r="AH68" s="529">
        <v>1</v>
      </c>
      <c r="AI68" s="529"/>
      <c r="AJ68" s="529"/>
      <c r="AK68" s="529"/>
      <c r="AL68" s="529"/>
      <c r="AM68" s="529"/>
      <c r="AN68" s="529">
        <f>AC68/AH68</f>
        <v>0</v>
      </c>
      <c r="AO68" s="529"/>
      <c r="AP68" s="529"/>
      <c r="AQ68" s="529"/>
      <c r="AR68" s="529"/>
      <c r="AS68" s="663">
        <f t="shared" ref="AS68" si="1">U22</f>
        <v>0</v>
      </c>
      <c r="AT68" s="663"/>
      <c r="AU68" s="663"/>
      <c r="AV68" s="663"/>
      <c r="AW68" s="663"/>
      <c r="AX68" s="529">
        <f>AN68*AS68</f>
        <v>0</v>
      </c>
      <c r="AY68" s="529"/>
      <c r="AZ68" s="529"/>
      <c r="BA68" s="529"/>
      <c r="BB68" s="665"/>
    </row>
    <row r="69" spans="1:54" s="165" customFormat="1" ht="11.25" hidden="1" customHeight="1" x14ac:dyDescent="0.2">
      <c r="A69" s="652"/>
      <c r="B69" s="653"/>
      <c r="C69" s="653"/>
      <c r="D69" s="653"/>
      <c r="E69" s="653"/>
      <c r="F69" s="653"/>
      <c r="G69" s="653"/>
      <c r="H69" s="658" t="s">
        <v>26</v>
      </c>
      <c r="I69" s="659"/>
      <c r="J69" s="659"/>
      <c r="K69" s="659"/>
      <c r="L69" s="659"/>
      <c r="M69" s="659"/>
      <c r="N69" s="650">
        <v>0</v>
      </c>
      <c r="O69" s="650"/>
      <c r="P69" s="650"/>
      <c r="Q69" s="191" t="s">
        <v>27</v>
      </c>
      <c r="R69" s="650">
        <f>$AX$19*N69</f>
        <v>0</v>
      </c>
      <c r="S69" s="650"/>
      <c r="T69" s="650"/>
      <c r="U69" s="650"/>
      <c r="V69" s="650"/>
      <c r="W69" s="191" t="s">
        <v>28</v>
      </c>
      <c r="X69" s="191" t="s">
        <v>29</v>
      </c>
      <c r="Y69" s="191"/>
      <c r="Z69" s="191"/>
      <c r="AA69" s="191"/>
      <c r="AB69" s="195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529"/>
      <c r="AP69" s="529"/>
      <c r="AQ69" s="529"/>
      <c r="AR69" s="529"/>
      <c r="AS69" s="664"/>
      <c r="AT69" s="664"/>
      <c r="AU69" s="664"/>
      <c r="AV69" s="664"/>
      <c r="AW69" s="664"/>
      <c r="AX69" s="529"/>
      <c r="AY69" s="529"/>
      <c r="AZ69" s="529"/>
      <c r="BA69" s="529"/>
      <c r="BB69" s="665"/>
    </row>
    <row r="70" spans="1:54" ht="5.0999999999999996" hidden="1" customHeight="1" x14ac:dyDescent="0.2">
      <c r="A70" s="652"/>
      <c r="B70" s="653"/>
      <c r="C70" s="653"/>
      <c r="D70" s="653"/>
      <c r="E70" s="653"/>
      <c r="F70" s="653"/>
      <c r="G70" s="653"/>
      <c r="H70" s="19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91"/>
      <c r="AA70" s="191"/>
      <c r="AB70" s="195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s="165" customFormat="1" ht="11.25" hidden="1" customHeight="1" x14ac:dyDescent="0.2">
      <c r="A71" s="652"/>
      <c r="B71" s="653"/>
      <c r="C71" s="653"/>
      <c r="D71" s="653"/>
      <c r="E71" s="653"/>
      <c r="F71" s="653"/>
      <c r="G71" s="653"/>
      <c r="H71" s="197" t="s">
        <v>30</v>
      </c>
      <c r="I71" s="654">
        <v>0</v>
      </c>
      <c r="J71" s="654"/>
      <c r="K71" s="654"/>
      <c r="L71" s="191" t="s">
        <v>28</v>
      </c>
      <c r="M71" s="654">
        <v>0</v>
      </c>
      <c r="N71" s="654"/>
      <c r="O71" s="654"/>
      <c r="P71" s="191" t="s">
        <v>28</v>
      </c>
      <c r="Q71" s="654"/>
      <c r="R71" s="654"/>
      <c r="S71" s="654"/>
      <c r="T71" s="191" t="s">
        <v>28</v>
      </c>
      <c r="U71" s="654"/>
      <c r="V71" s="654"/>
      <c r="W71" s="654"/>
      <c r="X71" s="191" t="s">
        <v>31</v>
      </c>
      <c r="Y71" s="191" t="s">
        <v>28</v>
      </c>
      <c r="Z71" s="650">
        <v>2.6</v>
      </c>
      <c r="AA71" s="650"/>
      <c r="AB71" s="651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65" customFormat="1" ht="11.25" hidden="1" customHeight="1" thickBot="1" x14ac:dyDescent="0.25">
      <c r="A72" s="652"/>
      <c r="B72" s="653"/>
      <c r="C72" s="653"/>
      <c r="D72" s="653"/>
      <c r="E72" s="653"/>
      <c r="F72" s="653"/>
      <c r="G72" s="653"/>
      <c r="H72" s="198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200"/>
      <c r="AA72" s="200"/>
      <c r="AB72" s="201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65" customFormat="1" ht="15" hidden="1" customHeight="1" x14ac:dyDescent="0.2">
      <c r="A73" s="660" t="s">
        <v>84</v>
      </c>
      <c r="B73" s="661"/>
      <c r="C73" s="661"/>
      <c r="D73" s="661"/>
      <c r="E73" s="661"/>
      <c r="F73" s="661"/>
      <c r="G73" s="661"/>
      <c r="H73" s="19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94" t="e">
        <f>#REF!</f>
        <v>#REF!</v>
      </c>
      <c r="AA73" s="191"/>
      <c r="AB73" s="195"/>
      <c r="AC73" s="507">
        <f>((R74+(R74*U76)+(R74*Q76)+(R74*M76)+(R74*I76))*Z76)</f>
        <v>0</v>
      </c>
      <c r="AD73" s="507"/>
      <c r="AE73" s="507"/>
      <c r="AF73" s="507"/>
      <c r="AG73" s="507"/>
      <c r="AH73" s="529">
        <v>75</v>
      </c>
      <c r="AI73" s="529"/>
      <c r="AJ73" s="529"/>
      <c r="AK73" s="529"/>
      <c r="AL73" s="529"/>
      <c r="AM73" s="529"/>
      <c r="AN73" s="529">
        <f>AC73/AH73</f>
        <v>0</v>
      </c>
      <c r="AO73" s="529"/>
      <c r="AP73" s="529"/>
      <c r="AQ73" s="529"/>
      <c r="AR73" s="529"/>
      <c r="AS73" s="663">
        <f t="shared" ref="AS73" si="2">U27</f>
        <v>0</v>
      </c>
      <c r="AT73" s="663"/>
      <c r="AU73" s="663"/>
      <c r="AV73" s="663"/>
      <c r="AW73" s="663"/>
      <c r="AX73" s="529">
        <f>AN73*AS73</f>
        <v>0</v>
      </c>
      <c r="AY73" s="529"/>
      <c r="AZ73" s="529"/>
      <c r="BA73" s="529"/>
      <c r="BB73" s="665"/>
    </row>
    <row r="74" spans="1:54" s="165" customFormat="1" ht="21" hidden="1" customHeight="1" thickBot="1" x14ac:dyDescent="0.25">
      <c r="A74" s="652"/>
      <c r="B74" s="653"/>
      <c r="C74" s="653"/>
      <c r="D74" s="653"/>
      <c r="E74" s="653"/>
      <c r="F74" s="653"/>
      <c r="G74" s="653"/>
      <c r="H74" s="658" t="s">
        <v>26</v>
      </c>
      <c r="I74" s="659"/>
      <c r="J74" s="659"/>
      <c r="K74" s="659"/>
      <c r="L74" s="659"/>
      <c r="M74" s="659"/>
      <c r="N74" s="650">
        <v>0</v>
      </c>
      <c r="O74" s="650"/>
      <c r="P74" s="650"/>
      <c r="Q74" s="191" t="s">
        <v>27</v>
      </c>
      <c r="R74" s="650">
        <f>$AX$19*N74</f>
        <v>0</v>
      </c>
      <c r="S74" s="650"/>
      <c r="T74" s="650"/>
      <c r="U74" s="650"/>
      <c r="V74" s="650"/>
      <c r="W74" s="191" t="s">
        <v>28</v>
      </c>
      <c r="X74" s="191" t="s">
        <v>29</v>
      </c>
      <c r="Y74" s="191"/>
      <c r="Z74" s="191"/>
      <c r="AA74" s="191"/>
      <c r="AB74" s="195"/>
      <c r="AC74" s="529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29"/>
      <c r="AS74" s="664"/>
      <c r="AT74" s="664"/>
      <c r="AU74" s="664"/>
      <c r="AV74" s="664"/>
      <c r="AW74" s="664"/>
      <c r="AX74" s="529"/>
      <c r="AY74" s="529"/>
      <c r="AZ74" s="529"/>
      <c r="BA74" s="529"/>
      <c r="BB74" s="665"/>
    </row>
    <row r="75" spans="1:54" s="165" customFormat="1" ht="12" hidden="1" customHeight="1" thickBot="1" x14ac:dyDescent="0.25">
      <c r="A75" s="652"/>
      <c r="B75" s="653"/>
      <c r="C75" s="653"/>
      <c r="D75" s="653"/>
      <c r="E75" s="653"/>
      <c r="F75" s="653"/>
      <c r="G75" s="653"/>
      <c r="H75" s="196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91"/>
      <c r="AA75" s="191"/>
      <c r="AB75" s="195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29"/>
      <c r="AS75" s="664"/>
      <c r="AT75" s="664"/>
      <c r="AU75" s="664"/>
      <c r="AV75" s="664"/>
      <c r="AW75" s="664"/>
      <c r="AX75" s="529"/>
      <c r="AY75" s="529"/>
      <c r="AZ75" s="529"/>
      <c r="BA75" s="529"/>
      <c r="BB75" s="665"/>
    </row>
    <row r="76" spans="1:54" s="165" customFormat="1" ht="15.75" hidden="1" customHeight="1" thickBot="1" x14ac:dyDescent="0.25">
      <c r="A76" s="652"/>
      <c r="B76" s="653"/>
      <c r="C76" s="653"/>
      <c r="D76" s="653"/>
      <c r="E76" s="653"/>
      <c r="F76" s="653"/>
      <c r="G76" s="653"/>
      <c r="H76" s="197" t="s">
        <v>30</v>
      </c>
      <c r="I76" s="654">
        <v>0.2</v>
      </c>
      <c r="J76" s="654"/>
      <c r="K76" s="654"/>
      <c r="L76" s="191" t="s">
        <v>28</v>
      </c>
      <c r="M76" s="654">
        <v>0.15</v>
      </c>
      <c r="N76" s="654"/>
      <c r="O76" s="654"/>
      <c r="P76" s="191" t="s">
        <v>28</v>
      </c>
      <c r="Q76" s="654">
        <v>0.5</v>
      </c>
      <c r="R76" s="654"/>
      <c r="S76" s="654"/>
      <c r="T76" s="191" t="s">
        <v>28</v>
      </c>
      <c r="U76" s="654">
        <v>0</v>
      </c>
      <c r="V76" s="654"/>
      <c r="W76" s="654"/>
      <c r="X76" s="191" t="s">
        <v>31</v>
      </c>
      <c r="Y76" s="191" t="s">
        <v>28</v>
      </c>
      <c r="Z76" s="650">
        <v>2.6</v>
      </c>
      <c r="AA76" s="650"/>
      <c r="AB76" s="651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29"/>
      <c r="AS76" s="664"/>
      <c r="AT76" s="664"/>
      <c r="AU76" s="664"/>
      <c r="AV76" s="664"/>
      <c r="AW76" s="664"/>
      <c r="AX76" s="529"/>
      <c r="AY76" s="529"/>
      <c r="AZ76" s="529"/>
      <c r="BA76" s="529"/>
      <c r="BB76" s="665"/>
    </row>
    <row r="77" spans="1:54" ht="13.5" hidden="1" customHeight="1" thickBot="1" x14ac:dyDescent="0.25">
      <c r="A77" s="652"/>
      <c r="B77" s="653"/>
      <c r="C77" s="653"/>
      <c r="D77" s="653"/>
      <c r="E77" s="653"/>
      <c r="F77" s="653"/>
      <c r="G77" s="653"/>
      <c r="H77" s="198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200"/>
      <c r="AA77" s="200"/>
      <c r="AB77" s="201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29"/>
      <c r="AS77" s="664"/>
      <c r="AT77" s="664"/>
      <c r="AU77" s="664"/>
      <c r="AV77" s="664"/>
      <c r="AW77" s="664"/>
      <c r="AX77" s="529"/>
      <c r="AY77" s="529"/>
      <c r="AZ77" s="529"/>
      <c r="BA77" s="529"/>
      <c r="BB77" s="665"/>
    </row>
    <row r="78" spans="1:54" s="165" customFormat="1" ht="8.25" hidden="1" customHeight="1" x14ac:dyDescent="0.2">
      <c r="A78" s="660" t="s">
        <v>86</v>
      </c>
      <c r="B78" s="661"/>
      <c r="C78" s="661"/>
      <c r="D78" s="661"/>
      <c r="E78" s="661"/>
      <c r="F78" s="661"/>
      <c r="G78" s="661"/>
      <c r="H78" s="19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94" t="e">
        <f>#REF!</f>
        <v>#REF!</v>
      </c>
      <c r="AA78" s="191"/>
      <c r="AB78" s="195"/>
      <c r="AC78" s="662">
        <f>((R79+(R79*U81)+(R79*Q81)+(R79*M81)+(R79*I81))*Z81)*1.15</f>
        <v>0</v>
      </c>
      <c r="AD78" s="662"/>
      <c r="AE78" s="662"/>
      <c r="AF78" s="662"/>
      <c r="AG78" s="662"/>
      <c r="AH78" s="601">
        <v>144</v>
      </c>
      <c r="AI78" s="601"/>
      <c r="AJ78" s="601"/>
      <c r="AK78" s="601"/>
      <c r="AL78" s="601"/>
      <c r="AM78" s="601"/>
      <c r="AN78" s="601">
        <f>AC78/AH78</f>
        <v>0</v>
      </c>
      <c r="AO78" s="601"/>
      <c r="AP78" s="601"/>
      <c r="AQ78" s="601"/>
      <c r="AR78" s="601"/>
      <c r="AS78" s="663">
        <v>72</v>
      </c>
      <c r="AT78" s="663"/>
      <c r="AU78" s="663"/>
      <c r="AV78" s="663"/>
      <c r="AW78" s="663"/>
      <c r="AX78" s="601">
        <f>AN78*AS78</f>
        <v>0</v>
      </c>
      <c r="AY78" s="601"/>
      <c r="AZ78" s="601"/>
      <c r="BA78" s="601"/>
      <c r="BB78" s="655"/>
    </row>
    <row r="79" spans="1:54" s="165" customFormat="1" ht="27" hidden="1" customHeight="1" thickBot="1" x14ac:dyDescent="0.25">
      <c r="A79" s="652"/>
      <c r="B79" s="653"/>
      <c r="C79" s="653"/>
      <c r="D79" s="653"/>
      <c r="E79" s="653"/>
      <c r="F79" s="653"/>
      <c r="G79" s="653"/>
      <c r="H79" s="658" t="s">
        <v>26</v>
      </c>
      <c r="I79" s="659"/>
      <c r="J79" s="659"/>
      <c r="K79" s="659"/>
      <c r="L79" s="659"/>
      <c r="M79" s="659"/>
      <c r="N79" s="650">
        <v>0</v>
      </c>
      <c r="O79" s="650"/>
      <c r="P79" s="650"/>
      <c r="Q79" s="191" t="s">
        <v>27</v>
      </c>
      <c r="R79" s="650">
        <f>$AX$19*N79</f>
        <v>0</v>
      </c>
      <c r="S79" s="650"/>
      <c r="T79" s="650"/>
      <c r="U79" s="650"/>
      <c r="V79" s="650"/>
      <c r="W79" s="191" t="s">
        <v>28</v>
      </c>
      <c r="X79" s="191" t="s">
        <v>29</v>
      </c>
      <c r="Y79" s="191"/>
      <c r="Z79" s="191"/>
      <c r="AA79" s="191"/>
      <c r="AB79" s="195"/>
      <c r="AC79" s="601"/>
      <c r="AD79" s="601"/>
      <c r="AE79" s="601"/>
      <c r="AF79" s="601"/>
      <c r="AG79" s="601"/>
      <c r="AH79" s="601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64"/>
      <c r="AT79" s="664"/>
      <c r="AU79" s="664"/>
      <c r="AV79" s="664"/>
      <c r="AW79" s="664"/>
      <c r="AX79" s="601"/>
      <c r="AY79" s="601"/>
      <c r="AZ79" s="601"/>
      <c r="BA79" s="601"/>
      <c r="BB79" s="655"/>
    </row>
    <row r="80" spans="1:54" s="165" customFormat="1" ht="6.75" hidden="1" customHeight="1" thickBot="1" x14ac:dyDescent="0.25">
      <c r="A80" s="652"/>
      <c r="B80" s="653"/>
      <c r="C80" s="653"/>
      <c r="D80" s="653"/>
      <c r="E80" s="653"/>
      <c r="F80" s="653"/>
      <c r="G80" s="653"/>
      <c r="H80" s="19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91"/>
      <c r="AA80" s="191"/>
      <c r="AB80" s="195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ht="12" hidden="1" customHeight="1" thickBot="1" x14ac:dyDescent="0.25">
      <c r="A81" s="652"/>
      <c r="B81" s="653"/>
      <c r="C81" s="653"/>
      <c r="D81" s="653"/>
      <c r="E81" s="653"/>
      <c r="F81" s="653"/>
      <c r="G81" s="653"/>
      <c r="H81" s="197" t="s">
        <v>30</v>
      </c>
      <c r="I81" s="654">
        <v>0.2</v>
      </c>
      <c r="J81" s="654"/>
      <c r="K81" s="654"/>
      <c r="L81" s="191" t="s">
        <v>28</v>
      </c>
      <c r="M81" s="654">
        <v>0</v>
      </c>
      <c r="N81" s="654"/>
      <c r="O81" s="654"/>
      <c r="P81" s="191" t="s">
        <v>28</v>
      </c>
      <c r="Q81" s="654">
        <v>0</v>
      </c>
      <c r="R81" s="654"/>
      <c r="S81" s="654"/>
      <c r="T81" s="191" t="s">
        <v>28</v>
      </c>
      <c r="U81" s="654">
        <v>0</v>
      </c>
      <c r="V81" s="654"/>
      <c r="W81" s="654"/>
      <c r="X81" s="191" t="s">
        <v>31</v>
      </c>
      <c r="Y81" s="191" t="s">
        <v>28</v>
      </c>
      <c r="Z81" s="650">
        <v>2.6</v>
      </c>
      <c r="AA81" s="650"/>
      <c r="AB81" s="651"/>
      <c r="AC81" s="601"/>
      <c r="AD81" s="601"/>
      <c r="AE81" s="601"/>
      <c r="AF81" s="601"/>
      <c r="AG81" s="601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3.5" hidden="1" customHeight="1" thickBot="1" x14ac:dyDescent="0.25">
      <c r="A82" s="652"/>
      <c r="B82" s="653"/>
      <c r="C82" s="653"/>
      <c r="D82" s="653"/>
      <c r="E82" s="653"/>
      <c r="F82" s="653"/>
      <c r="G82" s="653"/>
      <c r="H82" s="202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4"/>
      <c r="AA82" s="204"/>
      <c r="AB82" s="205"/>
      <c r="AC82" s="601"/>
      <c r="AD82" s="601"/>
      <c r="AE82" s="601"/>
      <c r="AF82" s="601"/>
      <c r="AG82" s="601"/>
      <c r="AH82" s="656"/>
      <c r="AI82" s="656"/>
      <c r="AJ82" s="656"/>
      <c r="AK82" s="656"/>
      <c r="AL82" s="656"/>
      <c r="AM82" s="656"/>
      <c r="AN82" s="656"/>
      <c r="AO82" s="656"/>
      <c r="AP82" s="656"/>
      <c r="AQ82" s="656"/>
      <c r="AR82" s="656"/>
      <c r="AS82" s="664"/>
      <c r="AT82" s="664"/>
      <c r="AU82" s="664"/>
      <c r="AV82" s="664"/>
      <c r="AW82" s="664"/>
      <c r="AX82" s="656"/>
      <c r="AY82" s="656"/>
      <c r="AZ82" s="656"/>
      <c r="BA82" s="656"/>
      <c r="BB82" s="657"/>
    </row>
    <row r="83" spans="1:54" ht="11.25" customHeight="1" x14ac:dyDescent="0.2">
      <c r="R83" s="169" t="s">
        <v>18</v>
      </c>
      <c r="S83" s="170"/>
      <c r="T83" s="170"/>
      <c r="U83" s="171"/>
      <c r="V83" s="171"/>
      <c r="W83" s="171"/>
      <c r="X83" s="171"/>
      <c r="Y83" s="171"/>
      <c r="Z83" s="171"/>
      <c r="AA83" s="171"/>
      <c r="AB83" s="171"/>
      <c r="AC83" s="171"/>
      <c r="AD83" s="171" t="s">
        <v>19</v>
      </c>
      <c r="AE83" s="171" t="s">
        <v>20</v>
      </c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2"/>
      <c r="AS83" s="453">
        <f>AX83/U12</f>
        <v>429</v>
      </c>
      <c r="AT83" s="453"/>
      <c r="AU83" s="453"/>
      <c r="AV83" s="453"/>
      <c r="AW83" s="453"/>
      <c r="AX83" s="453">
        <f>SUM(AX58:BB82)</f>
        <v>15444</v>
      </c>
      <c r="AY83" s="453"/>
      <c r="AZ83" s="453"/>
      <c r="BA83" s="453"/>
      <c r="BB83" s="454"/>
    </row>
    <row r="84" spans="1:54" ht="11.25" customHeight="1" thickBot="1" x14ac:dyDescent="0.25">
      <c r="R84" s="175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 t="s">
        <v>19</v>
      </c>
      <c r="AE84" s="176" t="s">
        <v>21</v>
      </c>
      <c r="AF84" s="176"/>
      <c r="AG84" s="176"/>
      <c r="AH84" s="176"/>
      <c r="AI84" s="176"/>
      <c r="AJ84" s="176"/>
      <c r="AK84" s="176"/>
      <c r="AL84" s="176"/>
      <c r="AM84" s="176"/>
      <c r="AN84" s="176"/>
      <c r="AO84" s="630">
        <v>0.30199999999999999</v>
      </c>
      <c r="AP84" s="631"/>
      <c r="AQ84" s="631"/>
      <c r="AR84" s="632"/>
      <c r="AS84" s="463">
        <f>AX84/U12</f>
        <v>129.55799999999999</v>
      </c>
      <c r="AT84" s="463"/>
      <c r="AU84" s="463"/>
      <c r="AV84" s="463"/>
      <c r="AW84" s="463"/>
      <c r="AX84" s="463">
        <f>AX83*AO84</f>
        <v>4664.0879999999997</v>
      </c>
      <c r="AY84" s="463"/>
      <c r="AZ84" s="463"/>
      <c r="BA84" s="463"/>
      <c r="BB84" s="633"/>
    </row>
    <row r="85" spans="1:54" ht="11.25" customHeight="1" thickBot="1" x14ac:dyDescent="0.25">
      <c r="M85" s="164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206"/>
      <c r="AP85" s="179"/>
      <c r="AQ85" s="179"/>
      <c r="AR85" s="179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</row>
    <row r="86" spans="1:54" ht="12" customHeight="1" x14ac:dyDescent="0.2">
      <c r="A86" s="634" t="s">
        <v>32</v>
      </c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34"/>
      <c r="O86" s="635" t="s">
        <v>33</v>
      </c>
      <c r="P86" s="636"/>
      <c r="Q86" s="636"/>
      <c r="R86" s="636"/>
      <c r="S86" s="636"/>
      <c r="T86" s="636"/>
      <c r="U86" s="636"/>
      <c r="V86" s="636"/>
      <c r="W86" s="636"/>
      <c r="X86" s="636"/>
      <c r="Y86" s="636"/>
      <c r="Z86" s="636"/>
      <c r="AA86" s="636"/>
      <c r="AB86" s="636"/>
      <c r="AC86" s="636"/>
      <c r="AD86" s="636"/>
      <c r="AE86" s="636"/>
      <c r="AF86" s="636"/>
      <c r="AG86" s="636"/>
      <c r="AH86" s="636"/>
      <c r="AI86" s="636"/>
      <c r="AJ86" s="636"/>
      <c r="AK86" s="636"/>
      <c r="AL86" s="636"/>
      <c r="AM86" s="636"/>
      <c r="AN86" s="636"/>
      <c r="AO86" s="637">
        <f>AS34+AS51+AS83</f>
        <v>471.9</v>
      </c>
      <c r="AP86" s="637"/>
      <c r="AQ86" s="637"/>
      <c r="AR86" s="637"/>
      <c r="AS86" s="637"/>
      <c r="AT86" s="637"/>
      <c r="AU86" s="637"/>
      <c r="AV86" s="637">
        <f>AX34+AX51+AX83</f>
        <v>16988.400000000001</v>
      </c>
      <c r="AW86" s="637"/>
      <c r="AX86" s="637"/>
      <c r="AY86" s="637"/>
      <c r="AZ86" s="637"/>
      <c r="BA86" s="637"/>
      <c r="BB86" s="638"/>
    </row>
    <row r="87" spans="1:54" ht="12" customHeight="1" thickBot="1" x14ac:dyDescent="0.25">
      <c r="M87" s="163"/>
      <c r="O87" s="643" t="s">
        <v>34</v>
      </c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4"/>
      <c r="AI87" s="644"/>
      <c r="AJ87" s="644"/>
      <c r="AK87" s="644"/>
      <c r="AL87" s="644"/>
      <c r="AM87" s="644"/>
      <c r="AN87" s="644"/>
      <c r="AO87" s="645">
        <f>AS35+AS52+AS84</f>
        <v>142.5138</v>
      </c>
      <c r="AP87" s="645"/>
      <c r="AQ87" s="645"/>
      <c r="AR87" s="645"/>
      <c r="AS87" s="645"/>
      <c r="AT87" s="645"/>
      <c r="AU87" s="645"/>
      <c r="AV87" s="645">
        <f>AX35+AX52+AX84</f>
        <v>5130.4967999999999</v>
      </c>
      <c r="AW87" s="645"/>
      <c r="AX87" s="645"/>
      <c r="AY87" s="645"/>
      <c r="AZ87" s="645"/>
      <c r="BA87" s="645"/>
      <c r="BB87" s="646"/>
    </row>
    <row r="88" spans="1:54" ht="12" customHeight="1" thickBot="1" x14ac:dyDescent="0.25">
      <c r="M88" s="208" t="s">
        <v>35</v>
      </c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10"/>
      <c r="AO88" s="647">
        <f>AO87+AO86</f>
        <v>614.41380000000004</v>
      </c>
      <c r="AP88" s="648"/>
      <c r="AQ88" s="648"/>
      <c r="AR88" s="648"/>
      <c r="AS88" s="648"/>
      <c r="AT88" s="648"/>
      <c r="AU88" s="648"/>
      <c r="AV88" s="648">
        <f>AV86+AV87</f>
        <v>22118.896800000002</v>
      </c>
      <c r="AW88" s="648"/>
      <c r="AX88" s="648"/>
      <c r="AY88" s="648"/>
      <c r="AZ88" s="648"/>
      <c r="BA88" s="648"/>
      <c r="BB88" s="649"/>
    </row>
    <row r="89" spans="1:54" ht="10.5" customHeight="1" x14ac:dyDescent="0.2"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</row>
    <row r="90" spans="1:54" s="159" customFormat="1" ht="15" customHeight="1" x14ac:dyDescent="0.2">
      <c r="A90" s="159" t="s">
        <v>36</v>
      </c>
      <c r="C90" s="159" t="s">
        <v>37</v>
      </c>
      <c r="AX90" s="160"/>
      <c r="AY90" s="160"/>
      <c r="AZ90" s="160"/>
      <c r="BA90" s="160"/>
      <c r="BB90" s="160"/>
    </row>
    <row r="91" spans="1:54" ht="12" customHeight="1" thickBot="1" x14ac:dyDescent="0.25"/>
    <row r="92" spans="1:54" s="163" customFormat="1" ht="39" customHeight="1" x14ac:dyDescent="0.2">
      <c r="A92" s="499" t="s">
        <v>38</v>
      </c>
      <c r="B92" s="500"/>
      <c r="C92" s="500"/>
      <c r="D92" s="500"/>
      <c r="E92" s="500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35" t="s">
        <v>39</v>
      </c>
      <c r="R92" s="535"/>
      <c r="S92" s="535"/>
      <c r="T92" s="535"/>
      <c r="U92" s="535"/>
      <c r="V92" s="535"/>
      <c r="W92" s="535"/>
      <c r="X92" s="535" t="s">
        <v>40</v>
      </c>
      <c r="Y92" s="535"/>
      <c r="Z92" s="535"/>
      <c r="AA92" s="535"/>
      <c r="AB92" s="535"/>
      <c r="AC92" s="535"/>
      <c r="AD92" s="535"/>
      <c r="AE92" s="535" t="s">
        <v>41</v>
      </c>
      <c r="AF92" s="535"/>
      <c r="AG92" s="535"/>
      <c r="AH92" s="535"/>
      <c r="AI92" s="535"/>
      <c r="AJ92" s="535"/>
      <c r="AK92" s="535"/>
      <c r="AL92" s="535"/>
      <c r="AM92" s="500" t="s">
        <v>42</v>
      </c>
      <c r="AN92" s="500"/>
      <c r="AO92" s="500"/>
      <c r="AP92" s="500"/>
      <c r="AQ92" s="500"/>
      <c r="AR92" s="500"/>
      <c r="AS92" s="500"/>
      <c r="AT92" s="500"/>
      <c r="AU92" s="500"/>
      <c r="AV92" s="500" t="s">
        <v>43</v>
      </c>
      <c r="AW92" s="500"/>
      <c r="AX92" s="500"/>
      <c r="AY92" s="500"/>
      <c r="AZ92" s="500"/>
      <c r="BA92" s="500"/>
      <c r="BB92" s="639"/>
    </row>
    <row r="93" spans="1:54" s="163" customFormat="1" ht="12" customHeight="1" thickBot="1" x14ac:dyDescent="0.25">
      <c r="A93" s="640">
        <v>1</v>
      </c>
      <c r="B93" s="641"/>
      <c r="C93" s="641"/>
      <c r="D93" s="641"/>
      <c r="E93" s="641"/>
      <c r="F93" s="641"/>
      <c r="G93" s="641"/>
      <c r="H93" s="641"/>
      <c r="I93" s="641"/>
      <c r="J93" s="641"/>
      <c r="K93" s="641"/>
      <c r="L93" s="641"/>
      <c r="M93" s="641"/>
      <c r="N93" s="641"/>
      <c r="O93" s="641"/>
      <c r="P93" s="641"/>
      <c r="Q93" s="641">
        <v>2</v>
      </c>
      <c r="R93" s="641"/>
      <c r="S93" s="641"/>
      <c r="T93" s="641"/>
      <c r="U93" s="641"/>
      <c r="V93" s="641"/>
      <c r="W93" s="641"/>
      <c r="X93" s="641">
        <v>3</v>
      </c>
      <c r="Y93" s="641"/>
      <c r="Z93" s="641"/>
      <c r="AA93" s="641"/>
      <c r="AB93" s="641"/>
      <c r="AC93" s="641"/>
      <c r="AD93" s="641"/>
      <c r="AE93" s="641">
        <v>4</v>
      </c>
      <c r="AF93" s="641"/>
      <c r="AG93" s="641"/>
      <c r="AH93" s="641"/>
      <c r="AI93" s="641"/>
      <c r="AJ93" s="641"/>
      <c r="AK93" s="641"/>
      <c r="AL93" s="641"/>
      <c r="AM93" s="641">
        <v>5</v>
      </c>
      <c r="AN93" s="641"/>
      <c r="AO93" s="641"/>
      <c r="AP93" s="641"/>
      <c r="AQ93" s="641"/>
      <c r="AR93" s="641"/>
      <c r="AS93" s="641"/>
      <c r="AT93" s="641"/>
      <c r="AU93" s="641"/>
      <c r="AV93" s="641">
        <v>6</v>
      </c>
      <c r="AW93" s="641"/>
      <c r="AX93" s="641"/>
      <c r="AY93" s="641"/>
      <c r="AZ93" s="641"/>
      <c r="BA93" s="641"/>
      <c r="BB93" s="642"/>
    </row>
    <row r="94" spans="1:54" ht="15" customHeight="1" x14ac:dyDescent="0.2">
      <c r="A94" s="618" t="s">
        <v>44</v>
      </c>
      <c r="B94" s="619"/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9"/>
      <c r="Q94" s="572">
        <v>5014.7</v>
      </c>
      <c r="R94" s="573"/>
      <c r="S94" s="573"/>
      <c r="T94" s="573"/>
      <c r="U94" s="573"/>
      <c r="V94" s="573"/>
      <c r="W94" s="574"/>
      <c r="X94" s="572">
        <v>100.8</v>
      </c>
      <c r="Y94" s="573"/>
      <c r="Z94" s="573"/>
      <c r="AA94" s="573"/>
      <c r="AB94" s="573"/>
      <c r="AC94" s="573"/>
      <c r="AD94" s="574"/>
      <c r="AE94" s="477">
        <v>1094980.28</v>
      </c>
      <c r="AF94" s="477"/>
      <c r="AG94" s="477"/>
      <c r="AH94" s="477"/>
      <c r="AI94" s="477"/>
      <c r="AJ94" s="477"/>
      <c r="AK94" s="477"/>
      <c r="AL94" s="477"/>
      <c r="AM94" s="620" t="s">
        <v>45</v>
      </c>
      <c r="AN94" s="621"/>
      <c r="AO94" s="621"/>
      <c r="AP94" s="621"/>
      <c r="AQ94" s="621"/>
      <c r="AR94" s="621"/>
      <c r="AS94" s="621"/>
      <c r="AT94" s="621"/>
      <c r="AU94" s="622"/>
      <c r="AV94" s="615">
        <f>AE94/$Q$94*$X$94/($AN$95*$AN$96)</f>
        <v>7.4258072780196276</v>
      </c>
      <c r="AW94" s="615"/>
      <c r="AX94" s="615"/>
      <c r="AY94" s="615"/>
      <c r="AZ94" s="615"/>
      <c r="BA94" s="615"/>
      <c r="BB94" s="616"/>
    </row>
    <row r="95" spans="1:54" ht="15" customHeight="1" x14ac:dyDescent="0.2">
      <c r="A95" s="618" t="s">
        <v>46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/>
      <c r="R95" s="573"/>
      <c r="S95" s="573"/>
      <c r="T95" s="573"/>
      <c r="U95" s="573"/>
      <c r="V95" s="573"/>
      <c r="W95" s="574"/>
      <c r="X95" s="572"/>
      <c r="Y95" s="573"/>
      <c r="Z95" s="573"/>
      <c r="AA95" s="573"/>
      <c r="AB95" s="573"/>
      <c r="AC95" s="573"/>
      <c r="AD95" s="574"/>
      <c r="AE95" s="529">
        <v>3185296.06</v>
      </c>
      <c r="AF95" s="529"/>
      <c r="AG95" s="529"/>
      <c r="AH95" s="529"/>
      <c r="AI95" s="529"/>
      <c r="AJ95" s="529"/>
      <c r="AK95" s="529"/>
      <c r="AL95" s="529"/>
      <c r="AM95" s="213"/>
      <c r="AN95" s="623">
        <v>247</v>
      </c>
      <c r="AO95" s="623"/>
      <c r="AP95" s="623"/>
      <c r="AQ95" s="617" t="s">
        <v>47</v>
      </c>
      <c r="AR95" s="617"/>
      <c r="AS95" s="617"/>
      <c r="AT95" s="617"/>
      <c r="AU95" s="214"/>
      <c r="AV95" s="615">
        <f>AE95/$Q$94*$X$94/($AN$95*$AN$96)</f>
        <v>21.60166269386627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449" t="s">
        <v>48</v>
      </c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  <c r="M96" s="450"/>
      <c r="N96" s="450"/>
      <c r="O96" s="450"/>
      <c r="P96" s="451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529">
        <v>7563527</v>
      </c>
      <c r="AF96" s="529"/>
      <c r="AG96" s="529"/>
      <c r="AH96" s="529"/>
      <c r="AI96" s="529"/>
      <c r="AJ96" s="529"/>
      <c r="AK96" s="529"/>
      <c r="AL96" s="529"/>
      <c r="AM96" s="213"/>
      <c r="AN96" s="562">
        <v>12</v>
      </c>
      <c r="AO96" s="562"/>
      <c r="AP96" s="562"/>
      <c r="AQ96" s="617" t="s">
        <v>49</v>
      </c>
      <c r="AR96" s="617"/>
      <c r="AS96" s="617"/>
      <c r="AT96" s="617"/>
      <c r="AU96" s="214"/>
      <c r="AV96" s="615">
        <f>AE96/$Q$94*$X$94/($AN$95*$AN$96)</f>
        <v>51.293429543861691</v>
      </c>
      <c r="AW96" s="615"/>
      <c r="AX96" s="615"/>
      <c r="AY96" s="615"/>
      <c r="AZ96" s="615"/>
      <c r="BA96" s="615"/>
      <c r="BB96" s="616"/>
    </row>
    <row r="97" spans="1:57" ht="15" customHeight="1" thickBot="1" x14ac:dyDescent="0.25">
      <c r="A97" s="624" t="s">
        <v>50</v>
      </c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6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627">
        <v>1656648.54</v>
      </c>
      <c r="AF97" s="627"/>
      <c r="AG97" s="627"/>
      <c r="AH97" s="627"/>
      <c r="AI97" s="627"/>
      <c r="AJ97" s="627"/>
      <c r="AK97" s="627"/>
      <c r="AL97" s="627"/>
      <c r="AM97" s="213"/>
      <c r="AN97" s="186"/>
      <c r="AO97" s="186"/>
      <c r="AP97" s="186"/>
      <c r="AQ97" s="186"/>
      <c r="AR97" s="186"/>
      <c r="AS97" s="186"/>
      <c r="AT97" s="186"/>
      <c r="AU97" s="214"/>
      <c r="AV97" s="628">
        <f>AE97/$Q$94*$X$94/($AN$95*$AN$96)</f>
        <v>11.234862408163723</v>
      </c>
      <c r="AW97" s="628"/>
      <c r="AX97" s="628"/>
      <c r="AY97" s="628"/>
      <c r="AZ97" s="628"/>
      <c r="BA97" s="628"/>
      <c r="BB97" s="629"/>
    </row>
    <row r="98" spans="1:57" s="161" customFormat="1" ht="15" customHeight="1" thickBot="1" x14ac:dyDescent="0.25">
      <c r="A98" s="610" t="s">
        <v>51</v>
      </c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531">
        <f>Q94</f>
        <v>5014.7</v>
      </c>
      <c r="R98" s="533"/>
      <c r="S98" s="533"/>
      <c r="T98" s="533"/>
      <c r="U98" s="533"/>
      <c r="V98" s="533"/>
      <c r="W98" s="534"/>
      <c r="X98" s="531">
        <f>X94</f>
        <v>100.8</v>
      </c>
      <c r="Y98" s="533"/>
      <c r="Z98" s="533"/>
      <c r="AA98" s="533"/>
      <c r="AB98" s="533"/>
      <c r="AC98" s="533"/>
      <c r="AD98" s="534"/>
      <c r="AE98" s="612">
        <f>SUM(AE94:AL97)</f>
        <v>13500451.879999999</v>
      </c>
      <c r="AF98" s="612"/>
      <c r="AG98" s="612"/>
      <c r="AH98" s="612"/>
      <c r="AI98" s="612"/>
      <c r="AJ98" s="612"/>
      <c r="AK98" s="612"/>
      <c r="AL98" s="612"/>
      <c r="AM98" s="531" t="s">
        <v>17</v>
      </c>
      <c r="AN98" s="533"/>
      <c r="AO98" s="533"/>
      <c r="AP98" s="533"/>
      <c r="AQ98" s="533"/>
      <c r="AR98" s="533"/>
      <c r="AS98" s="533"/>
      <c r="AT98" s="533"/>
      <c r="AU98" s="534"/>
      <c r="AV98" s="613">
        <f>SUM(AV94:BB97)</f>
        <v>91.555761923911305</v>
      </c>
      <c r="AW98" s="613"/>
      <c r="AX98" s="613"/>
      <c r="AY98" s="613"/>
      <c r="AZ98" s="613"/>
      <c r="BA98" s="613"/>
      <c r="BB98" s="614"/>
    </row>
    <row r="99" spans="1:57" ht="12" customHeight="1" x14ac:dyDescent="0.2"/>
    <row r="100" spans="1:57" s="159" customFormat="1" ht="15" customHeight="1" x14ac:dyDescent="0.2">
      <c r="A100" s="159" t="s">
        <v>52</v>
      </c>
      <c r="C100" s="159" t="s">
        <v>53</v>
      </c>
      <c r="AX100" s="160"/>
      <c r="AY100" s="160"/>
      <c r="AZ100" s="160"/>
      <c r="BA100" s="160"/>
      <c r="BB100" s="160"/>
    </row>
    <row r="101" spans="1:57" ht="12" customHeight="1" thickBot="1" x14ac:dyDescent="0.25"/>
    <row r="102" spans="1:57" ht="39" customHeight="1" x14ac:dyDescent="0.2">
      <c r="A102" s="585" t="s">
        <v>54</v>
      </c>
      <c r="B102" s="586"/>
      <c r="C102" s="586"/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7"/>
      <c r="AA102" s="536" t="s">
        <v>55</v>
      </c>
      <c r="AB102" s="537"/>
      <c r="AC102" s="537"/>
      <c r="AD102" s="537"/>
      <c r="AE102" s="537"/>
      <c r="AF102" s="538"/>
      <c r="AG102" s="536" t="s">
        <v>56</v>
      </c>
      <c r="AH102" s="537"/>
      <c r="AI102" s="537"/>
      <c r="AJ102" s="537"/>
      <c r="AK102" s="537"/>
      <c r="AL102" s="538"/>
      <c r="AM102" s="588" t="s">
        <v>57</v>
      </c>
      <c r="AN102" s="586"/>
      <c r="AO102" s="586"/>
      <c r="AP102" s="586"/>
      <c r="AQ102" s="586"/>
      <c r="AR102" s="586"/>
      <c r="AS102" s="586"/>
      <c r="AT102" s="587"/>
      <c r="AU102" s="588" t="s">
        <v>43</v>
      </c>
      <c r="AV102" s="586"/>
      <c r="AW102" s="586"/>
      <c r="AX102" s="586"/>
      <c r="AY102" s="586"/>
      <c r="AZ102" s="586"/>
      <c r="BA102" s="586"/>
      <c r="BB102" s="589"/>
    </row>
    <row r="103" spans="1:57" ht="15.75" customHeight="1" thickBot="1" x14ac:dyDescent="0.25">
      <c r="A103" s="564">
        <v>1</v>
      </c>
      <c r="B103" s="475"/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5"/>
      <c r="O103" s="475"/>
      <c r="P103" s="475"/>
      <c r="Q103" s="475"/>
      <c r="R103" s="475"/>
      <c r="S103" s="475"/>
      <c r="T103" s="475"/>
      <c r="U103" s="475"/>
      <c r="V103" s="475"/>
      <c r="W103" s="475"/>
      <c r="X103" s="475"/>
      <c r="Y103" s="475"/>
      <c r="Z103" s="476"/>
      <c r="AA103" s="474">
        <v>2</v>
      </c>
      <c r="AB103" s="475"/>
      <c r="AC103" s="475"/>
      <c r="AD103" s="475"/>
      <c r="AE103" s="475"/>
      <c r="AF103" s="476"/>
      <c r="AG103" s="474">
        <v>3</v>
      </c>
      <c r="AH103" s="475"/>
      <c r="AI103" s="475"/>
      <c r="AJ103" s="475"/>
      <c r="AK103" s="475"/>
      <c r="AL103" s="476"/>
      <c r="AM103" s="474">
        <v>4</v>
      </c>
      <c r="AN103" s="475"/>
      <c r="AO103" s="475"/>
      <c r="AP103" s="475"/>
      <c r="AQ103" s="475"/>
      <c r="AR103" s="475"/>
      <c r="AS103" s="475"/>
      <c r="AT103" s="476"/>
      <c r="AU103" s="474">
        <v>5</v>
      </c>
      <c r="AV103" s="475"/>
      <c r="AW103" s="475"/>
      <c r="AX103" s="475"/>
      <c r="AY103" s="475"/>
      <c r="AZ103" s="475"/>
      <c r="BA103" s="475"/>
      <c r="BB103" s="565"/>
    </row>
    <row r="104" spans="1:57" ht="18.75" customHeight="1" x14ac:dyDescent="0.2">
      <c r="A104" s="566" t="s">
        <v>90</v>
      </c>
      <c r="B104" s="567"/>
      <c r="C104" s="567"/>
      <c r="D104" s="567"/>
      <c r="E104" s="567"/>
      <c r="F104" s="567"/>
      <c r="G104" s="567"/>
      <c r="H104" s="567"/>
      <c r="I104" s="567"/>
      <c r="J104" s="567"/>
      <c r="K104" s="567"/>
      <c r="L104" s="567"/>
      <c r="M104" s="567"/>
      <c r="N104" s="567"/>
      <c r="O104" s="567"/>
      <c r="P104" s="567"/>
      <c r="Q104" s="567"/>
      <c r="R104" s="567"/>
      <c r="S104" s="567"/>
      <c r="T104" s="567"/>
      <c r="U104" s="567"/>
      <c r="V104" s="567"/>
      <c r="W104" s="567"/>
      <c r="X104" s="567"/>
      <c r="Y104" s="567"/>
      <c r="Z104" s="568"/>
      <c r="AA104" s="604">
        <v>100</v>
      </c>
      <c r="AB104" s="605"/>
      <c r="AC104" s="605"/>
      <c r="AD104" s="605"/>
      <c r="AE104" s="605"/>
      <c r="AF104" s="606"/>
      <c r="AG104" s="569">
        <f>U12</f>
        <v>36</v>
      </c>
      <c r="AH104" s="570"/>
      <c r="AI104" s="570"/>
      <c r="AJ104" s="570"/>
      <c r="AK104" s="570"/>
      <c r="AL104" s="571"/>
      <c r="AM104" s="569" t="s">
        <v>58</v>
      </c>
      <c r="AN104" s="570"/>
      <c r="AO104" s="570"/>
      <c r="AP104" s="570"/>
      <c r="AQ104" s="570"/>
      <c r="AR104" s="570"/>
      <c r="AS104" s="570"/>
      <c r="AT104" s="571"/>
      <c r="AU104" s="607">
        <f>AA104/AG104</f>
        <v>2.7777777777777777</v>
      </c>
      <c r="AV104" s="608"/>
      <c r="AW104" s="608"/>
      <c r="AX104" s="608"/>
      <c r="AY104" s="608"/>
      <c r="AZ104" s="608"/>
      <c r="BA104" s="608"/>
      <c r="BB104" s="609"/>
    </row>
    <row r="105" spans="1:57" ht="20.25" customHeight="1" x14ac:dyDescent="0.2">
      <c r="A105" s="593" t="s">
        <v>96</v>
      </c>
      <c r="B105" s="594"/>
      <c r="C105" s="594"/>
      <c r="D105" s="594"/>
      <c r="E105" s="594"/>
      <c r="F105" s="594"/>
      <c r="G105" s="594"/>
      <c r="H105" s="594"/>
      <c r="I105" s="594"/>
      <c r="J105" s="594"/>
      <c r="K105" s="594"/>
      <c r="L105" s="594"/>
      <c r="M105" s="594"/>
      <c r="N105" s="594"/>
      <c r="O105" s="594"/>
      <c r="P105" s="594"/>
      <c r="Q105" s="594"/>
      <c r="R105" s="594"/>
      <c r="S105" s="594"/>
      <c r="T105" s="594"/>
      <c r="U105" s="594"/>
      <c r="V105" s="594"/>
      <c r="W105" s="594"/>
      <c r="X105" s="594"/>
      <c r="Y105" s="594"/>
      <c r="Z105" s="595"/>
      <c r="AA105" s="596">
        <v>12.3</v>
      </c>
      <c r="AB105" s="597"/>
      <c r="AC105" s="597"/>
      <c r="AD105" s="597"/>
      <c r="AE105" s="597"/>
      <c r="AF105" s="59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590">
        <f>AA105/AG104</f>
        <v>0.34166666666666667</v>
      </c>
      <c r="AV105" s="591"/>
      <c r="AW105" s="591"/>
      <c r="AX105" s="591"/>
      <c r="AY105" s="591"/>
      <c r="AZ105" s="591"/>
      <c r="BA105" s="591"/>
      <c r="BB105" s="592"/>
    </row>
    <row r="106" spans="1:57" ht="20.25" customHeight="1" x14ac:dyDescent="0.2">
      <c r="A106" s="593" t="s">
        <v>319</v>
      </c>
      <c r="B106" s="594"/>
      <c r="C106" s="594"/>
      <c r="D106" s="594"/>
      <c r="E106" s="594"/>
      <c r="F106" s="594"/>
      <c r="G106" s="594"/>
      <c r="H106" s="594"/>
      <c r="I106" s="594"/>
      <c r="J106" s="594"/>
      <c r="K106" s="594"/>
      <c r="L106" s="594"/>
      <c r="M106" s="594"/>
      <c r="N106" s="594"/>
      <c r="O106" s="594"/>
      <c r="P106" s="594"/>
      <c r="Q106" s="594"/>
      <c r="R106" s="594"/>
      <c r="S106" s="594"/>
      <c r="T106" s="594"/>
      <c r="U106" s="594"/>
      <c r="V106" s="594"/>
      <c r="W106" s="594"/>
      <c r="X106" s="594"/>
      <c r="Y106" s="594"/>
      <c r="Z106" s="595"/>
      <c r="AA106" s="596">
        <v>50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AA106/AG104</f>
        <v>1.3888888888888888</v>
      </c>
      <c r="AV106" s="591"/>
      <c r="AW106" s="591"/>
      <c r="AX106" s="591"/>
      <c r="AY106" s="591"/>
      <c r="AZ106" s="591"/>
      <c r="BA106" s="591"/>
      <c r="BB106" s="592"/>
      <c r="BE106" s="117">
        <f>AU106*12*4</f>
        <v>66.666666666666657</v>
      </c>
    </row>
    <row r="107" spans="1:57" ht="22.5" customHeight="1" x14ac:dyDescent="0.2">
      <c r="A107" s="593" t="s">
        <v>320</v>
      </c>
      <c r="B107" s="594"/>
      <c r="C107" s="594"/>
      <c r="D107" s="594"/>
      <c r="E107" s="594"/>
      <c r="F107" s="594"/>
      <c r="G107" s="594"/>
      <c r="H107" s="594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4"/>
      <c r="Z107" s="595"/>
      <c r="AA107" s="596">
        <v>100</v>
      </c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AA107/AG104</f>
        <v>2.7777777777777777</v>
      </c>
      <c r="AV107" s="591"/>
      <c r="AW107" s="591"/>
      <c r="AX107" s="591"/>
      <c r="AY107" s="591"/>
      <c r="AZ107" s="591"/>
      <c r="BA107" s="591"/>
      <c r="BB107" s="592"/>
    </row>
    <row r="108" spans="1:57" ht="22.5" customHeight="1" x14ac:dyDescent="0.2">
      <c r="A108" s="594" t="s">
        <v>100</v>
      </c>
      <c r="B108" s="594"/>
      <c r="C108" s="594"/>
      <c r="D108" s="594"/>
      <c r="E108" s="594"/>
      <c r="F108" s="594"/>
      <c r="G108" s="594"/>
      <c r="H108" s="594"/>
      <c r="I108" s="594"/>
      <c r="J108" s="594"/>
      <c r="K108" s="594"/>
      <c r="L108" s="594"/>
      <c r="M108" s="594"/>
      <c r="N108" s="594"/>
      <c r="O108" s="594"/>
      <c r="P108" s="594"/>
      <c r="Q108" s="594"/>
      <c r="R108" s="594"/>
      <c r="S108" s="594"/>
      <c r="T108" s="594"/>
      <c r="U108" s="594"/>
      <c r="V108" s="594"/>
      <c r="W108" s="594"/>
      <c r="X108" s="594"/>
      <c r="Y108" s="594"/>
      <c r="Z108" s="595"/>
      <c r="AA108" s="596">
        <v>140</v>
      </c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/>
      <c r="AV108" s="591"/>
      <c r="AW108" s="591"/>
      <c r="AX108" s="591"/>
      <c r="AY108" s="591"/>
      <c r="AZ108" s="591"/>
      <c r="BA108" s="591"/>
      <c r="BB108" s="592"/>
    </row>
    <row r="109" spans="1:57" ht="26.25" customHeight="1" x14ac:dyDescent="0.2">
      <c r="A109" s="450" t="s">
        <v>321</v>
      </c>
      <c r="B109" s="450"/>
      <c r="C109" s="450"/>
      <c r="D109" s="450"/>
      <c r="E109" s="450"/>
      <c r="F109" s="450"/>
      <c r="G109" s="450"/>
      <c r="H109" s="450"/>
      <c r="I109" s="450"/>
      <c r="J109" s="450"/>
      <c r="K109" s="450"/>
      <c r="L109" s="450"/>
      <c r="M109" s="450"/>
      <c r="N109" s="450"/>
      <c r="O109" s="450"/>
      <c r="P109" s="450"/>
      <c r="Q109" s="450"/>
      <c r="R109" s="450"/>
      <c r="S109" s="450"/>
      <c r="T109" s="450"/>
      <c r="U109" s="450"/>
      <c r="V109" s="450"/>
      <c r="W109" s="450"/>
      <c r="X109" s="450"/>
      <c r="Y109" s="450"/>
      <c r="Z109" s="451"/>
      <c r="AA109" s="596">
        <v>135</v>
      </c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590">
        <f>AA109/AG104</f>
        <v>3.75</v>
      </c>
      <c r="AV109" s="591"/>
      <c r="AW109" s="591"/>
      <c r="AX109" s="591"/>
      <c r="AY109" s="591"/>
      <c r="AZ109" s="591"/>
      <c r="BA109" s="591"/>
      <c r="BB109" s="592"/>
    </row>
    <row r="110" spans="1:57" ht="19.5" customHeight="1" x14ac:dyDescent="0.2">
      <c r="A110" s="796" t="s">
        <v>97</v>
      </c>
      <c r="B110" s="594"/>
      <c r="C110" s="594"/>
      <c r="D110" s="594"/>
      <c r="E110" s="594"/>
      <c r="F110" s="594"/>
      <c r="G110" s="594"/>
      <c r="H110" s="594"/>
      <c r="I110" s="594"/>
      <c r="J110" s="594"/>
      <c r="K110" s="594"/>
      <c r="L110" s="594"/>
      <c r="M110" s="594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4"/>
      <c r="Z110" s="595"/>
      <c r="AA110" s="596">
        <v>120</v>
      </c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590">
        <f>AA110/AG104</f>
        <v>3.3333333333333335</v>
      </c>
      <c r="AV110" s="591"/>
      <c r="AW110" s="591"/>
      <c r="AX110" s="591"/>
      <c r="AY110" s="591"/>
      <c r="AZ110" s="591"/>
      <c r="BA110" s="591"/>
      <c r="BB110" s="797"/>
    </row>
    <row r="111" spans="1:57" ht="0.75" customHeight="1" x14ac:dyDescent="0.2">
      <c r="A111" s="796"/>
      <c r="B111" s="594"/>
      <c r="C111" s="594"/>
      <c r="D111" s="594"/>
      <c r="E111" s="594"/>
      <c r="F111" s="594"/>
      <c r="G111" s="594"/>
      <c r="H111" s="594"/>
      <c r="I111" s="594"/>
      <c r="J111" s="594"/>
      <c r="K111" s="594"/>
      <c r="L111" s="594"/>
      <c r="M111" s="594"/>
      <c r="N111" s="594"/>
      <c r="O111" s="594"/>
      <c r="P111" s="594"/>
      <c r="Q111" s="594"/>
      <c r="R111" s="594"/>
      <c r="S111" s="594"/>
      <c r="T111" s="594"/>
      <c r="U111" s="594"/>
      <c r="V111" s="594"/>
      <c r="W111" s="594"/>
      <c r="X111" s="594"/>
      <c r="Y111" s="594"/>
      <c r="Z111" s="595"/>
      <c r="AA111" s="596"/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AA111/AG104</f>
        <v>0</v>
      </c>
      <c r="AV111" s="591"/>
      <c r="AW111" s="591"/>
      <c r="AX111" s="591"/>
      <c r="AY111" s="591"/>
      <c r="AZ111" s="591"/>
      <c r="BA111" s="591"/>
      <c r="BB111" s="797"/>
    </row>
    <row r="112" spans="1:57" ht="19.5" hidden="1" customHeight="1" x14ac:dyDescent="0.2">
      <c r="A112" s="796"/>
      <c r="B112" s="594"/>
      <c r="C112" s="594"/>
      <c r="D112" s="594"/>
      <c r="E112" s="594"/>
      <c r="F112" s="594"/>
      <c r="G112" s="594"/>
      <c r="H112" s="594"/>
      <c r="I112" s="594"/>
      <c r="J112" s="594"/>
      <c r="K112" s="594"/>
      <c r="L112" s="594"/>
      <c r="M112" s="594"/>
      <c r="N112" s="594"/>
      <c r="O112" s="594"/>
      <c r="P112" s="594"/>
      <c r="Q112" s="594"/>
      <c r="R112" s="594"/>
      <c r="S112" s="594"/>
      <c r="T112" s="594"/>
      <c r="U112" s="594"/>
      <c r="V112" s="594"/>
      <c r="W112" s="594"/>
      <c r="X112" s="594"/>
      <c r="Y112" s="594"/>
      <c r="Z112" s="595"/>
      <c r="AA112" s="596"/>
      <c r="AB112" s="597"/>
      <c r="AC112" s="597"/>
      <c r="AD112" s="597"/>
      <c r="AE112" s="597"/>
      <c r="AF112" s="598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AA112/AG104</f>
        <v>0</v>
      </c>
      <c r="AV112" s="591"/>
      <c r="AW112" s="591"/>
      <c r="AX112" s="591"/>
      <c r="AY112" s="591"/>
      <c r="AZ112" s="591"/>
      <c r="BA112" s="591"/>
      <c r="BB112" s="797"/>
    </row>
    <row r="113" spans="1:54" ht="20.25" hidden="1" customHeight="1" x14ac:dyDescent="0.2">
      <c r="A113" s="796"/>
      <c r="B113" s="594"/>
      <c r="C113" s="594"/>
      <c r="D113" s="594"/>
      <c r="E113" s="594"/>
      <c r="F113" s="594"/>
      <c r="G113" s="594"/>
      <c r="H113" s="594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4"/>
      <c r="Z113" s="595"/>
      <c r="AA113" s="596"/>
      <c r="AB113" s="597"/>
      <c r="AC113" s="597"/>
      <c r="AD113" s="597"/>
      <c r="AE113" s="597"/>
      <c r="AF113" s="598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AA113/AG104</f>
        <v>0</v>
      </c>
      <c r="AV113" s="591"/>
      <c r="AW113" s="591"/>
      <c r="AX113" s="591"/>
      <c r="AY113" s="591"/>
      <c r="AZ113" s="591"/>
      <c r="BA113" s="591"/>
      <c r="BB113" s="797"/>
    </row>
    <row r="114" spans="1:54" ht="16.5" hidden="1" customHeight="1" x14ac:dyDescent="0.2">
      <c r="A114" s="796"/>
      <c r="B114" s="594"/>
      <c r="C114" s="594"/>
      <c r="D114" s="594"/>
      <c r="E114" s="594"/>
      <c r="F114" s="594"/>
      <c r="G114" s="594"/>
      <c r="H114" s="594"/>
      <c r="I114" s="594"/>
      <c r="J114" s="594"/>
      <c r="K114" s="594"/>
      <c r="L114" s="594"/>
      <c r="M114" s="594"/>
      <c r="N114" s="594"/>
      <c r="O114" s="594"/>
      <c r="P114" s="594"/>
      <c r="Q114" s="594"/>
      <c r="R114" s="594"/>
      <c r="S114" s="594"/>
      <c r="T114" s="594"/>
      <c r="U114" s="594"/>
      <c r="V114" s="594"/>
      <c r="W114" s="594"/>
      <c r="X114" s="594"/>
      <c r="Y114" s="594"/>
      <c r="Z114" s="595"/>
      <c r="AA114" s="596"/>
      <c r="AB114" s="597"/>
      <c r="AC114" s="597"/>
      <c r="AD114" s="597"/>
      <c r="AE114" s="597"/>
      <c r="AF114" s="598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AA114/AG104</f>
        <v>0</v>
      </c>
      <c r="AV114" s="591"/>
      <c r="AW114" s="591"/>
      <c r="AX114" s="591"/>
      <c r="AY114" s="591"/>
      <c r="AZ114" s="591"/>
      <c r="BA114" s="591"/>
      <c r="BB114" s="797"/>
    </row>
    <row r="115" spans="1:54" s="161" customFormat="1" ht="19.5" hidden="1" customHeight="1" x14ac:dyDescent="0.2">
      <c r="A115" s="796"/>
      <c r="B115" s="594"/>
      <c r="C115" s="594"/>
      <c r="D115" s="594"/>
      <c r="E115" s="594"/>
      <c r="F115" s="594"/>
      <c r="G115" s="594"/>
      <c r="H115" s="594"/>
      <c r="I115" s="594"/>
      <c r="J115" s="594"/>
      <c r="K115" s="594"/>
      <c r="L115" s="594"/>
      <c r="M115" s="594"/>
      <c r="N115" s="594"/>
      <c r="O115" s="594"/>
      <c r="P115" s="594"/>
      <c r="Q115" s="594"/>
      <c r="R115" s="594"/>
      <c r="S115" s="594"/>
      <c r="T115" s="594"/>
      <c r="U115" s="594"/>
      <c r="V115" s="594"/>
      <c r="W115" s="594"/>
      <c r="X115" s="594"/>
      <c r="Y115" s="594"/>
      <c r="Z115" s="595"/>
      <c r="AA115" s="596"/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AA115/AG104</f>
        <v>0</v>
      </c>
      <c r="AV115" s="591"/>
      <c r="AW115" s="591"/>
      <c r="AX115" s="591"/>
      <c r="AY115" s="591"/>
      <c r="AZ115" s="591"/>
      <c r="BA115" s="591"/>
      <c r="BB115" s="797"/>
    </row>
    <row r="116" spans="1:54" ht="1.5" hidden="1" customHeight="1" x14ac:dyDescent="0.2">
      <c r="A116" s="796"/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5"/>
      <c r="AA116" s="596"/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AA116/AG104</f>
        <v>0</v>
      </c>
      <c r="AV116" s="591"/>
      <c r="AW116" s="591"/>
      <c r="AX116" s="591"/>
      <c r="AY116" s="591"/>
      <c r="AZ116" s="591"/>
      <c r="BA116" s="591"/>
      <c r="BB116" s="797"/>
    </row>
    <row r="117" spans="1:54" s="159" customFormat="1" ht="17.25" hidden="1" customHeight="1" x14ac:dyDescent="0.2">
      <c r="A117" s="796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AA117/AG104</f>
        <v>0</v>
      </c>
      <c r="AV117" s="591"/>
      <c r="AW117" s="591"/>
      <c r="AX117" s="591"/>
      <c r="AY117" s="591"/>
      <c r="AZ117" s="591"/>
      <c r="BA117" s="591"/>
      <c r="BB117" s="797"/>
    </row>
    <row r="118" spans="1:54" ht="20.25" hidden="1" customHeight="1" x14ac:dyDescent="0.2">
      <c r="A118" s="796"/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596"/>
      <c r="AB118" s="597"/>
      <c r="AC118" s="597"/>
      <c r="AD118" s="597"/>
      <c r="AE118" s="597"/>
      <c r="AF118" s="59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AA118/AG104</f>
        <v>0</v>
      </c>
      <c r="AV118" s="591"/>
      <c r="AW118" s="591"/>
      <c r="AX118" s="591"/>
      <c r="AY118" s="591"/>
      <c r="AZ118" s="591"/>
      <c r="BA118" s="591"/>
      <c r="BB118" s="797"/>
    </row>
    <row r="119" spans="1:54" ht="18.75" hidden="1" customHeight="1" x14ac:dyDescent="0.2">
      <c r="A119" s="796"/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596"/>
      <c r="AB119" s="597"/>
      <c r="AC119" s="597"/>
      <c r="AD119" s="597"/>
      <c r="AE119" s="597"/>
      <c r="AF119" s="59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AA119/AG104</f>
        <v>0</v>
      </c>
      <c r="AV119" s="591"/>
      <c r="AW119" s="591"/>
      <c r="AX119" s="591"/>
      <c r="AY119" s="591"/>
      <c r="AZ119" s="591"/>
      <c r="BA119" s="591"/>
      <c r="BB119" s="797"/>
    </row>
    <row r="120" spans="1:54" ht="37.5" hidden="1" customHeight="1" x14ac:dyDescent="0.2">
      <c r="A120" s="796"/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5"/>
      <c r="AA120" s="596"/>
      <c r="AB120" s="597"/>
      <c r="AC120" s="597"/>
      <c r="AD120" s="597"/>
      <c r="AE120" s="597"/>
      <c r="AF120" s="598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90">
        <f>AA120/AG104</f>
        <v>0</v>
      </c>
      <c r="AV120" s="591"/>
      <c r="AW120" s="591"/>
      <c r="AX120" s="591"/>
      <c r="AY120" s="591"/>
      <c r="AZ120" s="591"/>
      <c r="BA120" s="591"/>
      <c r="BB120" s="797"/>
    </row>
    <row r="121" spans="1:54" ht="28.5" hidden="1" customHeight="1" x14ac:dyDescent="0.2">
      <c r="A121" s="796"/>
      <c r="B121" s="594"/>
      <c r="C121" s="594"/>
      <c r="D121" s="594"/>
      <c r="E121" s="594"/>
      <c r="F121" s="594"/>
      <c r="G121" s="594"/>
      <c r="H121" s="594"/>
      <c r="I121" s="594"/>
      <c r="J121" s="594"/>
      <c r="K121" s="594"/>
      <c r="L121" s="594"/>
      <c r="M121" s="594"/>
      <c r="N121" s="594"/>
      <c r="O121" s="594"/>
      <c r="P121" s="594"/>
      <c r="Q121" s="594"/>
      <c r="R121" s="594"/>
      <c r="S121" s="594"/>
      <c r="T121" s="594"/>
      <c r="U121" s="594"/>
      <c r="V121" s="594"/>
      <c r="W121" s="594"/>
      <c r="X121" s="594"/>
      <c r="Y121" s="594"/>
      <c r="Z121" s="595"/>
      <c r="AA121" s="596"/>
      <c r="AB121" s="597"/>
      <c r="AC121" s="597"/>
      <c r="AD121" s="597"/>
      <c r="AE121" s="597"/>
      <c r="AF121" s="598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590">
        <f>AA121/AG104</f>
        <v>0</v>
      </c>
      <c r="AV121" s="591"/>
      <c r="AW121" s="591"/>
      <c r="AX121" s="591"/>
      <c r="AY121" s="591"/>
      <c r="AZ121" s="591"/>
      <c r="BA121" s="591"/>
      <c r="BB121" s="797"/>
    </row>
    <row r="122" spans="1:54" ht="21" hidden="1" customHeight="1" x14ac:dyDescent="0.2">
      <c r="A122" s="796"/>
      <c r="B122" s="594"/>
      <c r="C122" s="594"/>
      <c r="D122" s="594"/>
      <c r="E122" s="594"/>
      <c r="F122" s="594"/>
      <c r="G122" s="594"/>
      <c r="H122" s="594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4"/>
      <c r="Z122" s="595"/>
      <c r="AA122" s="596"/>
      <c r="AB122" s="597"/>
      <c r="AC122" s="597"/>
      <c r="AD122" s="597"/>
      <c r="AE122" s="597"/>
      <c r="AF122" s="598"/>
      <c r="AG122" s="572"/>
      <c r="AH122" s="573"/>
      <c r="AI122" s="573"/>
      <c r="AJ122" s="573"/>
      <c r="AK122" s="573"/>
      <c r="AL122" s="574"/>
      <c r="AM122" s="572"/>
      <c r="AN122" s="573"/>
      <c r="AO122" s="573"/>
      <c r="AP122" s="573"/>
      <c r="AQ122" s="573"/>
      <c r="AR122" s="573"/>
      <c r="AS122" s="573"/>
      <c r="AT122" s="574"/>
      <c r="AU122" s="590">
        <f>AA122/AG104</f>
        <v>0</v>
      </c>
      <c r="AV122" s="591"/>
      <c r="AW122" s="591"/>
      <c r="AX122" s="591"/>
      <c r="AY122" s="591"/>
      <c r="AZ122" s="591"/>
      <c r="BA122" s="591"/>
      <c r="BB122" s="797"/>
    </row>
    <row r="123" spans="1:54" ht="21" hidden="1" customHeight="1" x14ac:dyDescent="0.2">
      <c r="A123" s="600"/>
      <c r="B123" s="600"/>
      <c r="C123" s="600"/>
      <c r="D123" s="600"/>
      <c r="E123" s="600"/>
      <c r="F123" s="600"/>
      <c r="G123" s="600"/>
      <c r="H123" s="600"/>
      <c r="I123" s="600"/>
      <c r="J123" s="600"/>
      <c r="K123" s="600"/>
      <c r="L123" s="600"/>
      <c r="M123" s="600"/>
      <c r="N123" s="600"/>
      <c r="O123" s="600"/>
      <c r="P123" s="600"/>
      <c r="Q123" s="600"/>
      <c r="R123" s="600"/>
      <c r="S123" s="600"/>
      <c r="T123" s="600"/>
      <c r="U123" s="600"/>
      <c r="V123" s="600"/>
      <c r="W123" s="600"/>
      <c r="X123" s="600"/>
      <c r="Y123" s="600"/>
      <c r="Z123" s="600"/>
      <c r="AA123" s="601"/>
      <c r="AB123" s="601"/>
      <c r="AC123" s="601"/>
      <c r="AD123" s="601"/>
      <c r="AE123" s="601"/>
      <c r="AF123" s="601"/>
      <c r="AG123" s="572"/>
      <c r="AH123" s="573"/>
      <c r="AI123" s="573"/>
      <c r="AJ123" s="573"/>
      <c r="AK123" s="573"/>
      <c r="AL123" s="574"/>
      <c r="AM123" s="572"/>
      <c r="AN123" s="573"/>
      <c r="AO123" s="573"/>
      <c r="AP123" s="573"/>
      <c r="AQ123" s="573"/>
      <c r="AR123" s="573"/>
      <c r="AS123" s="573"/>
      <c r="AT123" s="574"/>
      <c r="AU123" s="602">
        <f>AA123/AG104</f>
        <v>0</v>
      </c>
      <c r="AV123" s="602"/>
      <c r="AW123" s="602"/>
      <c r="AX123" s="602"/>
      <c r="AY123" s="602"/>
      <c r="AZ123" s="602"/>
      <c r="BA123" s="602"/>
      <c r="BB123" s="602"/>
    </row>
    <row r="124" spans="1:54" ht="0.75" customHeight="1" thickBot="1" x14ac:dyDescent="0.25">
      <c r="A124" s="798"/>
      <c r="B124" s="798"/>
      <c r="C124" s="798"/>
      <c r="D124" s="798"/>
      <c r="E124" s="798"/>
      <c r="F124" s="798"/>
      <c r="G124" s="798"/>
      <c r="H124" s="798"/>
      <c r="I124" s="798"/>
      <c r="J124" s="798"/>
      <c r="K124" s="798"/>
      <c r="L124" s="798"/>
      <c r="M124" s="798"/>
      <c r="N124" s="798"/>
      <c r="O124" s="798"/>
      <c r="P124" s="798"/>
      <c r="Q124" s="798"/>
      <c r="R124" s="798"/>
      <c r="S124" s="798"/>
      <c r="T124" s="798"/>
      <c r="U124" s="798"/>
      <c r="V124" s="798"/>
      <c r="W124" s="798"/>
      <c r="X124" s="798"/>
      <c r="Y124" s="798"/>
      <c r="Z124" s="798"/>
      <c r="AA124" s="799"/>
      <c r="AB124" s="799"/>
      <c r="AC124" s="799"/>
      <c r="AD124" s="799"/>
      <c r="AE124" s="799"/>
      <c r="AF124" s="799"/>
      <c r="AG124" s="572"/>
      <c r="AH124" s="573"/>
      <c r="AI124" s="573"/>
      <c r="AJ124" s="573"/>
      <c r="AK124" s="573"/>
      <c r="AL124" s="574"/>
      <c r="AM124" s="572"/>
      <c r="AN124" s="573"/>
      <c r="AO124" s="573"/>
      <c r="AP124" s="573"/>
      <c r="AQ124" s="573"/>
      <c r="AR124" s="573"/>
      <c r="AS124" s="573"/>
      <c r="AT124" s="574"/>
      <c r="AU124" s="800">
        <f>AA124/AG104</f>
        <v>0</v>
      </c>
      <c r="AV124" s="800"/>
      <c r="AW124" s="800"/>
      <c r="AX124" s="800"/>
      <c r="AY124" s="800"/>
      <c r="AZ124" s="800"/>
      <c r="BA124" s="800"/>
      <c r="BB124" s="800"/>
    </row>
    <row r="125" spans="1:54" ht="16.5" customHeight="1" thickBot="1" x14ac:dyDescent="0.25">
      <c r="A125" s="545" t="s">
        <v>51</v>
      </c>
      <c r="B125" s="546"/>
      <c r="C125" s="546"/>
      <c r="D125" s="546"/>
      <c r="E125" s="546"/>
      <c r="F125" s="546"/>
      <c r="G125" s="546"/>
      <c r="H125" s="546"/>
      <c r="I125" s="546"/>
      <c r="J125" s="546"/>
      <c r="K125" s="546"/>
      <c r="L125" s="546"/>
      <c r="M125" s="546"/>
      <c r="N125" s="546"/>
      <c r="O125" s="546"/>
      <c r="P125" s="546"/>
      <c r="Q125" s="546"/>
      <c r="R125" s="546"/>
      <c r="S125" s="546"/>
      <c r="T125" s="546"/>
      <c r="U125" s="546"/>
      <c r="V125" s="546"/>
      <c r="W125" s="546"/>
      <c r="X125" s="546"/>
      <c r="Y125" s="546"/>
      <c r="Z125" s="547"/>
      <c r="AA125" s="582">
        <f>SUM(AA104:AF124)</f>
        <v>657.3</v>
      </c>
      <c r="AB125" s="583"/>
      <c r="AC125" s="583"/>
      <c r="AD125" s="583"/>
      <c r="AE125" s="583"/>
      <c r="AF125" s="583"/>
      <c r="AG125" s="532">
        <f>AG104</f>
        <v>36</v>
      </c>
      <c r="AH125" s="533"/>
      <c r="AI125" s="533"/>
      <c r="AJ125" s="533"/>
      <c r="AK125" s="533"/>
      <c r="AL125" s="534"/>
      <c r="AM125" s="551" t="s">
        <v>17</v>
      </c>
      <c r="AN125" s="552"/>
      <c r="AO125" s="552"/>
      <c r="AP125" s="552"/>
      <c r="AQ125" s="552"/>
      <c r="AR125" s="552"/>
      <c r="AS125" s="552"/>
      <c r="AT125" s="584"/>
      <c r="AU125" s="555">
        <f>SUM(AU104:BB124)</f>
        <v>14.369444444444445</v>
      </c>
      <c r="AV125" s="555"/>
      <c r="AW125" s="555"/>
      <c r="AX125" s="555"/>
      <c r="AY125" s="555"/>
      <c r="AZ125" s="555"/>
      <c r="BA125" s="555"/>
      <c r="BB125" s="556"/>
    </row>
    <row r="126" spans="1:54" ht="12.75" customHeight="1" x14ac:dyDescent="0.2"/>
    <row r="127" spans="1:54" s="161" customFormat="1" ht="15" customHeight="1" x14ac:dyDescent="0.2">
      <c r="A127" s="159" t="s">
        <v>59</v>
      </c>
      <c r="B127" s="159"/>
      <c r="C127" s="159" t="s">
        <v>60</v>
      </c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60"/>
      <c r="AY127" s="160"/>
      <c r="AZ127" s="160"/>
      <c r="BA127" s="160"/>
      <c r="BB127" s="160"/>
    </row>
    <row r="128" spans="1:54" ht="12" customHeight="1" thickBot="1" x14ac:dyDescent="0.25"/>
    <row r="129" spans="1:54" s="159" customFormat="1" ht="12" customHeight="1" x14ac:dyDescent="0.2">
      <c r="A129" s="585" t="s">
        <v>54</v>
      </c>
      <c r="B129" s="586"/>
      <c r="C129" s="586"/>
      <c r="D129" s="586"/>
      <c r="E129" s="586"/>
      <c r="F129" s="586"/>
      <c r="G129" s="586"/>
      <c r="H129" s="586"/>
      <c r="I129" s="586"/>
      <c r="J129" s="586"/>
      <c r="K129" s="586"/>
      <c r="L129" s="586"/>
      <c r="M129" s="586"/>
      <c r="N129" s="586"/>
      <c r="O129" s="586"/>
      <c r="P129" s="586"/>
      <c r="Q129" s="586"/>
      <c r="R129" s="586"/>
      <c r="S129" s="586"/>
      <c r="T129" s="586"/>
      <c r="U129" s="586"/>
      <c r="V129" s="586"/>
      <c r="W129" s="586"/>
      <c r="X129" s="586"/>
      <c r="Y129" s="586"/>
      <c r="Z129" s="587"/>
      <c r="AA129" s="536" t="s">
        <v>55</v>
      </c>
      <c r="AB129" s="537"/>
      <c r="AC129" s="537"/>
      <c r="AD129" s="537"/>
      <c r="AE129" s="537"/>
      <c r="AF129" s="538"/>
      <c r="AG129" s="536" t="s">
        <v>56</v>
      </c>
      <c r="AH129" s="537"/>
      <c r="AI129" s="537"/>
      <c r="AJ129" s="537"/>
      <c r="AK129" s="537"/>
      <c r="AL129" s="538"/>
      <c r="AM129" s="588" t="s">
        <v>57</v>
      </c>
      <c r="AN129" s="586"/>
      <c r="AO129" s="586"/>
      <c r="AP129" s="586"/>
      <c r="AQ129" s="586"/>
      <c r="AR129" s="586"/>
      <c r="AS129" s="586"/>
      <c r="AT129" s="587"/>
      <c r="AU129" s="588" t="s">
        <v>43</v>
      </c>
      <c r="AV129" s="586"/>
      <c r="AW129" s="586"/>
      <c r="AX129" s="586"/>
      <c r="AY129" s="586"/>
      <c r="AZ129" s="586"/>
      <c r="BA129" s="586"/>
      <c r="BB129" s="589"/>
    </row>
    <row r="130" spans="1:54" ht="11.25" customHeight="1" thickBot="1" x14ac:dyDescent="0.25">
      <c r="A130" s="564">
        <v>1</v>
      </c>
      <c r="B130" s="475"/>
      <c r="C130" s="475"/>
      <c r="D130" s="475"/>
      <c r="E130" s="475"/>
      <c r="F130" s="475"/>
      <c r="G130" s="475"/>
      <c r="H130" s="475"/>
      <c r="I130" s="475"/>
      <c r="J130" s="475"/>
      <c r="K130" s="475"/>
      <c r="L130" s="475"/>
      <c r="M130" s="475"/>
      <c r="N130" s="475"/>
      <c r="O130" s="475"/>
      <c r="P130" s="475"/>
      <c r="Q130" s="475"/>
      <c r="R130" s="475"/>
      <c r="S130" s="475"/>
      <c r="T130" s="475"/>
      <c r="U130" s="475"/>
      <c r="V130" s="475"/>
      <c r="W130" s="475"/>
      <c r="X130" s="475"/>
      <c r="Y130" s="475"/>
      <c r="Z130" s="476"/>
      <c r="AA130" s="474">
        <v>2</v>
      </c>
      <c r="AB130" s="475"/>
      <c r="AC130" s="475"/>
      <c r="AD130" s="475"/>
      <c r="AE130" s="475"/>
      <c r="AF130" s="476"/>
      <c r="AG130" s="474">
        <v>3</v>
      </c>
      <c r="AH130" s="475"/>
      <c r="AI130" s="475"/>
      <c r="AJ130" s="475"/>
      <c r="AK130" s="475"/>
      <c r="AL130" s="476"/>
      <c r="AM130" s="474">
        <v>4</v>
      </c>
      <c r="AN130" s="475"/>
      <c r="AO130" s="475"/>
      <c r="AP130" s="475"/>
      <c r="AQ130" s="475"/>
      <c r="AR130" s="475"/>
      <c r="AS130" s="475"/>
      <c r="AT130" s="476"/>
      <c r="AU130" s="474">
        <v>5</v>
      </c>
      <c r="AV130" s="475"/>
      <c r="AW130" s="475"/>
      <c r="AX130" s="475"/>
      <c r="AY130" s="475"/>
      <c r="AZ130" s="475"/>
      <c r="BA130" s="475"/>
      <c r="BB130" s="565"/>
    </row>
    <row r="131" spans="1:54" ht="31.5" hidden="1" customHeight="1" x14ac:dyDescent="0.2">
      <c r="A131" s="566"/>
      <c r="B131" s="567"/>
      <c r="C131" s="567"/>
      <c r="D131" s="567"/>
      <c r="E131" s="567"/>
      <c r="F131" s="567"/>
      <c r="G131" s="567"/>
      <c r="H131" s="567"/>
      <c r="I131" s="567"/>
      <c r="J131" s="567"/>
      <c r="K131" s="567"/>
      <c r="L131" s="567"/>
      <c r="M131" s="567"/>
      <c r="N131" s="567"/>
      <c r="O131" s="567"/>
      <c r="P131" s="567"/>
      <c r="Q131" s="567"/>
      <c r="R131" s="567"/>
      <c r="S131" s="567"/>
      <c r="T131" s="567"/>
      <c r="U131" s="567"/>
      <c r="V131" s="567"/>
      <c r="W131" s="567"/>
      <c r="X131" s="567"/>
      <c r="Y131" s="567"/>
      <c r="Z131" s="568"/>
      <c r="AA131" s="569">
        <v>0</v>
      </c>
      <c r="AB131" s="570"/>
      <c r="AC131" s="570"/>
      <c r="AD131" s="570"/>
      <c r="AE131" s="570"/>
      <c r="AF131" s="571"/>
      <c r="AG131" s="569">
        <f>U12</f>
        <v>36</v>
      </c>
      <c r="AH131" s="570"/>
      <c r="AI131" s="570"/>
      <c r="AJ131" s="570"/>
      <c r="AK131" s="570"/>
      <c r="AL131" s="571"/>
      <c r="AM131" s="569" t="s">
        <v>61</v>
      </c>
      <c r="AN131" s="570"/>
      <c r="AO131" s="570"/>
      <c r="AP131" s="570"/>
      <c r="AQ131" s="570"/>
      <c r="AR131" s="570"/>
      <c r="AS131" s="570"/>
      <c r="AT131" s="571"/>
      <c r="AU131" s="558">
        <f>AA131/AG131</f>
        <v>0</v>
      </c>
      <c r="AV131" s="559"/>
      <c r="AW131" s="559"/>
      <c r="AX131" s="559"/>
      <c r="AY131" s="559"/>
      <c r="AZ131" s="559"/>
      <c r="BA131" s="559"/>
      <c r="BB131" s="560"/>
    </row>
    <row r="132" spans="1:54" ht="4.5" hidden="1" customHeight="1" x14ac:dyDescent="0.2">
      <c r="A132" s="561"/>
      <c r="B132" s="562"/>
      <c r="C132" s="562"/>
      <c r="D132" s="562"/>
      <c r="E132" s="562"/>
      <c r="F132" s="562"/>
      <c r="G132" s="562"/>
      <c r="H132" s="562"/>
      <c r="I132" s="562"/>
      <c r="J132" s="562"/>
      <c r="K132" s="562"/>
      <c r="L132" s="562"/>
      <c r="M132" s="562"/>
      <c r="N132" s="562"/>
      <c r="O132" s="562"/>
      <c r="P132" s="562"/>
      <c r="Q132" s="562"/>
      <c r="R132" s="562"/>
      <c r="S132" s="562"/>
      <c r="T132" s="562"/>
      <c r="U132" s="562"/>
      <c r="V132" s="562"/>
      <c r="W132" s="562"/>
      <c r="X132" s="562"/>
      <c r="Y132" s="562"/>
      <c r="Z132" s="563"/>
      <c r="AA132" s="518"/>
      <c r="AB132" s="518"/>
      <c r="AC132" s="518"/>
      <c r="AD132" s="518"/>
      <c r="AE132" s="518"/>
      <c r="AF132" s="518"/>
      <c r="AG132" s="572"/>
      <c r="AH132" s="573"/>
      <c r="AI132" s="573"/>
      <c r="AJ132" s="573"/>
      <c r="AK132" s="573"/>
      <c r="AL132" s="574"/>
      <c r="AM132" s="572"/>
      <c r="AN132" s="573"/>
      <c r="AO132" s="573"/>
      <c r="AP132" s="573"/>
      <c r="AQ132" s="573"/>
      <c r="AR132" s="573"/>
      <c r="AS132" s="573"/>
      <c r="AT132" s="574"/>
      <c r="AU132" s="558">
        <f>AA132/AG131</f>
        <v>0</v>
      </c>
      <c r="AV132" s="559"/>
      <c r="AW132" s="559"/>
      <c r="AX132" s="559"/>
      <c r="AY132" s="559"/>
      <c r="AZ132" s="559"/>
      <c r="BA132" s="559"/>
      <c r="BB132" s="560"/>
    </row>
    <row r="133" spans="1:54" ht="21" customHeight="1" x14ac:dyDescent="0.2">
      <c r="A133" s="449"/>
      <c r="B133" s="450"/>
      <c r="C133" s="450"/>
      <c r="D133" s="450"/>
      <c r="E133" s="450"/>
      <c r="F133" s="450"/>
      <c r="G133" s="450"/>
      <c r="H133" s="450"/>
      <c r="I133" s="450"/>
      <c r="J133" s="450"/>
      <c r="K133" s="450"/>
      <c r="L133" s="450"/>
      <c r="M133" s="450"/>
      <c r="N133" s="450"/>
      <c r="O133" s="450"/>
      <c r="P133" s="450"/>
      <c r="Q133" s="450"/>
      <c r="R133" s="450"/>
      <c r="S133" s="450"/>
      <c r="T133" s="450"/>
      <c r="U133" s="450"/>
      <c r="V133" s="450"/>
      <c r="W133" s="450"/>
      <c r="X133" s="450"/>
      <c r="Y133" s="450"/>
      <c r="Z133" s="451"/>
      <c r="AA133" s="557"/>
      <c r="AB133" s="557"/>
      <c r="AC133" s="557"/>
      <c r="AD133" s="557"/>
      <c r="AE133" s="557"/>
      <c r="AF133" s="557"/>
      <c r="AG133" s="572"/>
      <c r="AH133" s="573"/>
      <c r="AI133" s="573"/>
      <c r="AJ133" s="573"/>
      <c r="AK133" s="573"/>
      <c r="AL133" s="574"/>
      <c r="AM133" s="572"/>
      <c r="AN133" s="573"/>
      <c r="AO133" s="573"/>
      <c r="AP133" s="573"/>
      <c r="AQ133" s="573"/>
      <c r="AR133" s="573"/>
      <c r="AS133" s="573"/>
      <c r="AT133" s="574"/>
      <c r="AU133" s="558">
        <f>AA133/AG131</f>
        <v>0</v>
      </c>
      <c r="AV133" s="559"/>
      <c r="AW133" s="559"/>
      <c r="AX133" s="559"/>
      <c r="AY133" s="559"/>
      <c r="AZ133" s="559"/>
      <c r="BA133" s="559"/>
      <c r="BB133" s="560"/>
    </row>
    <row r="134" spans="1:54" ht="21" customHeight="1" x14ac:dyDescent="0.2">
      <c r="A134" s="449"/>
      <c r="B134" s="450"/>
      <c r="C134" s="450"/>
      <c r="D134" s="450"/>
      <c r="E134" s="450"/>
      <c r="F134" s="450"/>
      <c r="G134" s="450"/>
      <c r="H134" s="450"/>
      <c r="I134" s="450"/>
      <c r="J134" s="450"/>
      <c r="K134" s="450"/>
      <c r="L134" s="450"/>
      <c r="M134" s="450"/>
      <c r="N134" s="450"/>
      <c r="O134" s="450"/>
      <c r="P134" s="450"/>
      <c r="Q134" s="450"/>
      <c r="R134" s="450"/>
      <c r="S134" s="450"/>
      <c r="T134" s="450"/>
      <c r="U134" s="450"/>
      <c r="V134" s="450"/>
      <c r="W134" s="450"/>
      <c r="X134" s="450"/>
      <c r="Y134" s="450"/>
      <c r="Z134" s="451"/>
      <c r="AA134" s="557"/>
      <c r="AB134" s="557"/>
      <c r="AC134" s="557"/>
      <c r="AD134" s="557"/>
      <c r="AE134" s="557"/>
      <c r="AF134" s="557"/>
      <c r="AG134" s="572"/>
      <c r="AH134" s="573"/>
      <c r="AI134" s="573"/>
      <c r="AJ134" s="573"/>
      <c r="AK134" s="573"/>
      <c r="AL134" s="574"/>
      <c r="AM134" s="572"/>
      <c r="AN134" s="573"/>
      <c r="AO134" s="573"/>
      <c r="AP134" s="573"/>
      <c r="AQ134" s="573"/>
      <c r="AR134" s="573"/>
      <c r="AS134" s="573"/>
      <c r="AT134" s="574"/>
      <c r="AU134" s="558">
        <f>AA134/AG131</f>
        <v>0</v>
      </c>
      <c r="AV134" s="559"/>
      <c r="AW134" s="559"/>
      <c r="AX134" s="559"/>
      <c r="AY134" s="559"/>
      <c r="AZ134" s="559"/>
      <c r="BA134" s="559"/>
      <c r="BB134" s="560"/>
    </row>
    <row r="135" spans="1:54" ht="6" hidden="1" customHeight="1" x14ac:dyDescent="0.2">
      <c r="A135" s="449"/>
      <c r="B135" s="450"/>
      <c r="C135" s="450"/>
      <c r="D135" s="450"/>
      <c r="E135" s="450"/>
      <c r="F135" s="450"/>
      <c r="G135" s="450"/>
      <c r="H135" s="450"/>
      <c r="I135" s="450"/>
      <c r="J135" s="450"/>
      <c r="K135" s="450"/>
      <c r="L135" s="450"/>
      <c r="M135" s="450"/>
      <c r="N135" s="450"/>
      <c r="O135" s="450"/>
      <c r="P135" s="450"/>
      <c r="Q135" s="450"/>
      <c r="R135" s="450"/>
      <c r="S135" s="450"/>
      <c r="T135" s="450"/>
      <c r="U135" s="450"/>
      <c r="V135" s="450"/>
      <c r="W135" s="450"/>
      <c r="X135" s="450"/>
      <c r="Y135" s="450"/>
      <c r="Z135" s="451"/>
      <c r="AA135" s="557"/>
      <c r="AB135" s="557"/>
      <c r="AC135" s="557"/>
      <c r="AD135" s="557"/>
      <c r="AE135" s="557"/>
      <c r="AF135" s="557"/>
      <c r="AG135" s="572"/>
      <c r="AH135" s="573"/>
      <c r="AI135" s="573"/>
      <c r="AJ135" s="573"/>
      <c r="AK135" s="573"/>
      <c r="AL135" s="574"/>
      <c r="AM135" s="572"/>
      <c r="AN135" s="573"/>
      <c r="AO135" s="573"/>
      <c r="AP135" s="573"/>
      <c r="AQ135" s="573"/>
      <c r="AR135" s="573"/>
      <c r="AS135" s="573"/>
      <c r="AT135" s="574"/>
      <c r="AU135" s="558">
        <f>AA135/AG131</f>
        <v>0</v>
      </c>
      <c r="AV135" s="559"/>
      <c r="AW135" s="559"/>
      <c r="AX135" s="559"/>
      <c r="AY135" s="559"/>
      <c r="AZ135" s="559"/>
      <c r="BA135" s="559"/>
      <c r="BB135" s="560"/>
    </row>
    <row r="136" spans="1:54" ht="0.75" customHeight="1" thickBot="1" x14ac:dyDescent="0.25">
      <c r="A136" s="575"/>
      <c r="B136" s="576"/>
      <c r="C136" s="576"/>
      <c r="D136" s="576"/>
      <c r="E136" s="576"/>
      <c r="F136" s="576"/>
      <c r="G136" s="576"/>
      <c r="H136" s="576"/>
      <c r="I136" s="576"/>
      <c r="J136" s="576"/>
      <c r="K136" s="576"/>
      <c r="L136" s="576"/>
      <c r="M136" s="576"/>
      <c r="N136" s="576"/>
      <c r="O136" s="576"/>
      <c r="P136" s="576"/>
      <c r="Q136" s="576"/>
      <c r="R136" s="576"/>
      <c r="S136" s="576"/>
      <c r="T136" s="576"/>
      <c r="U136" s="576"/>
      <c r="V136" s="576"/>
      <c r="W136" s="576"/>
      <c r="X136" s="576"/>
      <c r="Y136" s="576"/>
      <c r="Z136" s="577"/>
      <c r="AA136" s="578">
        <v>0</v>
      </c>
      <c r="AB136" s="578"/>
      <c r="AC136" s="578"/>
      <c r="AD136" s="578"/>
      <c r="AE136" s="578"/>
      <c r="AF136" s="578"/>
      <c r="AG136" s="572"/>
      <c r="AH136" s="573"/>
      <c r="AI136" s="573"/>
      <c r="AJ136" s="573"/>
      <c r="AK136" s="573"/>
      <c r="AL136" s="574"/>
      <c r="AM136" s="572"/>
      <c r="AN136" s="573"/>
      <c r="AO136" s="573"/>
      <c r="AP136" s="573"/>
      <c r="AQ136" s="573"/>
      <c r="AR136" s="573"/>
      <c r="AS136" s="573"/>
      <c r="AT136" s="574"/>
      <c r="AU136" s="579">
        <f>AA136/AG131</f>
        <v>0</v>
      </c>
      <c r="AV136" s="580"/>
      <c r="AW136" s="580"/>
      <c r="AX136" s="580"/>
      <c r="AY136" s="580"/>
      <c r="AZ136" s="580"/>
      <c r="BA136" s="580"/>
      <c r="BB136" s="581"/>
    </row>
    <row r="137" spans="1:54" ht="15" customHeight="1" thickBot="1" x14ac:dyDescent="0.25">
      <c r="A137" s="545" t="s">
        <v>51</v>
      </c>
      <c r="B137" s="546"/>
      <c r="C137" s="546"/>
      <c r="D137" s="546"/>
      <c r="E137" s="546"/>
      <c r="F137" s="546"/>
      <c r="G137" s="546"/>
      <c r="H137" s="546"/>
      <c r="I137" s="546"/>
      <c r="J137" s="546"/>
      <c r="K137" s="546"/>
      <c r="L137" s="546"/>
      <c r="M137" s="546"/>
      <c r="N137" s="546"/>
      <c r="O137" s="546"/>
      <c r="P137" s="546"/>
      <c r="Q137" s="546"/>
      <c r="R137" s="546"/>
      <c r="S137" s="546"/>
      <c r="T137" s="546"/>
      <c r="U137" s="546"/>
      <c r="V137" s="546"/>
      <c r="W137" s="546"/>
      <c r="X137" s="546"/>
      <c r="Y137" s="546"/>
      <c r="Z137" s="547"/>
      <c r="AA137" s="548">
        <f>SUM(AA131:AF134)</f>
        <v>0</v>
      </c>
      <c r="AB137" s="549"/>
      <c r="AC137" s="549"/>
      <c r="AD137" s="549"/>
      <c r="AE137" s="549"/>
      <c r="AF137" s="550"/>
      <c r="AG137" s="531">
        <f>AG131</f>
        <v>36</v>
      </c>
      <c r="AH137" s="533"/>
      <c r="AI137" s="533"/>
      <c r="AJ137" s="533"/>
      <c r="AK137" s="533"/>
      <c r="AL137" s="534"/>
      <c r="AM137" s="551" t="s">
        <v>17</v>
      </c>
      <c r="AN137" s="552"/>
      <c r="AO137" s="552"/>
      <c r="AP137" s="552"/>
      <c r="AQ137" s="552"/>
      <c r="AR137" s="552"/>
      <c r="AS137" s="552"/>
      <c r="AT137" s="553"/>
      <c r="AU137" s="554">
        <f>SUM(AU131:BB136)</f>
        <v>0</v>
      </c>
      <c r="AV137" s="555"/>
      <c r="AW137" s="555"/>
      <c r="AX137" s="555"/>
      <c r="AY137" s="555"/>
      <c r="AZ137" s="555"/>
      <c r="BA137" s="555"/>
      <c r="BB137" s="556"/>
    </row>
    <row r="138" spans="1:54" s="161" customFormat="1" ht="15" customHeight="1" x14ac:dyDescent="0.2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</row>
    <row r="139" spans="1:54" ht="27" customHeight="1" x14ac:dyDescent="0.2">
      <c r="A139" s="159" t="s">
        <v>62</v>
      </c>
      <c r="B139" s="159"/>
      <c r="C139" s="159" t="s">
        <v>63</v>
      </c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60"/>
      <c r="AY139" s="160"/>
      <c r="AZ139" s="160"/>
      <c r="BA139" s="160"/>
      <c r="BB139" s="160"/>
    </row>
    <row r="140" spans="1:54" ht="21.75" customHeight="1" thickBot="1" x14ac:dyDescent="0.25"/>
    <row r="141" spans="1:54" ht="63" customHeight="1" x14ac:dyDescent="0.2">
      <c r="A141" s="499" t="s">
        <v>54</v>
      </c>
      <c r="B141" s="500"/>
      <c r="C141" s="500"/>
      <c r="D141" s="500"/>
      <c r="E141" s="500"/>
      <c r="F141" s="500"/>
      <c r="G141" s="500"/>
      <c r="H141" s="801" t="s">
        <v>64</v>
      </c>
      <c r="I141" s="801"/>
      <c r="J141" s="801"/>
      <c r="K141" s="801"/>
      <c r="L141" s="801"/>
      <c r="M141" s="801" t="s">
        <v>94</v>
      </c>
      <c r="N141" s="801"/>
      <c r="O141" s="801"/>
      <c r="P141" s="801"/>
      <c r="Q141" s="801"/>
      <c r="R141" s="535" t="s">
        <v>82</v>
      </c>
      <c r="S141" s="535"/>
      <c r="T141" s="535"/>
      <c r="U141" s="535"/>
      <c r="V141" s="535" t="s">
        <v>65</v>
      </c>
      <c r="W141" s="535"/>
      <c r="X141" s="535"/>
      <c r="Y141" s="535"/>
      <c r="Z141" s="535" t="s">
        <v>66</v>
      </c>
      <c r="AA141" s="535"/>
      <c r="AB141" s="535"/>
      <c r="AC141" s="535"/>
      <c r="AD141" s="535" t="s">
        <v>67</v>
      </c>
      <c r="AE141" s="535"/>
      <c r="AF141" s="535"/>
      <c r="AG141" s="535"/>
      <c r="AH141" s="535"/>
      <c r="AI141" s="535"/>
      <c r="AJ141" s="535"/>
      <c r="AK141" s="535"/>
      <c r="AL141" s="535"/>
      <c r="AM141" s="535"/>
      <c r="AN141" s="535"/>
      <c r="AO141" s="535"/>
      <c r="AP141" s="535"/>
      <c r="AQ141" s="801" t="s">
        <v>93</v>
      </c>
      <c r="AR141" s="801"/>
      <c r="AS141" s="801"/>
      <c r="AT141" s="801"/>
      <c r="AU141" s="802" t="s">
        <v>92</v>
      </c>
      <c r="AV141" s="803"/>
      <c r="AW141" s="803"/>
      <c r="AX141" s="804"/>
      <c r="AY141" s="802" t="s">
        <v>87</v>
      </c>
      <c r="AZ141" s="803"/>
      <c r="BA141" s="803"/>
      <c r="BB141" s="804"/>
    </row>
    <row r="142" spans="1:54" ht="71.25" customHeight="1" thickBot="1" x14ac:dyDescent="0.25">
      <c r="A142" s="805"/>
      <c r="B142" s="806"/>
      <c r="C142" s="806"/>
      <c r="D142" s="806"/>
      <c r="E142" s="806"/>
      <c r="F142" s="806"/>
      <c r="G142" s="806"/>
      <c r="H142" s="801" t="s">
        <v>68</v>
      </c>
      <c r="I142" s="801"/>
      <c r="J142" s="801"/>
      <c r="K142" s="801"/>
      <c r="L142" s="801"/>
      <c r="M142" s="801" t="s">
        <v>68</v>
      </c>
      <c r="N142" s="801"/>
      <c r="O142" s="801"/>
      <c r="P142" s="801"/>
      <c r="Q142" s="801"/>
      <c r="R142" s="801"/>
      <c r="S142" s="801"/>
      <c r="T142" s="801"/>
      <c r="U142" s="801"/>
      <c r="V142" s="801"/>
      <c r="W142" s="801"/>
      <c r="X142" s="801"/>
      <c r="Y142" s="801"/>
      <c r="Z142" s="801"/>
      <c r="AA142" s="801"/>
      <c r="AB142" s="801"/>
      <c r="AC142" s="801"/>
      <c r="AD142" s="540" t="s">
        <v>68</v>
      </c>
      <c r="AE142" s="540"/>
      <c r="AF142" s="540"/>
      <c r="AG142" s="540"/>
      <c r="AH142" s="540"/>
      <c r="AI142" s="540"/>
      <c r="AJ142" s="541" t="s">
        <v>69</v>
      </c>
      <c r="AK142" s="542"/>
      <c r="AL142" s="542"/>
      <c r="AM142" s="542"/>
      <c r="AN142" s="542"/>
      <c r="AO142" s="542"/>
      <c r="AP142" s="543"/>
      <c r="AQ142" s="801" t="s">
        <v>68</v>
      </c>
      <c r="AR142" s="801"/>
      <c r="AS142" s="801"/>
      <c r="AT142" s="801"/>
      <c r="AU142" s="801" t="s">
        <v>68</v>
      </c>
      <c r="AV142" s="801"/>
      <c r="AW142" s="801"/>
      <c r="AX142" s="801"/>
      <c r="AY142" s="801" t="s">
        <v>68</v>
      </c>
      <c r="AZ142" s="801"/>
      <c r="BA142" s="801"/>
      <c r="BB142" s="801"/>
    </row>
    <row r="143" spans="1:54" ht="22.5" customHeight="1" thickBot="1" x14ac:dyDescent="0.25">
      <c r="A143" s="640">
        <v>1</v>
      </c>
      <c r="B143" s="641"/>
      <c r="C143" s="641"/>
      <c r="D143" s="641"/>
      <c r="E143" s="641"/>
      <c r="F143" s="641"/>
      <c r="G143" s="641"/>
      <c r="H143" s="641">
        <v>2</v>
      </c>
      <c r="I143" s="641"/>
      <c r="J143" s="641"/>
      <c r="K143" s="641"/>
      <c r="L143" s="641"/>
      <c r="M143" s="641">
        <v>3</v>
      </c>
      <c r="N143" s="641"/>
      <c r="O143" s="641"/>
      <c r="P143" s="641"/>
      <c r="Q143" s="641"/>
      <c r="R143" s="641">
        <v>4</v>
      </c>
      <c r="S143" s="641"/>
      <c r="T143" s="641"/>
      <c r="U143" s="641"/>
      <c r="V143" s="641">
        <v>5</v>
      </c>
      <c r="W143" s="641"/>
      <c r="X143" s="641"/>
      <c r="Y143" s="641"/>
      <c r="Z143" s="641">
        <v>6</v>
      </c>
      <c r="AA143" s="641"/>
      <c r="AB143" s="641"/>
      <c r="AC143" s="474"/>
      <c r="AD143" s="530">
        <v>7</v>
      </c>
      <c r="AE143" s="503"/>
      <c r="AF143" s="503"/>
      <c r="AG143" s="503"/>
      <c r="AH143" s="503"/>
      <c r="AI143" s="531"/>
      <c r="AJ143" s="532">
        <v>8</v>
      </c>
      <c r="AK143" s="533"/>
      <c r="AL143" s="533"/>
      <c r="AM143" s="533"/>
      <c r="AN143" s="533"/>
      <c r="AO143" s="533"/>
      <c r="AP143" s="534"/>
      <c r="AQ143" s="641">
        <v>9</v>
      </c>
      <c r="AR143" s="641"/>
      <c r="AS143" s="641"/>
      <c r="AT143" s="641"/>
      <c r="AU143" s="641">
        <v>10</v>
      </c>
      <c r="AV143" s="641"/>
      <c r="AW143" s="641"/>
      <c r="AX143" s="641"/>
      <c r="AY143" s="641">
        <v>11</v>
      </c>
      <c r="AZ143" s="641"/>
      <c r="BA143" s="641"/>
      <c r="BB143" s="641"/>
    </row>
    <row r="144" spans="1:54" ht="24.75" customHeight="1" x14ac:dyDescent="0.2">
      <c r="A144" s="618" t="s">
        <v>70</v>
      </c>
      <c r="B144" s="619"/>
      <c r="C144" s="619"/>
      <c r="D144" s="619"/>
      <c r="E144" s="619"/>
      <c r="F144" s="619"/>
      <c r="G144" s="619"/>
      <c r="H144" s="477">
        <f>AO88/V144</f>
        <v>61.441380000000002</v>
      </c>
      <c r="I144" s="477"/>
      <c r="J144" s="477"/>
      <c r="K144" s="477"/>
      <c r="L144" s="477"/>
      <c r="M144" s="477">
        <f>H144</f>
        <v>61.441380000000002</v>
      </c>
      <c r="N144" s="477"/>
      <c r="O144" s="477"/>
      <c r="P144" s="477"/>
      <c r="Q144" s="477"/>
      <c r="R144" s="508">
        <f>U12</f>
        <v>36</v>
      </c>
      <c r="S144" s="509"/>
      <c r="T144" s="509"/>
      <c r="U144" s="510"/>
      <c r="V144" s="807">
        <f>Y16</f>
        <v>10</v>
      </c>
      <c r="W144" s="807"/>
      <c r="X144" s="807"/>
      <c r="Y144" s="807"/>
      <c r="Z144" s="807">
        <f>U16</f>
        <v>1</v>
      </c>
      <c r="AA144" s="807"/>
      <c r="AB144" s="807"/>
      <c r="AC144" s="807"/>
      <c r="AD144" s="809" t="s">
        <v>71</v>
      </c>
      <c r="AE144" s="810"/>
      <c r="AF144" s="810"/>
      <c r="AG144" s="810"/>
      <c r="AH144" s="810"/>
      <c r="AI144" s="811"/>
      <c r="AJ144" s="812"/>
      <c r="AK144" s="813"/>
      <c r="AL144" s="813"/>
      <c r="AM144" s="813"/>
      <c r="AN144" s="813"/>
      <c r="AO144" s="813"/>
      <c r="AP144" s="814"/>
      <c r="AQ144" s="477">
        <f>H144*8</f>
        <v>491.53104000000002</v>
      </c>
      <c r="AR144" s="477"/>
      <c r="AS144" s="477"/>
      <c r="AT144" s="477"/>
      <c r="AU144" s="477">
        <f>M144*2</f>
        <v>122.88276</v>
      </c>
      <c r="AV144" s="477"/>
      <c r="AW144" s="477"/>
      <c r="AX144" s="477"/>
      <c r="AY144" s="477">
        <f>H144*R144</f>
        <v>2211.8896800000002</v>
      </c>
      <c r="AZ144" s="477"/>
      <c r="BA144" s="477"/>
      <c r="BB144" s="477"/>
    </row>
    <row r="145" spans="1:183" ht="29.25" customHeight="1" x14ac:dyDescent="0.2">
      <c r="A145" s="527" t="s">
        <v>72</v>
      </c>
      <c r="B145" s="528"/>
      <c r="C145" s="528"/>
      <c r="D145" s="528"/>
      <c r="E145" s="528"/>
      <c r="F145" s="528"/>
      <c r="G145" s="528"/>
      <c r="H145" s="529">
        <f>AV98</f>
        <v>91.555761923911305</v>
      </c>
      <c r="I145" s="529"/>
      <c r="J145" s="529"/>
      <c r="K145" s="529"/>
      <c r="L145" s="529"/>
      <c r="M145" s="477">
        <f t="shared" ref="M145:M147" si="3">H145</f>
        <v>91.555761923911305</v>
      </c>
      <c r="N145" s="477"/>
      <c r="O145" s="477"/>
      <c r="P145" s="477"/>
      <c r="Q145" s="477"/>
      <c r="R145" s="511"/>
      <c r="S145" s="512"/>
      <c r="T145" s="512"/>
      <c r="U145" s="513"/>
      <c r="V145" s="518"/>
      <c r="W145" s="518"/>
      <c r="X145" s="518"/>
      <c r="Y145" s="518"/>
      <c r="Z145" s="518"/>
      <c r="AA145" s="518"/>
      <c r="AB145" s="518"/>
      <c r="AC145" s="518"/>
      <c r="AD145" s="477" t="s">
        <v>71</v>
      </c>
      <c r="AE145" s="477"/>
      <c r="AF145" s="477"/>
      <c r="AG145" s="477"/>
      <c r="AH145" s="477"/>
      <c r="AI145" s="477"/>
      <c r="AJ145" s="478"/>
      <c r="AK145" s="479"/>
      <c r="AL145" s="479"/>
      <c r="AM145" s="479"/>
      <c r="AN145" s="479"/>
      <c r="AO145" s="479"/>
      <c r="AP145" s="480"/>
      <c r="AQ145" s="477">
        <f t="shared" ref="AQ145:AQ147" si="4">H145*8</f>
        <v>732.44609539129044</v>
      </c>
      <c r="AR145" s="477"/>
      <c r="AS145" s="477"/>
      <c r="AT145" s="477"/>
      <c r="AU145" s="477">
        <f t="shared" ref="AU145:AU147" si="5">M145*2</f>
        <v>183.11152384782261</v>
      </c>
      <c r="AV145" s="477"/>
      <c r="AW145" s="477"/>
      <c r="AX145" s="477"/>
      <c r="AY145" s="477">
        <f>H145*R144</f>
        <v>3296.0074292608069</v>
      </c>
      <c r="AZ145" s="477"/>
      <c r="BA145" s="477"/>
      <c r="BB145" s="477"/>
    </row>
    <row r="146" spans="1:183" ht="15" customHeight="1" x14ac:dyDescent="0.2">
      <c r="A146" s="527" t="s">
        <v>73</v>
      </c>
      <c r="B146" s="528"/>
      <c r="C146" s="528"/>
      <c r="D146" s="528"/>
      <c r="E146" s="528"/>
      <c r="F146" s="528"/>
      <c r="G146" s="528"/>
      <c r="H146" s="529">
        <f>AU125</f>
        <v>14.369444444444445</v>
      </c>
      <c r="I146" s="529"/>
      <c r="J146" s="529"/>
      <c r="K146" s="529"/>
      <c r="L146" s="529"/>
      <c r="M146" s="477">
        <f t="shared" si="3"/>
        <v>14.369444444444445</v>
      </c>
      <c r="N146" s="477"/>
      <c r="O146" s="477"/>
      <c r="P146" s="477"/>
      <c r="Q146" s="477"/>
      <c r="R146" s="511"/>
      <c r="S146" s="512"/>
      <c r="T146" s="512"/>
      <c r="U146" s="513"/>
      <c r="V146" s="518"/>
      <c r="W146" s="518"/>
      <c r="X146" s="518"/>
      <c r="Y146" s="518"/>
      <c r="Z146" s="518"/>
      <c r="AA146" s="518"/>
      <c r="AB146" s="518"/>
      <c r="AC146" s="518"/>
      <c r="AD146" s="477" t="s">
        <v>71</v>
      </c>
      <c r="AE146" s="477"/>
      <c r="AF146" s="477"/>
      <c r="AG146" s="477"/>
      <c r="AH146" s="477"/>
      <c r="AI146" s="477"/>
      <c r="AJ146" s="478"/>
      <c r="AK146" s="479"/>
      <c r="AL146" s="479"/>
      <c r="AM146" s="479"/>
      <c r="AN146" s="479"/>
      <c r="AO146" s="479"/>
      <c r="AP146" s="480"/>
      <c r="AQ146" s="477">
        <f t="shared" si="4"/>
        <v>114.95555555555556</v>
      </c>
      <c r="AR146" s="477"/>
      <c r="AS146" s="477"/>
      <c r="AT146" s="477"/>
      <c r="AU146" s="477">
        <f t="shared" si="5"/>
        <v>28.738888888888891</v>
      </c>
      <c r="AV146" s="477"/>
      <c r="AW146" s="477"/>
      <c r="AX146" s="477"/>
      <c r="AY146" s="477">
        <f>H146*R144</f>
        <v>517.30000000000007</v>
      </c>
      <c r="AZ146" s="477"/>
      <c r="BA146" s="477"/>
      <c r="BB146" s="477"/>
    </row>
    <row r="147" spans="1:183" ht="26.25" customHeight="1" thickBot="1" x14ac:dyDescent="0.25">
      <c r="A147" s="815" t="s">
        <v>74</v>
      </c>
      <c r="B147" s="816"/>
      <c r="C147" s="816"/>
      <c r="D147" s="816"/>
      <c r="E147" s="816"/>
      <c r="F147" s="816"/>
      <c r="G147" s="816"/>
      <c r="H147" s="627">
        <f>AU137</f>
        <v>0</v>
      </c>
      <c r="I147" s="627"/>
      <c r="J147" s="627"/>
      <c r="K147" s="627"/>
      <c r="L147" s="627"/>
      <c r="M147" s="477">
        <f t="shared" si="3"/>
        <v>0</v>
      </c>
      <c r="N147" s="477"/>
      <c r="O147" s="477"/>
      <c r="P147" s="477"/>
      <c r="Q147" s="477"/>
      <c r="R147" s="514"/>
      <c r="S147" s="515"/>
      <c r="T147" s="515"/>
      <c r="U147" s="516"/>
      <c r="V147" s="808"/>
      <c r="W147" s="808"/>
      <c r="X147" s="808"/>
      <c r="Y147" s="808"/>
      <c r="Z147" s="808"/>
      <c r="AA147" s="808"/>
      <c r="AB147" s="808"/>
      <c r="AC147" s="808"/>
      <c r="AD147" s="477" t="s">
        <v>71</v>
      </c>
      <c r="AE147" s="477"/>
      <c r="AF147" s="477"/>
      <c r="AG147" s="477"/>
      <c r="AH147" s="477"/>
      <c r="AI147" s="477"/>
      <c r="AJ147" s="496" t="s">
        <v>17</v>
      </c>
      <c r="AK147" s="497"/>
      <c r="AL147" s="497"/>
      <c r="AM147" s="497"/>
      <c r="AN147" s="497"/>
      <c r="AO147" s="497"/>
      <c r="AP147" s="498"/>
      <c r="AQ147" s="477">
        <f t="shared" si="4"/>
        <v>0</v>
      </c>
      <c r="AR147" s="477"/>
      <c r="AS147" s="477"/>
      <c r="AT147" s="477"/>
      <c r="AU147" s="477">
        <f t="shared" si="5"/>
        <v>0</v>
      </c>
      <c r="AV147" s="477"/>
      <c r="AW147" s="477"/>
      <c r="AX147" s="477"/>
      <c r="AY147" s="483">
        <f>H147*R144</f>
        <v>0</v>
      </c>
      <c r="AZ147" s="483"/>
      <c r="BA147" s="483"/>
      <c r="BB147" s="483"/>
    </row>
    <row r="148" spans="1:183" ht="25.5" customHeight="1" x14ac:dyDescent="0.2">
      <c r="A148" s="485" t="s">
        <v>80</v>
      </c>
      <c r="B148" s="486"/>
      <c r="C148" s="486"/>
      <c r="D148" s="486"/>
      <c r="E148" s="486"/>
      <c r="F148" s="486"/>
      <c r="G148" s="487"/>
      <c r="H148" s="488">
        <f>SUM(H144:L147)</f>
        <v>167.36658636835574</v>
      </c>
      <c r="I148" s="488"/>
      <c r="J148" s="488"/>
      <c r="K148" s="488"/>
      <c r="L148" s="488"/>
      <c r="M148" s="488">
        <f>SUM(M144:Q147)</f>
        <v>167.36658636835574</v>
      </c>
      <c r="N148" s="488"/>
      <c r="O148" s="488"/>
      <c r="P148" s="488"/>
      <c r="Q148" s="488"/>
      <c r="R148" s="489">
        <f>R144</f>
        <v>36</v>
      </c>
      <c r="S148" s="489"/>
      <c r="T148" s="489"/>
      <c r="U148" s="489"/>
      <c r="V148" s="490">
        <f>V144</f>
        <v>10</v>
      </c>
      <c r="W148" s="490"/>
      <c r="X148" s="490"/>
      <c r="Y148" s="490"/>
      <c r="Z148" s="490">
        <f>Z144</f>
        <v>1</v>
      </c>
      <c r="AA148" s="490"/>
      <c r="AB148" s="490"/>
      <c r="AC148" s="490"/>
      <c r="AD148" s="488" t="s">
        <v>17</v>
      </c>
      <c r="AE148" s="488"/>
      <c r="AF148" s="488"/>
      <c r="AG148" s="488"/>
      <c r="AH148" s="488"/>
      <c r="AI148" s="488"/>
      <c r="AJ148" s="491" t="s">
        <v>17</v>
      </c>
      <c r="AK148" s="492"/>
      <c r="AL148" s="492"/>
      <c r="AM148" s="492"/>
      <c r="AN148" s="492"/>
      <c r="AO148" s="492"/>
      <c r="AP148" s="493"/>
      <c r="AQ148" s="702">
        <f>SUM(AQ144:AT147)</f>
        <v>1338.9326909468459</v>
      </c>
      <c r="AR148" s="702"/>
      <c r="AS148" s="702"/>
      <c r="AT148" s="702"/>
      <c r="AU148" s="702">
        <f>SUM(AU144:AX147)</f>
        <v>334.73317273671148</v>
      </c>
      <c r="AV148" s="702"/>
      <c r="AW148" s="702"/>
      <c r="AX148" s="702"/>
      <c r="AY148" s="702">
        <f>SUM(AY144:BB147)</f>
        <v>6025.1971092608073</v>
      </c>
      <c r="AZ148" s="702"/>
      <c r="BA148" s="702"/>
      <c r="BB148" s="702"/>
    </row>
    <row r="149" spans="1:183" ht="30.75" customHeight="1" x14ac:dyDescent="0.2">
      <c r="A149" s="817" t="s">
        <v>75</v>
      </c>
      <c r="B149" s="456"/>
      <c r="C149" s="456"/>
      <c r="D149" s="456"/>
      <c r="E149" s="456"/>
      <c r="F149" s="456"/>
      <c r="G149" s="215">
        <v>0.19500000000000001</v>
      </c>
      <c r="H149" s="457">
        <f>H148*G149</f>
        <v>32.636484341829373</v>
      </c>
      <c r="I149" s="457"/>
      <c r="J149" s="457"/>
      <c r="K149" s="457"/>
      <c r="L149" s="457"/>
      <c r="M149" s="457">
        <f>M148*G149</f>
        <v>32.636484341829373</v>
      </c>
      <c r="N149" s="457"/>
      <c r="O149" s="457"/>
      <c r="P149" s="457"/>
      <c r="Q149" s="457"/>
      <c r="R149" s="818">
        <f>R144</f>
        <v>36</v>
      </c>
      <c r="S149" s="819"/>
      <c r="T149" s="819"/>
      <c r="U149" s="820"/>
      <c r="V149" s="821">
        <f>V144</f>
        <v>10</v>
      </c>
      <c r="W149" s="819"/>
      <c r="X149" s="819"/>
      <c r="Y149" s="820"/>
      <c r="Z149" s="821">
        <f>Z144</f>
        <v>1</v>
      </c>
      <c r="AA149" s="819"/>
      <c r="AB149" s="819"/>
      <c r="AC149" s="820"/>
      <c r="AD149" s="462" t="s">
        <v>17</v>
      </c>
      <c r="AE149" s="462"/>
      <c r="AF149" s="462"/>
      <c r="AG149" s="462"/>
      <c r="AH149" s="462"/>
      <c r="AI149" s="462"/>
      <c r="AJ149" s="462" t="s">
        <v>17</v>
      </c>
      <c r="AK149" s="462"/>
      <c r="AL149" s="462"/>
      <c r="AM149" s="462"/>
      <c r="AN149" s="462"/>
      <c r="AO149" s="462"/>
      <c r="AP149" s="462"/>
      <c r="AQ149" s="466">
        <f>AQ148*G149</f>
        <v>261.09187473463498</v>
      </c>
      <c r="AR149" s="466"/>
      <c r="AS149" s="466"/>
      <c r="AT149" s="466"/>
      <c r="AU149" s="466">
        <f>AU148*G149</f>
        <v>65.272968683658746</v>
      </c>
      <c r="AV149" s="466"/>
      <c r="AW149" s="466"/>
      <c r="AX149" s="466"/>
      <c r="AY149" s="466">
        <f>AY148*G149</f>
        <v>1174.9134363058574</v>
      </c>
      <c r="AZ149" s="466"/>
      <c r="BA149" s="466"/>
      <c r="BB149" s="466"/>
    </row>
    <row r="150" spans="1:183" ht="30.75" customHeight="1" thickBot="1" x14ac:dyDescent="0.25">
      <c r="A150" s="824" t="s">
        <v>81</v>
      </c>
      <c r="B150" s="469"/>
      <c r="C150" s="469"/>
      <c r="D150" s="469"/>
      <c r="E150" s="469"/>
      <c r="F150" s="469"/>
      <c r="G150" s="470"/>
      <c r="H150" s="464">
        <f>H148+H149</f>
        <v>200.00307071018511</v>
      </c>
      <c r="I150" s="464"/>
      <c r="J150" s="464"/>
      <c r="K150" s="464"/>
      <c r="L150" s="464"/>
      <c r="M150" s="471">
        <f>M148+M149</f>
        <v>200.00307071018511</v>
      </c>
      <c r="N150" s="472"/>
      <c r="O150" s="472"/>
      <c r="P150" s="472"/>
      <c r="Q150" s="473"/>
      <c r="R150" s="825">
        <f>R144</f>
        <v>36</v>
      </c>
      <c r="S150" s="826"/>
      <c r="T150" s="826"/>
      <c r="U150" s="827"/>
      <c r="V150" s="828">
        <f>V144</f>
        <v>10</v>
      </c>
      <c r="W150" s="829"/>
      <c r="X150" s="829"/>
      <c r="Y150" s="830"/>
      <c r="Z150" s="828">
        <f>Z144</f>
        <v>1</v>
      </c>
      <c r="AA150" s="829"/>
      <c r="AB150" s="829"/>
      <c r="AC150" s="830"/>
      <c r="AD150" s="463" t="s">
        <v>17</v>
      </c>
      <c r="AE150" s="463"/>
      <c r="AF150" s="463"/>
      <c r="AG150" s="463"/>
      <c r="AH150" s="463"/>
      <c r="AI150" s="463"/>
      <c r="AJ150" s="463" t="s">
        <v>17</v>
      </c>
      <c r="AK150" s="463"/>
      <c r="AL150" s="463"/>
      <c r="AM150" s="463"/>
      <c r="AN150" s="463"/>
      <c r="AO150" s="463"/>
      <c r="AP150" s="463"/>
      <c r="AQ150" s="466">
        <f>AQ148+AQ149-0.04</f>
        <v>1599.9845656814809</v>
      </c>
      <c r="AR150" s="466"/>
      <c r="AS150" s="466"/>
      <c r="AT150" s="466"/>
      <c r="AU150" s="466">
        <f>AU148+AU149-0.01</f>
        <v>399.99614142037024</v>
      </c>
      <c r="AV150" s="466"/>
      <c r="AW150" s="466"/>
      <c r="AX150" s="466"/>
      <c r="AY150" s="823">
        <f>AY148+AY149-0.32</f>
        <v>7199.7905455666651</v>
      </c>
      <c r="AZ150" s="823"/>
      <c r="BA150" s="823"/>
      <c r="BB150" s="823"/>
      <c r="BE150" s="216"/>
      <c r="BF150" s="216"/>
    </row>
    <row r="151" spans="1:183" ht="16.5" customHeight="1" x14ac:dyDescent="0.2">
      <c r="BC151" s="432"/>
      <c r="BD151" s="432"/>
      <c r="BE151" s="216"/>
      <c r="BF151" s="216"/>
      <c r="BG151" s="216"/>
      <c r="BH151" s="216"/>
      <c r="BI151" s="216"/>
    </row>
    <row r="152" spans="1:183" ht="12" customHeight="1" x14ac:dyDescent="0.2">
      <c r="BC152" s="432"/>
      <c r="BD152" s="432"/>
      <c r="BE152" s="216"/>
      <c r="BF152" s="216"/>
    </row>
    <row r="153" spans="1:183" ht="14.25" customHeight="1" x14ac:dyDescent="0.25">
      <c r="B153" s="452" t="s">
        <v>221</v>
      </c>
      <c r="C153" s="452"/>
      <c r="D153" s="452"/>
      <c r="E153" s="452"/>
      <c r="F153" s="452"/>
      <c r="G153" s="452"/>
      <c r="H153" s="452"/>
      <c r="I153" s="452"/>
      <c r="J153" s="452"/>
      <c r="K153" s="452"/>
      <c r="L153" s="452"/>
      <c r="M153" s="452"/>
      <c r="N153" s="452"/>
      <c r="O153" s="452"/>
      <c r="P153" s="452"/>
      <c r="Q153" s="452"/>
      <c r="R153" s="452"/>
      <c r="S153" s="452"/>
      <c r="U153" s="164"/>
      <c r="V153" s="164"/>
      <c r="W153" s="164"/>
      <c r="X153" s="217"/>
      <c r="Y153" s="217"/>
      <c r="Z153" s="217"/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T153" s="100"/>
      <c r="AU153" s="218" t="s">
        <v>222</v>
      </c>
      <c r="AV153" s="218"/>
      <c r="AW153" s="218"/>
      <c r="AX153" s="218"/>
      <c r="AY153" s="218"/>
      <c r="AZ153" s="218"/>
      <c r="BC153" s="432"/>
      <c r="BD153" s="432"/>
      <c r="BE153" s="216"/>
      <c r="BF153" s="216"/>
    </row>
    <row r="154" spans="1:183" ht="8.25" customHeight="1" x14ac:dyDescent="0.2">
      <c r="B154" s="452" t="s">
        <v>78</v>
      </c>
      <c r="C154" s="452"/>
      <c r="D154" s="452"/>
      <c r="E154" s="452"/>
      <c r="F154" s="452"/>
      <c r="G154" s="452"/>
      <c r="H154" s="452"/>
      <c r="I154" s="452"/>
      <c r="J154" s="452"/>
      <c r="K154" s="452"/>
      <c r="L154" s="452"/>
      <c r="M154" s="452"/>
      <c r="N154" s="452"/>
      <c r="O154" s="452"/>
      <c r="P154" s="452"/>
      <c r="Q154" s="452"/>
      <c r="R154" s="452"/>
      <c r="S154" s="452"/>
      <c r="AM154" s="822" t="s">
        <v>312</v>
      </c>
      <c r="AN154" s="822"/>
      <c r="AO154" s="822"/>
      <c r="AP154" s="822"/>
      <c r="AQ154" s="822"/>
      <c r="AR154" s="822"/>
      <c r="AS154" s="822"/>
      <c r="AT154" s="822"/>
      <c r="AU154" s="822"/>
      <c r="AV154" s="822"/>
      <c r="AW154" s="822"/>
      <c r="AX154" s="822"/>
      <c r="AY154" s="822"/>
      <c r="AZ154" s="822"/>
      <c r="BA154" s="822"/>
      <c r="BB154" s="822"/>
      <c r="BC154" s="822"/>
    </row>
    <row r="155" spans="1:183" ht="19.5" customHeight="1" x14ac:dyDescent="0.2">
      <c r="B155" s="452"/>
      <c r="C155" s="452"/>
      <c r="D155" s="452"/>
      <c r="E155" s="452"/>
      <c r="F155" s="452"/>
      <c r="G155" s="452"/>
      <c r="H155" s="452"/>
      <c r="I155" s="452"/>
      <c r="J155" s="452"/>
      <c r="K155" s="452"/>
      <c r="L155" s="452"/>
      <c r="M155" s="452"/>
      <c r="N155" s="452"/>
      <c r="O155" s="452"/>
      <c r="P155" s="452"/>
      <c r="Q155" s="452"/>
      <c r="R155" s="452"/>
      <c r="S155" s="452"/>
      <c r="U155" s="164"/>
      <c r="V155" s="164"/>
      <c r="W155" s="164"/>
      <c r="X155" s="217"/>
      <c r="Y155" s="217"/>
      <c r="Z155" s="217"/>
      <c r="AA155" s="217"/>
      <c r="AB155" s="217"/>
      <c r="AC155" s="217"/>
      <c r="AD155" s="217"/>
      <c r="AE155" s="217"/>
      <c r="AF155" s="217"/>
      <c r="AG155" s="217"/>
      <c r="AH155" s="217"/>
      <c r="AI155" s="217"/>
      <c r="AJ155" s="217"/>
      <c r="AK155" s="217"/>
      <c r="AM155" s="822"/>
      <c r="AN155" s="822"/>
      <c r="AO155" s="822"/>
      <c r="AP155" s="822"/>
      <c r="AQ155" s="822"/>
      <c r="AR155" s="822"/>
      <c r="AS155" s="822"/>
      <c r="AT155" s="822"/>
      <c r="AU155" s="822"/>
      <c r="AV155" s="822"/>
      <c r="AW155" s="822"/>
      <c r="AX155" s="822"/>
      <c r="AY155" s="822"/>
      <c r="AZ155" s="822"/>
      <c r="BA155" s="822"/>
      <c r="BB155" s="822"/>
      <c r="BC155" s="822"/>
      <c r="BG155" s="216"/>
    </row>
    <row r="156" spans="1:183" ht="25.5" customHeight="1" x14ac:dyDescent="0.2"/>
    <row r="157" spans="1:183" ht="11.25" customHeight="1" x14ac:dyDescent="0.2">
      <c r="A157" s="219" t="s">
        <v>125</v>
      </c>
      <c r="B157" s="219"/>
      <c r="C157" s="219"/>
      <c r="D157" s="219"/>
      <c r="BG157" s="216"/>
    </row>
    <row r="158" spans="1:183" ht="16.5" customHeight="1" x14ac:dyDescent="0.2">
      <c r="A158" s="221"/>
      <c r="B158" s="221"/>
      <c r="C158" s="221"/>
      <c r="D158" s="221"/>
      <c r="E158" s="221"/>
      <c r="F158" s="221"/>
      <c r="G158" s="221"/>
      <c r="H158" s="221"/>
      <c r="I158" s="221"/>
      <c r="J158" s="221"/>
      <c r="K158" s="221"/>
      <c r="L158" s="221"/>
      <c r="M158" s="221"/>
      <c r="N158" s="221"/>
      <c r="BB158" s="432" t="s">
        <v>339</v>
      </c>
      <c r="BC158" s="432"/>
      <c r="BD158" s="432"/>
      <c r="BE158" s="432"/>
      <c r="BF158" s="432"/>
      <c r="BG158" s="432"/>
      <c r="BH158" s="432"/>
      <c r="BI158" s="432"/>
      <c r="BJ158" s="432"/>
      <c r="BK158" s="432"/>
      <c r="BL158" s="432"/>
      <c r="BM158" s="432"/>
      <c r="BN158" s="432"/>
      <c r="BO158" s="432"/>
      <c r="BP158" s="432"/>
      <c r="BQ158" s="432"/>
      <c r="BR158" s="432"/>
      <c r="BS158" s="432"/>
      <c r="BT158" s="432"/>
      <c r="BU158" s="432"/>
      <c r="BV158" s="432"/>
      <c r="BW158" s="432"/>
      <c r="BX158" s="432"/>
      <c r="CB158" s="432"/>
      <c r="CC158" s="432"/>
      <c r="CD158" s="432"/>
      <c r="CE158" s="432"/>
      <c r="CF158" s="432"/>
      <c r="CG158" s="432"/>
      <c r="CH158" s="432"/>
      <c r="CI158" s="432"/>
      <c r="CJ158" s="432"/>
      <c r="CK158" s="432"/>
      <c r="CL158" s="432"/>
      <c r="CM158" s="432"/>
      <c r="CN158" s="432"/>
      <c r="CO158" s="432"/>
      <c r="CP158" s="432"/>
      <c r="CQ158" s="432"/>
      <c r="CR158" s="432"/>
      <c r="CS158" s="432"/>
      <c r="CT158" s="432"/>
      <c r="CU158" s="432"/>
      <c r="CV158" s="432"/>
      <c r="CW158" s="432"/>
      <c r="CX158" s="432"/>
      <c r="DD158" s="432" t="s">
        <v>153</v>
      </c>
      <c r="DE158" s="432"/>
      <c r="DF158" s="432"/>
      <c r="DG158" s="432"/>
      <c r="DH158" s="432"/>
      <c r="DI158" s="432"/>
      <c r="DJ158" s="432"/>
      <c r="DK158" s="432"/>
      <c r="DL158" s="432"/>
      <c r="DM158" s="432"/>
      <c r="DN158" s="432"/>
      <c r="DO158" s="432"/>
      <c r="DP158" s="432"/>
      <c r="DQ158" s="432"/>
      <c r="DR158" s="432"/>
      <c r="DS158" s="432"/>
      <c r="DT158" s="432"/>
      <c r="DU158" s="432"/>
      <c r="DV158" s="432"/>
      <c r="DW158" s="432"/>
      <c r="DX158" s="432"/>
      <c r="DY158" s="432"/>
      <c r="DZ158" s="432"/>
      <c r="ED158" s="432" t="s">
        <v>155</v>
      </c>
      <c r="EE158" s="432"/>
      <c r="EF158" s="432"/>
      <c r="EG158" s="432"/>
      <c r="EH158" s="432"/>
      <c r="EI158" s="432"/>
      <c r="EJ158" s="432"/>
      <c r="EK158" s="432"/>
      <c r="EL158" s="432"/>
      <c r="EM158" s="432"/>
      <c r="EN158" s="432"/>
      <c r="EO158" s="432"/>
      <c r="EP158" s="432"/>
      <c r="EQ158" s="432"/>
      <c r="ER158" s="432"/>
      <c r="ES158" s="432"/>
      <c r="ET158" s="432"/>
      <c r="EU158" s="432"/>
      <c r="EV158" s="432"/>
      <c r="EW158" s="432"/>
      <c r="EX158" s="432"/>
      <c r="EY158" s="432"/>
      <c r="EZ158" s="432"/>
      <c r="FE158" s="432" t="s">
        <v>131</v>
      </c>
      <c r="FF158" s="432"/>
      <c r="FG158" s="432"/>
      <c r="FH158" s="432"/>
      <c r="FI158" s="432"/>
      <c r="FJ158" s="432"/>
      <c r="FK158" s="432"/>
      <c r="FL158" s="432"/>
      <c r="FM158" s="432"/>
      <c r="FN158" s="432"/>
      <c r="FO158" s="432"/>
      <c r="FP158" s="432"/>
      <c r="FQ158" s="432"/>
      <c r="FR158" s="432"/>
      <c r="FS158" s="432"/>
      <c r="FT158" s="432"/>
      <c r="FU158" s="432"/>
      <c r="FV158" s="432"/>
      <c r="FW158" s="432"/>
      <c r="FX158" s="432"/>
      <c r="FY158" s="432"/>
      <c r="FZ158" s="432"/>
      <c r="GA158" s="432"/>
    </row>
    <row r="159" spans="1:183" ht="23.25" customHeight="1" x14ac:dyDescent="0.25">
      <c r="A159" s="222"/>
      <c r="B159" s="22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222"/>
      <c r="AF159" s="222"/>
      <c r="AG159" s="222"/>
      <c r="AH159" s="222"/>
      <c r="AI159" s="222"/>
      <c r="AJ159" s="222"/>
      <c r="AK159" s="222"/>
      <c r="AL159" s="222"/>
      <c r="AM159" s="222"/>
      <c r="AN159" s="222"/>
      <c r="AO159" s="222"/>
      <c r="AP159" s="222"/>
      <c r="AQ159" s="222"/>
      <c r="AR159" s="222"/>
      <c r="AS159" s="222"/>
      <c r="BB159" s="432" t="s">
        <v>126</v>
      </c>
      <c r="BC159" s="432"/>
      <c r="BD159" s="432"/>
      <c r="BE159" s="433">
        <f>200*11</f>
        <v>2200</v>
      </c>
      <c r="BF159" s="433"/>
      <c r="BG159" s="433"/>
      <c r="BH159" s="433"/>
      <c r="BI159" s="433"/>
      <c r="BJ159" s="220" t="s">
        <v>127</v>
      </c>
      <c r="BK159" s="220"/>
      <c r="BL159" s="220"/>
      <c r="BM159" s="220"/>
      <c r="BN159" s="220"/>
      <c r="BO159" s="220"/>
      <c r="BP159" s="220"/>
      <c r="BQ159" s="220"/>
      <c r="CB159" s="432"/>
      <c r="CC159" s="432"/>
      <c r="CD159" s="432"/>
      <c r="CE159" s="433"/>
      <c r="CF159" s="433"/>
      <c r="CG159" s="433"/>
      <c r="CH159" s="433"/>
      <c r="CI159" s="433"/>
      <c r="CJ159" s="220"/>
      <c r="CK159" s="220"/>
      <c r="CL159" s="220"/>
      <c r="CM159" s="220"/>
      <c r="CN159" s="220"/>
      <c r="CO159" s="220"/>
      <c r="CP159" s="220"/>
      <c r="CQ159" s="220"/>
      <c r="DD159" s="432" t="s">
        <v>126</v>
      </c>
      <c r="DE159" s="432"/>
      <c r="DF159" s="432"/>
      <c r="DG159" s="433">
        <f>150*55</f>
        <v>8250</v>
      </c>
      <c r="DH159" s="433"/>
      <c r="DI159" s="433"/>
      <c r="DJ159" s="433"/>
      <c r="DK159" s="433"/>
      <c r="DL159" s="220" t="s">
        <v>127</v>
      </c>
      <c r="DM159" s="220"/>
      <c r="DN159" s="220"/>
      <c r="DO159" s="220"/>
      <c r="DP159" s="220"/>
      <c r="DQ159" s="220"/>
      <c r="DR159" s="220"/>
      <c r="DS159" s="220"/>
      <c r="ED159" s="432" t="s">
        <v>126</v>
      </c>
      <c r="EE159" s="432"/>
      <c r="EF159" s="432"/>
      <c r="EG159" s="433">
        <f>150*37</f>
        <v>5550</v>
      </c>
      <c r="EH159" s="433"/>
      <c r="EI159" s="433"/>
      <c r="EJ159" s="433"/>
      <c r="EK159" s="433"/>
      <c r="EL159" s="220" t="s">
        <v>127</v>
      </c>
      <c r="EM159" s="220"/>
      <c r="EN159" s="220"/>
      <c r="EO159" s="220"/>
      <c r="EP159" s="220"/>
      <c r="EQ159" s="220"/>
      <c r="ER159" s="220"/>
      <c r="ES159" s="220"/>
      <c r="FE159" s="432" t="s">
        <v>126</v>
      </c>
      <c r="FF159" s="432"/>
      <c r="FG159" s="432"/>
      <c r="FH159" s="433">
        <f>100*37</f>
        <v>3700</v>
      </c>
      <c r="FI159" s="433"/>
      <c r="FJ159" s="433"/>
      <c r="FK159" s="433"/>
      <c r="FL159" s="433"/>
      <c r="FM159" s="220" t="s">
        <v>127</v>
      </c>
      <c r="FN159" s="220"/>
      <c r="FO159" s="220"/>
      <c r="FP159" s="220"/>
      <c r="FQ159" s="220"/>
      <c r="FR159" s="220"/>
      <c r="FS159" s="220"/>
      <c r="FT159" s="220"/>
    </row>
    <row r="160" spans="1:183" ht="21" customHeight="1" x14ac:dyDescent="0.2">
      <c r="BB160" s="434">
        <v>0.6</v>
      </c>
      <c r="BC160" s="434"/>
      <c r="BD160" s="434"/>
      <c r="BE160" s="216">
        <f>BE159*BB160</f>
        <v>1320</v>
      </c>
      <c r="BF160" s="432" t="s">
        <v>128</v>
      </c>
      <c r="BG160" s="432"/>
      <c r="BH160" s="432"/>
      <c r="BI160" s="432"/>
      <c r="BJ160" s="432"/>
      <c r="BK160" s="432" t="s">
        <v>129</v>
      </c>
      <c r="BL160" s="432"/>
      <c r="BM160" s="432"/>
      <c r="BN160" s="432"/>
      <c r="BO160" s="432"/>
      <c r="BP160" s="432"/>
      <c r="BQ160" s="432"/>
      <c r="CB160" s="434"/>
      <c r="CC160" s="434"/>
      <c r="CD160" s="434"/>
      <c r="CE160" s="216"/>
      <c r="CF160" s="432"/>
      <c r="CG160" s="432"/>
      <c r="CH160" s="432"/>
      <c r="CI160" s="432"/>
      <c r="CJ160" s="432"/>
      <c r="CK160" s="432"/>
      <c r="CL160" s="432"/>
      <c r="CM160" s="432"/>
      <c r="CN160" s="432"/>
      <c r="CO160" s="432"/>
      <c r="CP160" s="432"/>
      <c r="CQ160" s="432"/>
      <c r="DD160" s="434">
        <v>0.6</v>
      </c>
      <c r="DE160" s="432"/>
      <c r="DF160" s="432"/>
      <c r="DG160" s="216">
        <f>DG159*DD160</f>
        <v>4950</v>
      </c>
      <c r="DH160" s="432" t="s">
        <v>128</v>
      </c>
      <c r="DI160" s="432"/>
      <c r="DJ160" s="432"/>
      <c r="DK160" s="432"/>
      <c r="DL160" s="432"/>
      <c r="DM160" s="432" t="s">
        <v>129</v>
      </c>
      <c r="DN160" s="432"/>
      <c r="DO160" s="432"/>
      <c r="DP160" s="432"/>
      <c r="DQ160" s="432"/>
      <c r="DR160" s="432"/>
      <c r="DS160" s="432"/>
      <c r="ED160" s="434">
        <v>0.6</v>
      </c>
      <c r="EE160" s="432"/>
      <c r="EF160" s="432"/>
      <c r="EG160" s="216">
        <f>EG159*ED160</f>
        <v>3330</v>
      </c>
      <c r="EH160" s="432" t="s">
        <v>128</v>
      </c>
      <c r="EI160" s="432"/>
      <c r="EJ160" s="432"/>
      <c r="EK160" s="432"/>
      <c r="EL160" s="432"/>
      <c r="EM160" s="432" t="s">
        <v>129</v>
      </c>
      <c r="EN160" s="432"/>
      <c r="EO160" s="432"/>
      <c r="EP160" s="432"/>
      <c r="EQ160" s="432"/>
      <c r="ER160" s="432"/>
      <c r="ES160" s="432"/>
      <c r="FE160" s="434">
        <v>0.6</v>
      </c>
      <c r="FF160" s="432"/>
      <c r="FG160" s="432"/>
      <c r="FH160" s="216">
        <f>FH159*FE160</f>
        <v>2220</v>
      </c>
      <c r="FI160" s="432" t="s">
        <v>128</v>
      </c>
      <c r="FJ160" s="432"/>
      <c r="FK160" s="432"/>
      <c r="FL160" s="432"/>
      <c r="FM160" s="432"/>
      <c r="FN160" s="432" t="s">
        <v>129</v>
      </c>
      <c r="FO160" s="432"/>
      <c r="FP160" s="432"/>
      <c r="FQ160" s="432"/>
      <c r="FR160" s="432"/>
      <c r="FS160" s="432"/>
      <c r="FT160" s="432"/>
    </row>
    <row r="161" spans="26:183" ht="22.5" customHeight="1" x14ac:dyDescent="0.2">
      <c r="BB161" s="432">
        <v>211</v>
      </c>
      <c r="BC161" s="432"/>
      <c r="BD161" s="432"/>
      <c r="BE161" s="216">
        <f>BE160-BE162</f>
        <v>1013.8248847926267</v>
      </c>
      <c r="BF161" s="435">
        <f>BE161*0.1</f>
        <v>101.38248847926268</v>
      </c>
      <c r="BG161" s="435"/>
      <c r="BH161" s="435"/>
      <c r="BI161" s="435"/>
      <c r="BJ161" s="435"/>
      <c r="BK161" s="436">
        <f>BE161-BF161</f>
        <v>912.44239631336404</v>
      </c>
      <c r="BL161" s="436"/>
      <c r="BM161" s="436"/>
      <c r="BN161" s="436"/>
      <c r="BO161" s="436"/>
      <c r="BP161" s="436"/>
      <c r="BQ161" s="436"/>
      <c r="CB161" s="432"/>
      <c r="CC161" s="432"/>
      <c r="CD161" s="432"/>
      <c r="CE161" s="216"/>
      <c r="CF161" s="435"/>
      <c r="CG161" s="435"/>
      <c r="CH161" s="435"/>
      <c r="CI161" s="435"/>
      <c r="CJ161" s="435"/>
      <c r="CK161" s="435"/>
      <c r="CL161" s="435"/>
      <c r="CM161" s="435"/>
      <c r="CN161" s="435"/>
      <c r="CO161" s="435"/>
      <c r="CP161" s="435"/>
      <c r="CQ161" s="435"/>
      <c r="DD161" s="432">
        <v>211</v>
      </c>
      <c r="DE161" s="432"/>
      <c r="DF161" s="432"/>
      <c r="DG161" s="216">
        <f>DG160-DG162</f>
        <v>3801.8433179723502</v>
      </c>
      <c r="DH161" s="435">
        <f>DG161*0.1</f>
        <v>380.18433179723502</v>
      </c>
      <c r="DI161" s="435"/>
      <c r="DJ161" s="435"/>
      <c r="DK161" s="435"/>
      <c r="DL161" s="435"/>
      <c r="DM161" s="435">
        <f>DG161-DH161</f>
        <v>3421.6589861751154</v>
      </c>
      <c r="DN161" s="432"/>
      <c r="DO161" s="432"/>
      <c r="DP161" s="432"/>
      <c r="DQ161" s="432"/>
      <c r="DR161" s="432"/>
      <c r="DS161" s="432"/>
      <c r="ED161" s="432">
        <v>211</v>
      </c>
      <c r="EE161" s="432"/>
      <c r="EF161" s="432"/>
      <c r="EG161" s="216">
        <f>EG160-EG162</f>
        <v>2557.6036866359445</v>
      </c>
      <c r="EH161" s="435">
        <f>EG161*0.1</f>
        <v>255.76036866359448</v>
      </c>
      <c r="EI161" s="435"/>
      <c r="EJ161" s="435"/>
      <c r="EK161" s="435"/>
      <c r="EL161" s="435"/>
      <c r="EM161" s="435">
        <f>EG161-EH161</f>
        <v>2301.8433179723502</v>
      </c>
      <c r="EN161" s="432"/>
      <c r="EO161" s="432"/>
      <c r="EP161" s="432"/>
      <c r="EQ161" s="432"/>
      <c r="ER161" s="432"/>
      <c r="ES161" s="432"/>
      <c r="FE161" s="432">
        <v>211</v>
      </c>
      <c r="FF161" s="432"/>
      <c r="FG161" s="432"/>
      <c r="FH161" s="216">
        <f>FH160-FH162</f>
        <v>1705.0691244239631</v>
      </c>
      <c r="FI161" s="435">
        <f>FH161*0.1</f>
        <v>170.50691244239633</v>
      </c>
      <c r="FJ161" s="435"/>
      <c r="FK161" s="435"/>
      <c r="FL161" s="435"/>
      <c r="FM161" s="435"/>
      <c r="FN161" s="435">
        <f>FH161-FI161</f>
        <v>1534.5622119815669</v>
      </c>
      <c r="FO161" s="432"/>
      <c r="FP161" s="432"/>
      <c r="FQ161" s="432"/>
      <c r="FR161" s="432"/>
      <c r="FS161" s="432"/>
      <c r="FT161" s="432"/>
    </row>
    <row r="162" spans="26:183" ht="27" customHeight="1" x14ac:dyDescent="0.2">
      <c r="BB162" s="432">
        <v>213</v>
      </c>
      <c r="BC162" s="432"/>
      <c r="BD162" s="432"/>
      <c r="BE162" s="216">
        <f>BE160*30.2/130.2</f>
        <v>306.17511520737332</v>
      </c>
      <c r="BF162" s="435">
        <f>BF161*30.2%</f>
        <v>30.617511520737327</v>
      </c>
      <c r="BG162" s="435"/>
      <c r="BH162" s="435"/>
      <c r="BI162" s="435"/>
      <c r="BJ162" s="435"/>
      <c r="BK162" s="435">
        <f>BK161*30.2%</f>
        <v>275.55760368663596</v>
      </c>
      <c r="BL162" s="435"/>
      <c r="BM162" s="435"/>
      <c r="BN162" s="435"/>
      <c r="BO162" s="435"/>
      <c r="BP162" s="435"/>
      <c r="BQ162" s="435"/>
      <c r="CB162" s="432"/>
      <c r="CC162" s="432"/>
      <c r="CD162" s="432"/>
      <c r="CE162" s="216"/>
      <c r="CF162" s="435"/>
      <c r="CG162" s="435"/>
      <c r="CH162" s="435"/>
      <c r="CI162" s="435"/>
      <c r="CJ162" s="435"/>
      <c r="CK162" s="435"/>
      <c r="CL162" s="435"/>
      <c r="CM162" s="435"/>
      <c r="CN162" s="435"/>
      <c r="CO162" s="435"/>
      <c r="CP162" s="435"/>
      <c r="CQ162" s="435"/>
      <c r="DD162" s="432">
        <v>213</v>
      </c>
      <c r="DE162" s="432"/>
      <c r="DF162" s="432"/>
      <c r="DG162" s="216">
        <f>DG160*30.2/130.2</f>
        <v>1148.1566820276498</v>
      </c>
      <c r="DH162" s="435">
        <f>DH161*30.2%</f>
        <v>114.81566820276497</v>
      </c>
      <c r="DI162" s="435"/>
      <c r="DJ162" s="435"/>
      <c r="DK162" s="435"/>
      <c r="DL162" s="435"/>
      <c r="DM162" s="435">
        <f>DM161*30.2%</f>
        <v>1033.3410138248848</v>
      </c>
      <c r="DN162" s="435"/>
      <c r="DO162" s="435"/>
      <c r="DP162" s="435"/>
      <c r="DQ162" s="435"/>
      <c r="DR162" s="435"/>
      <c r="DS162" s="435"/>
      <c r="ED162" s="432">
        <v>213</v>
      </c>
      <c r="EE162" s="432"/>
      <c r="EF162" s="432"/>
      <c r="EG162" s="216">
        <f>EG160*30.2/130.2</f>
        <v>772.39631336405535</v>
      </c>
      <c r="EH162" s="435">
        <f>EH161*30.2%</f>
        <v>77.239631336405523</v>
      </c>
      <c r="EI162" s="435"/>
      <c r="EJ162" s="435"/>
      <c r="EK162" s="435"/>
      <c r="EL162" s="435"/>
      <c r="EM162" s="435">
        <f>EM161*30.2%</f>
        <v>695.15668202764971</v>
      </c>
      <c r="EN162" s="435"/>
      <c r="EO162" s="435"/>
      <c r="EP162" s="435"/>
      <c r="EQ162" s="435"/>
      <c r="ER162" s="435"/>
      <c r="ES162" s="435"/>
      <c r="FE162" s="432">
        <v>213</v>
      </c>
      <c r="FF162" s="432"/>
      <c r="FG162" s="432"/>
      <c r="FH162" s="216">
        <f>FH160*30.2/130.2</f>
        <v>514.9308755760369</v>
      </c>
      <c r="FI162" s="435">
        <f>FI161*30.2%</f>
        <v>51.493087557603687</v>
      </c>
      <c r="FJ162" s="435"/>
      <c r="FK162" s="435"/>
      <c r="FL162" s="435"/>
      <c r="FM162" s="435"/>
      <c r="FN162" s="435">
        <f>FN161*30.2%</f>
        <v>463.4377880184332</v>
      </c>
      <c r="FO162" s="435"/>
      <c r="FP162" s="435"/>
      <c r="FQ162" s="435"/>
      <c r="FR162" s="435"/>
      <c r="FS162" s="435"/>
      <c r="FT162" s="435"/>
    </row>
    <row r="163" spans="26:183" ht="8.25" customHeight="1" x14ac:dyDescent="0.2">
      <c r="Z163" s="223"/>
      <c r="AA163" s="223"/>
      <c r="AB163" s="223"/>
      <c r="AC163" s="223"/>
      <c r="AD163" s="223"/>
      <c r="AE163" s="223"/>
      <c r="AF163" s="223"/>
      <c r="AG163" s="223"/>
    </row>
    <row r="166" spans="26:183" ht="18" customHeight="1" x14ac:dyDescent="0.2">
      <c r="BB166" s="432" t="s">
        <v>349</v>
      </c>
      <c r="BC166" s="432"/>
      <c r="BD166" s="432"/>
      <c r="BE166" s="432"/>
      <c r="BF166" s="432"/>
      <c r="BG166" s="432"/>
      <c r="BH166" s="432"/>
      <c r="BI166" s="432"/>
      <c r="BJ166" s="432"/>
      <c r="BK166" s="432"/>
      <c r="BL166" s="432"/>
      <c r="BM166" s="432"/>
      <c r="BN166" s="432"/>
      <c r="BO166" s="432"/>
      <c r="BP166" s="432"/>
      <c r="BQ166" s="432"/>
      <c r="BR166" s="432"/>
      <c r="BS166" s="432"/>
      <c r="BT166" s="432"/>
      <c r="BU166" s="432"/>
      <c r="BV166" s="432"/>
      <c r="BW166" s="432"/>
      <c r="BX166" s="432"/>
      <c r="CB166" s="432"/>
      <c r="CC166" s="432"/>
      <c r="CD166" s="432"/>
      <c r="CE166" s="432"/>
      <c r="CF166" s="432"/>
      <c r="CG166" s="432"/>
      <c r="CH166" s="432"/>
      <c r="CI166" s="432"/>
      <c r="CJ166" s="432"/>
      <c r="CK166" s="432"/>
      <c r="CL166" s="432"/>
      <c r="CM166" s="432"/>
      <c r="CN166" s="432"/>
      <c r="CO166" s="432"/>
      <c r="CP166" s="432"/>
      <c r="CQ166" s="432"/>
      <c r="CR166" s="432"/>
      <c r="CS166" s="432"/>
      <c r="CT166" s="432"/>
      <c r="CU166" s="432"/>
      <c r="CV166" s="432"/>
      <c r="CW166" s="432"/>
      <c r="CX166" s="432"/>
      <c r="DD166" s="432" t="s">
        <v>154</v>
      </c>
      <c r="DE166" s="432"/>
      <c r="DF166" s="432"/>
      <c r="DG166" s="432"/>
      <c r="DH166" s="432"/>
      <c r="DI166" s="432"/>
      <c r="DJ166" s="432"/>
      <c r="DK166" s="432"/>
      <c r="DL166" s="432"/>
      <c r="DM166" s="432"/>
      <c r="DN166" s="432"/>
      <c r="DO166" s="432"/>
      <c r="DP166" s="432"/>
      <c r="DQ166" s="432"/>
      <c r="DR166" s="432"/>
      <c r="DS166" s="432"/>
      <c r="DT166" s="432"/>
      <c r="DU166" s="432"/>
      <c r="DV166" s="432"/>
      <c r="DW166" s="432"/>
      <c r="DX166" s="432"/>
      <c r="DY166" s="432"/>
      <c r="DZ166" s="432"/>
      <c r="ED166" s="432" t="s">
        <v>157</v>
      </c>
      <c r="EE166" s="432"/>
      <c r="EF166" s="432"/>
      <c r="EG166" s="432"/>
      <c r="EH166" s="432"/>
      <c r="EI166" s="432"/>
      <c r="EJ166" s="432"/>
      <c r="EK166" s="432"/>
      <c r="EL166" s="432"/>
      <c r="EM166" s="432"/>
      <c r="EN166" s="432"/>
      <c r="EO166" s="432"/>
      <c r="EP166" s="432"/>
      <c r="EQ166" s="432"/>
      <c r="ER166" s="432"/>
      <c r="ES166" s="432"/>
      <c r="ET166" s="432"/>
      <c r="EU166" s="432"/>
      <c r="EV166" s="432"/>
      <c r="EW166" s="432"/>
      <c r="EX166" s="432"/>
      <c r="EY166" s="432"/>
      <c r="EZ166" s="432"/>
      <c r="FE166" s="432" t="s">
        <v>132</v>
      </c>
      <c r="FF166" s="432"/>
      <c r="FG166" s="432"/>
      <c r="FH166" s="432"/>
      <c r="FI166" s="432"/>
      <c r="FJ166" s="432"/>
      <c r="FK166" s="432"/>
      <c r="FL166" s="432"/>
      <c r="FM166" s="432"/>
      <c r="FN166" s="432"/>
      <c r="FO166" s="432"/>
      <c r="FP166" s="432"/>
      <c r="FQ166" s="432"/>
      <c r="FR166" s="432"/>
      <c r="FS166" s="432"/>
      <c r="FT166" s="432"/>
      <c r="FU166" s="432"/>
      <c r="FV166" s="432"/>
      <c r="FW166" s="432"/>
      <c r="FX166" s="432"/>
      <c r="FY166" s="432"/>
      <c r="FZ166" s="432"/>
      <c r="GA166" s="432"/>
    </row>
    <row r="167" spans="26:183" ht="12" customHeight="1" x14ac:dyDescent="0.2">
      <c r="BB167" s="432" t="s">
        <v>126</v>
      </c>
      <c r="BC167" s="432"/>
      <c r="BD167" s="432"/>
      <c r="BE167" s="433">
        <f>200*28</f>
        <v>5600</v>
      </c>
      <c r="BF167" s="433"/>
      <c r="BG167" s="433"/>
      <c r="BH167" s="433"/>
      <c r="BI167" s="433"/>
      <c r="BJ167" s="228" t="s">
        <v>127</v>
      </c>
      <c r="BK167" s="228"/>
      <c r="BL167" s="228"/>
      <c r="BM167" s="228"/>
      <c r="BN167" s="228"/>
      <c r="BO167" s="228"/>
      <c r="BP167" s="228"/>
      <c r="BQ167" s="228"/>
      <c r="CB167" s="432"/>
      <c r="CC167" s="432"/>
      <c r="CD167" s="432"/>
      <c r="CE167" s="433"/>
      <c r="CF167" s="433"/>
      <c r="CG167" s="433"/>
      <c r="CH167" s="433"/>
      <c r="CI167" s="433"/>
      <c r="CJ167" s="220"/>
      <c r="CK167" s="220"/>
      <c r="CL167" s="220"/>
      <c r="CM167" s="220"/>
      <c r="CN167" s="220"/>
      <c r="CO167" s="220"/>
      <c r="CP167" s="220"/>
      <c r="CQ167" s="220"/>
      <c r="DD167" s="432" t="s">
        <v>126</v>
      </c>
      <c r="DE167" s="432"/>
      <c r="DF167" s="432"/>
      <c r="DG167" s="433">
        <f>150*48</f>
        <v>7200</v>
      </c>
      <c r="DH167" s="433"/>
      <c r="DI167" s="433"/>
      <c r="DJ167" s="433"/>
      <c r="DK167" s="433"/>
      <c r="DL167" s="220" t="s">
        <v>127</v>
      </c>
      <c r="DM167" s="220"/>
      <c r="DN167" s="220"/>
      <c r="DO167" s="220"/>
      <c r="DP167" s="220"/>
      <c r="DQ167" s="220"/>
      <c r="DR167" s="220"/>
      <c r="DS167" s="220"/>
      <c r="ED167" s="432" t="s">
        <v>126</v>
      </c>
      <c r="EE167" s="432"/>
      <c r="EF167" s="432"/>
      <c r="EG167" s="433">
        <f>150*46</f>
        <v>6900</v>
      </c>
      <c r="EH167" s="433"/>
      <c r="EI167" s="433"/>
      <c r="EJ167" s="433"/>
      <c r="EK167" s="433"/>
      <c r="EL167" s="220" t="s">
        <v>127</v>
      </c>
      <c r="EM167" s="220"/>
      <c r="EN167" s="220"/>
      <c r="EO167" s="220"/>
      <c r="EP167" s="220"/>
      <c r="EQ167" s="220"/>
      <c r="ER167" s="220"/>
      <c r="ES167" s="220"/>
      <c r="FE167" s="432" t="s">
        <v>126</v>
      </c>
      <c r="FF167" s="432"/>
      <c r="FG167" s="432"/>
      <c r="FH167" s="433">
        <f>100*111</f>
        <v>11100</v>
      </c>
      <c r="FI167" s="433"/>
      <c r="FJ167" s="433"/>
      <c r="FK167" s="433"/>
      <c r="FL167" s="433"/>
      <c r="FM167" s="220" t="s">
        <v>127</v>
      </c>
      <c r="FN167" s="220"/>
      <c r="FO167" s="220"/>
      <c r="FP167" s="220"/>
      <c r="FQ167" s="220"/>
      <c r="FR167" s="220"/>
      <c r="FS167" s="220"/>
      <c r="FT167" s="220"/>
    </row>
    <row r="168" spans="26:183" ht="12" customHeight="1" x14ac:dyDescent="0.2">
      <c r="BB168" s="434">
        <v>0.6</v>
      </c>
      <c r="BC168" s="434"/>
      <c r="BD168" s="434"/>
      <c r="BE168" s="216">
        <f>BE167*BB168</f>
        <v>3360</v>
      </c>
      <c r="BF168" s="432" t="s">
        <v>128</v>
      </c>
      <c r="BG168" s="432"/>
      <c r="BH168" s="432"/>
      <c r="BI168" s="432"/>
      <c r="BJ168" s="432"/>
      <c r="BK168" s="432" t="s">
        <v>129</v>
      </c>
      <c r="BL168" s="432"/>
      <c r="BM168" s="432"/>
      <c r="BN168" s="432"/>
      <c r="BO168" s="432"/>
      <c r="BP168" s="432"/>
      <c r="BQ168" s="432"/>
      <c r="CB168" s="434"/>
      <c r="CC168" s="434"/>
      <c r="CD168" s="434"/>
      <c r="CE168" s="216"/>
      <c r="CF168" s="432"/>
      <c r="CG168" s="432"/>
      <c r="CH168" s="432"/>
      <c r="CI168" s="432"/>
      <c r="CJ168" s="432"/>
      <c r="CK168" s="432"/>
      <c r="CL168" s="432"/>
      <c r="CM168" s="432"/>
      <c r="CN168" s="432"/>
      <c r="CO168" s="432"/>
      <c r="CP168" s="432"/>
      <c r="CQ168" s="432"/>
      <c r="DD168" s="434">
        <v>0.6</v>
      </c>
      <c r="DE168" s="432"/>
      <c r="DF168" s="432"/>
      <c r="DG168" s="216">
        <f>DG167*DD168</f>
        <v>4320</v>
      </c>
      <c r="DH168" s="432" t="s">
        <v>128</v>
      </c>
      <c r="DI168" s="432"/>
      <c r="DJ168" s="432"/>
      <c r="DK168" s="432"/>
      <c r="DL168" s="432"/>
      <c r="DM168" s="432" t="s">
        <v>129</v>
      </c>
      <c r="DN168" s="432"/>
      <c r="DO168" s="432"/>
      <c r="DP168" s="432"/>
      <c r="DQ168" s="432"/>
      <c r="DR168" s="432"/>
      <c r="DS168" s="432"/>
      <c r="ED168" s="434">
        <v>0.6</v>
      </c>
      <c r="EE168" s="432"/>
      <c r="EF168" s="432"/>
      <c r="EG168" s="216">
        <f>EG167*ED168</f>
        <v>4140</v>
      </c>
      <c r="EH168" s="432" t="s">
        <v>128</v>
      </c>
      <c r="EI168" s="432"/>
      <c r="EJ168" s="432"/>
      <c r="EK168" s="432"/>
      <c r="EL168" s="432"/>
      <c r="EM168" s="432" t="s">
        <v>129</v>
      </c>
      <c r="EN168" s="432"/>
      <c r="EO168" s="432"/>
      <c r="EP168" s="432"/>
      <c r="EQ168" s="432"/>
      <c r="ER168" s="432"/>
      <c r="ES168" s="432"/>
      <c r="FE168" s="434">
        <v>0.6</v>
      </c>
      <c r="FF168" s="432"/>
      <c r="FG168" s="432"/>
      <c r="FH168" s="216">
        <f>FH167*FE168</f>
        <v>6660</v>
      </c>
      <c r="FI168" s="432" t="s">
        <v>128</v>
      </c>
      <c r="FJ168" s="432"/>
      <c r="FK168" s="432"/>
      <c r="FL168" s="432"/>
      <c r="FM168" s="432"/>
      <c r="FN168" s="432" t="s">
        <v>129</v>
      </c>
      <c r="FO168" s="432"/>
      <c r="FP168" s="432"/>
      <c r="FQ168" s="432"/>
      <c r="FR168" s="432"/>
      <c r="FS168" s="432"/>
      <c r="FT168" s="432"/>
    </row>
    <row r="169" spans="26:183" ht="12" customHeight="1" x14ac:dyDescent="0.2">
      <c r="BB169" s="432">
        <v>211</v>
      </c>
      <c r="BC169" s="432"/>
      <c r="BD169" s="432"/>
      <c r="BE169" s="216">
        <f>BE168-BE170</f>
        <v>2580.6451612903224</v>
      </c>
      <c r="BF169" s="435">
        <f>BE169*0.1</f>
        <v>258.06451612903226</v>
      </c>
      <c r="BG169" s="435"/>
      <c r="BH169" s="435"/>
      <c r="BI169" s="435"/>
      <c r="BJ169" s="435"/>
      <c r="BK169" s="436">
        <f>BE169-BF169</f>
        <v>2322.5806451612902</v>
      </c>
      <c r="BL169" s="436"/>
      <c r="BM169" s="436"/>
      <c r="BN169" s="436"/>
      <c r="BO169" s="436"/>
      <c r="BP169" s="436"/>
      <c r="BQ169" s="436"/>
      <c r="CB169" s="432"/>
      <c r="CC169" s="432"/>
      <c r="CD169" s="432"/>
      <c r="CE169" s="216"/>
      <c r="CF169" s="435"/>
      <c r="CG169" s="435"/>
      <c r="CH169" s="435"/>
      <c r="CI169" s="435"/>
      <c r="CJ169" s="435"/>
      <c r="CK169" s="435"/>
      <c r="CL169" s="435"/>
      <c r="CM169" s="435"/>
      <c r="CN169" s="435"/>
      <c r="CO169" s="435"/>
      <c r="CP169" s="435"/>
      <c r="CQ169" s="435"/>
      <c r="DD169" s="432">
        <v>211</v>
      </c>
      <c r="DE169" s="432"/>
      <c r="DF169" s="432"/>
      <c r="DG169" s="216">
        <f>DG168-DG170</f>
        <v>3317.9723502304146</v>
      </c>
      <c r="DH169" s="435">
        <f>DG169*0.1</f>
        <v>331.79723502304148</v>
      </c>
      <c r="DI169" s="435"/>
      <c r="DJ169" s="435"/>
      <c r="DK169" s="435"/>
      <c r="DL169" s="435"/>
      <c r="DM169" s="435">
        <f>DG169-DH169</f>
        <v>2986.175115207373</v>
      </c>
      <c r="DN169" s="432"/>
      <c r="DO169" s="432"/>
      <c r="DP169" s="432"/>
      <c r="DQ169" s="432"/>
      <c r="DR169" s="432"/>
      <c r="DS169" s="432"/>
      <c r="ED169" s="432">
        <v>211</v>
      </c>
      <c r="EE169" s="432"/>
      <c r="EF169" s="432"/>
      <c r="EG169" s="216">
        <f>EG168-EG170</f>
        <v>3179.7235023041476</v>
      </c>
      <c r="EH169" s="435">
        <f>EG169*0.1</f>
        <v>317.9723502304148</v>
      </c>
      <c r="EI169" s="435"/>
      <c r="EJ169" s="435"/>
      <c r="EK169" s="435"/>
      <c r="EL169" s="435"/>
      <c r="EM169" s="435">
        <f>EG169-EH169</f>
        <v>2861.7511520737326</v>
      </c>
      <c r="EN169" s="432"/>
      <c r="EO169" s="432"/>
      <c r="EP169" s="432"/>
      <c r="EQ169" s="432"/>
      <c r="ER169" s="432"/>
      <c r="ES169" s="432"/>
      <c r="FE169" s="432">
        <v>211</v>
      </c>
      <c r="FF169" s="432"/>
      <c r="FG169" s="432"/>
      <c r="FH169" s="216">
        <f>FH168-FH170</f>
        <v>5115.2073732718891</v>
      </c>
      <c r="FI169" s="435">
        <f>FH169*0.1</f>
        <v>511.52073732718895</v>
      </c>
      <c r="FJ169" s="435"/>
      <c r="FK169" s="435"/>
      <c r="FL169" s="435"/>
      <c r="FM169" s="435"/>
      <c r="FN169" s="435">
        <f>FH169-FI169</f>
        <v>4603.6866359447004</v>
      </c>
      <c r="FO169" s="432"/>
      <c r="FP169" s="432"/>
      <c r="FQ169" s="432"/>
      <c r="FR169" s="432"/>
      <c r="FS169" s="432"/>
      <c r="FT169" s="432"/>
    </row>
    <row r="170" spans="26:183" ht="12" customHeight="1" x14ac:dyDescent="0.2">
      <c r="BB170" s="432">
        <v>213</v>
      </c>
      <c r="BC170" s="432"/>
      <c r="BD170" s="432"/>
      <c r="BE170" s="216">
        <f>BE168*30.2/130.2</f>
        <v>779.35483870967744</v>
      </c>
      <c r="BF170" s="435">
        <f>BF169*30.2%</f>
        <v>77.935483870967744</v>
      </c>
      <c r="BG170" s="435"/>
      <c r="BH170" s="435"/>
      <c r="BI170" s="435"/>
      <c r="BJ170" s="435"/>
      <c r="BK170" s="435">
        <f>BK169*30.2%</f>
        <v>701.41935483870964</v>
      </c>
      <c r="BL170" s="435"/>
      <c r="BM170" s="435"/>
      <c r="BN170" s="435"/>
      <c r="BO170" s="435"/>
      <c r="BP170" s="435"/>
      <c r="BQ170" s="435"/>
      <c r="CB170" s="432"/>
      <c r="CC170" s="432"/>
      <c r="CD170" s="432"/>
      <c r="CE170" s="216"/>
      <c r="CF170" s="435"/>
      <c r="CG170" s="435"/>
      <c r="CH170" s="435"/>
      <c r="CI170" s="435"/>
      <c r="CJ170" s="435"/>
      <c r="CK170" s="435"/>
      <c r="CL170" s="435"/>
      <c r="CM170" s="435"/>
      <c r="CN170" s="435"/>
      <c r="CO170" s="435"/>
      <c r="CP170" s="435"/>
      <c r="CQ170" s="435"/>
      <c r="DD170" s="432">
        <v>213</v>
      </c>
      <c r="DE170" s="432"/>
      <c r="DF170" s="432"/>
      <c r="DG170" s="216">
        <f>DG168*30.2/130.2</f>
        <v>1002.0276497695853</v>
      </c>
      <c r="DH170" s="435">
        <f>DH169*30.2%</f>
        <v>100.20276497695852</v>
      </c>
      <c r="DI170" s="435"/>
      <c r="DJ170" s="435"/>
      <c r="DK170" s="435"/>
      <c r="DL170" s="435"/>
      <c r="DM170" s="435">
        <f>DM169*30.2%</f>
        <v>901.82488479262656</v>
      </c>
      <c r="DN170" s="435"/>
      <c r="DO170" s="435"/>
      <c r="DP170" s="435"/>
      <c r="DQ170" s="435"/>
      <c r="DR170" s="435"/>
      <c r="DS170" s="435"/>
      <c r="ED170" s="432">
        <v>213</v>
      </c>
      <c r="EE170" s="432"/>
      <c r="EF170" s="432"/>
      <c r="EG170" s="216">
        <f>EG168*30.2/130.2</f>
        <v>960.27649769585264</v>
      </c>
      <c r="EH170" s="435">
        <f>EH169*30.2%</f>
        <v>96.027649769585267</v>
      </c>
      <c r="EI170" s="435"/>
      <c r="EJ170" s="435"/>
      <c r="EK170" s="435"/>
      <c r="EL170" s="435"/>
      <c r="EM170" s="435">
        <f>EM169*30.2%</f>
        <v>864.24884792626722</v>
      </c>
      <c r="EN170" s="435"/>
      <c r="EO170" s="435"/>
      <c r="EP170" s="435"/>
      <c r="EQ170" s="435"/>
      <c r="ER170" s="435"/>
      <c r="ES170" s="435"/>
      <c r="FE170" s="432">
        <v>213</v>
      </c>
      <c r="FF170" s="432"/>
      <c r="FG170" s="432"/>
      <c r="FH170" s="216">
        <f>FH168*30.2/130.2</f>
        <v>1544.7926267281107</v>
      </c>
      <c r="FI170" s="435">
        <f>FI169*30.2%</f>
        <v>154.47926267281105</v>
      </c>
      <c r="FJ170" s="435"/>
      <c r="FK170" s="435"/>
      <c r="FL170" s="435"/>
      <c r="FM170" s="435"/>
      <c r="FN170" s="435">
        <f>FN169*30.2%</f>
        <v>1390.3133640552994</v>
      </c>
      <c r="FO170" s="435"/>
      <c r="FP170" s="435"/>
      <c r="FQ170" s="435"/>
      <c r="FR170" s="435"/>
      <c r="FS170" s="435"/>
      <c r="FT170" s="435"/>
    </row>
    <row r="171" spans="26:183" ht="16.5" customHeight="1" x14ac:dyDescent="0.2">
      <c r="BB171" s="432"/>
      <c r="BC171" s="432"/>
      <c r="BD171" s="432"/>
      <c r="BE171" s="432"/>
      <c r="BF171" s="432"/>
      <c r="BG171" s="432"/>
      <c r="BH171" s="432"/>
      <c r="BI171" s="432"/>
      <c r="BJ171" s="432"/>
      <c r="BK171" s="432"/>
      <c r="BL171" s="432"/>
      <c r="BM171" s="432"/>
      <c r="BN171" s="432"/>
      <c r="BO171" s="432"/>
      <c r="BP171" s="432"/>
      <c r="BQ171" s="432"/>
      <c r="BR171" s="432"/>
      <c r="BS171" s="432"/>
      <c r="BT171" s="432"/>
      <c r="BU171" s="432"/>
      <c r="BV171" s="432"/>
      <c r="BW171" s="432"/>
      <c r="BX171" s="432"/>
      <c r="DD171" s="432" t="s">
        <v>166</v>
      </c>
      <c r="DE171" s="432"/>
      <c r="DF171" s="432"/>
      <c r="DG171" s="432"/>
      <c r="DH171" s="432"/>
      <c r="DI171" s="432"/>
      <c r="DJ171" s="432"/>
      <c r="DK171" s="432"/>
      <c r="DL171" s="432"/>
      <c r="DM171" s="432"/>
      <c r="DN171" s="432"/>
      <c r="DO171" s="432"/>
      <c r="DP171" s="432"/>
      <c r="DQ171" s="432"/>
      <c r="DR171" s="432"/>
      <c r="DS171" s="432"/>
      <c r="DT171" s="432"/>
      <c r="DU171" s="432"/>
      <c r="DV171" s="432"/>
      <c r="DW171" s="432"/>
      <c r="DX171" s="432"/>
      <c r="DY171" s="432"/>
      <c r="DZ171" s="432"/>
      <c r="ED171" s="432" t="s">
        <v>165</v>
      </c>
      <c r="EE171" s="432"/>
      <c r="EF171" s="432"/>
      <c r="EG171" s="432"/>
      <c r="EH171" s="432"/>
      <c r="EI171" s="432"/>
      <c r="EJ171" s="432"/>
      <c r="EK171" s="432"/>
      <c r="EL171" s="432"/>
      <c r="EM171" s="432"/>
      <c r="EN171" s="432"/>
      <c r="EO171" s="432"/>
      <c r="EP171" s="432"/>
      <c r="EQ171" s="432"/>
      <c r="ER171" s="432"/>
      <c r="ES171" s="432"/>
      <c r="ET171" s="432"/>
      <c r="EU171" s="432"/>
      <c r="EV171" s="432"/>
      <c r="EW171" s="432"/>
      <c r="EX171" s="432"/>
      <c r="EY171" s="432"/>
      <c r="EZ171" s="432"/>
    </row>
    <row r="172" spans="26:183" ht="16.5" customHeight="1" x14ac:dyDescent="0.2">
      <c r="BB172" s="432" t="s">
        <v>369</v>
      </c>
      <c r="BC172" s="432"/>
      <c r="BD172" s="432"/>
      <c r="BE172" s="432"/>
      <c r="BF172" s="432"/>
      <c r="BG172" s="432"/>
      <c r="BH172" s="432"/>
      <c r="BI172" s="432"/>
      <c r="BJ172" s="432"/>
      <c r="BK172" s="432"/>
      <c r="BL172" s="432"/>
      <c r="BM172" s="432"/>
      <c r="BN172" s="432"/>
      <c r="BO172" s="432"/>
      <c r="BP172" s="432"/>
      <c r="BQ172" s="432"/>
      <c r="BR172" s="432"/>
      <c r="BS172" s="432"/>
      <c r="BT172" s="432"/>
      <c r="BU172" s="432"/>
      <c r="BV172" s="432"/>
      <c r="BW172" s="432"/>
      <c r="BX172" s="432"/>
      <c r="DD172" s="432" t="s">
        <v>126</v>
      </c>
      <c r="DE172" s="432"/>
      <c r="DF172" s="432"/>
      <c r="DG172" s="433">
        <f>150*9</f>
        <v>1350</v>
      </c>
      <c r="DH172" s="433"/>
      <c r="DI172" s="433"/>
      <c r="DJ172" s="433"/>
      <c r="DK172" s="433"/>
      <c r="DL172" s="220" t="s">
        <v>127</v>
      </c>
      <c r="DM172" s="220"/>
      <c r="DN172" s="220"/>
      <c r="DO172" s="220"/>
      <c r="DP172" s="220"/>
      <c r="DQ172" s="220"/>
      <c r="DR172" s="220"/>
      <c r="DS172" s="220"/>
      <c r="ED172" s="432" t="s">
        <v>126</v>
      </c>
      <c r="EE172" s="432"/>
      <c r="EF172" s="432"/>
      <c r="EG172" s="433">
        <f>150*49</f>
        <v>7350</v>
      </c>
      <c r="EH172" s="433"/>
      <c r="EI172" s="433"/>
      <c r="EJ172" s="433"/>
      <c r="EK172" s="433"/>
      <c r="EL172" s="220" t="s">
        <v>127</v>
      </c>
      <c r="EM172" s="220"/>
      <c r="EN172" s="220"/>
      <c r="EO172" s="220"/>
      <c r="EP172" s="220"/>
      <c r="EQ172" s="220"/>
      <c r="ER172" s="220"/>
      <c r="ES172" s="220"/>
    </row>
    <row r="173" spans="26:183" ht="16.5" customHeight="1" x14ac:dyDescent="0.2">
      <c r="BB173" s="432" t="s">
        <v>126</v>
      </c>
      <c r="BC173" s="432"/>
      <c r="BD173" s="432"/>
      <c r="BE173" s="433">
        <f>200*24</f>
        <v>4800</v>
      </c>
      <c r="BF173" s="433"/>
      <c r="BG173" s="433"/>
      <c r="BH173" s="433"/>
      <c r="BI173" s="433"/>
      <c r="BJ173" s="232" t="s">
        <v>127</v>
      </c>
      <c r="BK173" s="232"/>
      <c r="BL173" s="232"/>
      <c r="BM173" s="232"/>
      <c r="BN173" s="232"/>
      <c r="BO173" s="232"/>
      <c r="BP173" s="232"/>
      <c r="BQ173" s="232"/>
      <c r="DD173" s="434">
        <v>0.6</v>
      </c>
      <c r="DE173" s="432"/>
      <c r="DF173" s="432"/>
      <c r="DG173" s="216">
        <f>DG172*DD173</f>
        <v>810</v>
      </c>
      <c r="DH173" s="432" t="s">
        <v>128</v>
      </c>
      <c r="DI173" s="432"/>
      <c r="DJ173" s="432"/>
      <c r="DK173" s="432"/>
      <c r="DL173" s="432"/>
      <c r="DM173" s="432" t="s">
        <v>129</v>
      </c>
      <c r="DN173" s="432"/>
      <c r="DO173" s="432"/>
      <c r="DP173" s="432"/>
      <c r="DQ173" s="432"/>
      <c r="DR173" s="432"/>
      <c r="DS173" s="432"/>
      <c r="ED173" s="434">
        <v>0.6</v>
      </c>
      <c r="EE173" s="432"/>
      <c r="EF173" s="432"/>
      <c r="EG173" s="216">
        <f>EG172*ED173</f>
        <v>4410</v>
      </c>
      <c r="EH173" s="432" t="s">
        <v>128</v>
      </c>
      <c r="EI173" s="432"/>
      <c r="EJ173" s="432"/>
      <c r="EK173" s="432"/>
      <c r="EL173" s="432"/>
      <c r="EM173" s="432" t="s">
        <v>129</v>
      </c>
      <c r="EN173" s="432"/>
      <c r="EO173" s="432"/>
      <c r="EP173" s="432"/>
      <c r="EQ173" s="432"/>
      <c r="ER173" s="432"/>
      <c r="ES173" s="432"/>
    </row>
    <row r="174" spans="26:183" ht="16.5" customHeight="1" x14ac:dyDescent="0.2">
      <c r="BB174" s="434">
        <v>0.6</v>
      </c>
      <c r="BC174" s="434"/>
      <c r="BD174" s="434"/>
      <c r="BE174" s="216">
        <f>BE173*BB174</f>
        <v>2880</v>
      </c>
      <c r="BF174" s="432" t="s">
        <v>128</v>
      </c>
      <c r="BG174" s="432"/>
      <c r="BH174" s="432"/>
      <c r="BI174" s="432"/>
      <c r="BJ174" s="432"/>
      <c r="BK174" s="432" t="s">
        <v>129</v>
      </c>
      <c r="BL174" s="432"/>
      <c r="BM174" s="432"/>
      <c r="BN174" s="432"/>
      <c r="BO174" s="432"/>
      <c r="BP174" s="432"/>
      <c r="BQ174" s="432"/>
      <c r="CB174" s="444" t="s">
        <v>368</v>
      </c>
      <c r="CC174" s="444"/>
      <c r="CD174" s="444"/>
      <c r="CE174" s="444"/>
      <c r="CF174" s="444"/>
      <c r="CG174" s="444"/>
      <c r="CJ174" s="444" t="s">
        <v>366</v>
      </c>
      <c r="CK174" s="444"/>
      <c r="CL174" s="444"/>
      <c r="CM174" s="444"/>
      <c r="CN174" s="444"/>
      <c r="CO174" s="444"/>
      <c r="CP174" s="444"/>
      <c r="DD174" s="432">
        <v>211</v>
      </c>
      <c r="DE174" s="432"/>
      <c r="DF174" s="432"/>
      <c r="DG174" s="216">
        <f>DG173-DG175</f>
        <v>622.11981566820282</v>
      </c>
      <c r="DH174" s="435">
        <f>DG174*0.1</f>
        <v>62.211981566820285</v>
      </c>
      <c r="DI174" s="435"/>
      <c r="DJ174" s="435"/>
      <c r="DK174" s="435"/>
      <c r="DL174" s="435"/>
      <c r="DM174" s="435">
        <f>DG174-DH174</f>
        <v>559.90783410138249</v>
      </c>
      <c r="DN174" s="432"/>
      <c r="DO174" s="432"/>
      <c r="DP174" s="432"/>
      <c r="DQ174" s="432"/>
      <c r="DR174" s="432"/>
      <c r="DS174" s="432"/>
      <c r="ED174" s="432">
        <v>211</v>
      </c>
      <c r="EE174" s="432"/>
      <c r="EF174" s="432"/>
      <c r="EG174" s="216">
        <f>EG173-EG175</f>
        <v>3387.0967741935483</v>
      </c>
      <c r="EH174" s="435">
        <f>EG174*0.1</f>
        <v>338.70967741935488</v>
      </c>
      <c r="EI174" s="435"/>
      <c r="EJ174" s="435"/>
      <c r="EK174" s="435"/>
      <c r="EL174" s="435"/>
      <c r="EM174" s="435">
        <f>EG174-EH174</f>
        <v>3048.3870967741932</v>
      </c>
      <c r="EN174" s="432"/>
      <c r="EO174" s="432"/>
      <c r="EP174" s="432"/>
      <c r="EQ174" s="432"/>
      <c r="ER174" s="432"/>
      <c r="ES174" s="432"/>
    </row>
    <row r="175" spans="26:183" ht="16.5" customHeight="1" x14ac:dyDescent="0.2">
      <c r="BB175" s="432">
        <v>211</v>
      </c>
      <c r="BC175" s="432"/>
      <c r="BD175" s="432"/>
      <c r="BE175" s="216">
        <f>BE174-BE176</f>
        <v>2211.9815668202764</v>
      </c>
      <c r="BF175" s="435">
        <f>BE175*0.2</f>
        <v>442.39631336405529</v>
      </c>
      <c r="BG175" s="435"/>
      <c r="BH175" s="435"/>
      <c r="BI175" s="435"/>
      <c r="BJ175" s="435"/>
      <c r="BK175" s="436">
        <f>BE175-BF175</f>
        <v>1769.5852534562212</v>
      </c>
      <c r="BL175" s="436"/>
      <c r="BM175" s="436"/>
      <c r="BN175" s="436"/>
      <c r="BO175" s="436"/>
      <c r="BP175" s="436"/>
      <c r="BQ175" s="436"/>
      <c r="CB175" s="437">
        <f>BF175*15/20</f>
        <v>331.79723502304148</v>
      </c>
      <c r="CC175" s="437"/>
      <c r="CD175" s="437"/>
      <c r="CE175" s="437"/>
      <c r="CF175" s="437"/>
      <c r="CG175" s="437"/>
      <c r="CJ175" s="437">
        <f>BF175*5/20</f>
        <v>110.59907834101382</v>
      </c>
      <c r="CK175" s="437"/>
      <c r="CL175" s="437"/>
      <c r="CM175" s="437"/>
      <c r="CN175" s="437"/>
      <c r="CO175" s="437"/>
      <c r="CP175" s="437"/>
      <c r="DD175" s="432">
        <v>213</v>
      </c>
      <c r="DE175" s="432"/>
      <c r="DF175" s="432"/>
      <c r="DG175" s="216">
        <f>DG173*30.2/130.2</f>
        <v>187.88018433179724</v>
      </c>
      <c r="DH175" s="435">
        <f>DH174*30.2%</f>
        <v>18.788018433179726</v>
      </c>
      <c r="DI175" s="435"/>
      <c r="DJ175" s="435"/>
      <c r="DK175" s="435"/>
      <c r="DL175" s="435"/>
      <c r="DM175" s="435">
        <f>DM174*30.2%</f>
        <v>169.09216589861751</v>
      </c>
      <c r="DN175" s="435"/>
      <c r="DO175" s="435"/>
      <c r="DP175" s="435"/>
      <c r="DQ175" s="435"/>
      <c r="DR175" s="435"/>
      <c r="DS175" s="435"/>
      <c r="ED175" s="432">
        <v>213</v>
      </c>
      <c r="EE175" s="432"/>
      <c r="EF175" s="432"/>
      <c r="EG175" s="216">
        <f>EG173*30.2/130.2</f>
        <v>1022.9032258064517</v>
      </c>
      <c r="EH175" s="435">
        <f>EH174*30.2%</f>
        <v>102.29032258064517</v>
      </c>
      <c r="EI175" s="435"/>
      <c r="EJ175" s="435"/>
      <c r="EK175" s="435"/>
      <c r="EL175" s="435"/>
      <c r="EM175" s="435">
        <f>EM174*30.2%</f>
        <v>920.61290322580635</v>
      </c>
      <c r="EN175" s="435"/>
      <c r="EO175" s="435"/>
      <c r="EP175" s="435"/>
      <c r="EQ175" s="435"/>
      <c r="ER175" s="435"/>
      <c r="ES175" s="435"/>
    </row>
    <row r="176" spans="26:183" ht="12" x14ac:dyDescent="0.2">
      <c r="BB176" s="432">
        <v>213</v>
      </c>
      <c r="BC176" s="432"/>
      <c r="BD176" s="432"/>
      <c r="BE176" s="216">
        <f>BE174*30.2/130.2</f>
        <v>668.01843317972362</v>
      </c>
      <c r="BF176" s="435">
        <f>BF175*30.2%</f>
        <v>133.60368663594468</v>
      </c>
      <c r="BG176" s="435"/>
      <c r="BH176" s="435"/>
      <c r="BI176" s="435"/>
      <c r="BJ176" s="435"/>
      <c r="BK176" s="435">
        <f>BK175*30.2%</f>
        <v>534.41474654377873</v>
      </c>
      <c r="BL176" s="435"/>
      <c r="BM176" s="435"/>
      <c r="BN176" s="435"/>
      <c r="BO176" s="435"/>
      <c r="BP176" s="435"/>
      <c r="BQ176" s="435"/>
    </row>
    <row r="177" spans="54:156" ht="12" x14ac:dyDescent="0.2"/>
    <row r="179" spans="54:156" ht="15.75" customHeight="1" x14ac:dyDescent="0.2">
      <c r="BB179" s="432" t="s">
        <v>394</v>
      </c>
      <c r="BC179" s="432"/>
      <c r="BD179" s="432"/>
      <c r="BE179" s="432"/>
      <c r="BF179" s="432"/>
      <c r="BG179" s="432"/>
      <c r="BH179" s="432"/>
      <c r="BI179" s="432"/>
      <c r="BJ179" s="432"/>
      <c r="BK179" s="432"/>
      <c r="BL179" s="432"/>
      <c r="BM179" s="432"/>
      <c r="BN179" s="432"/>
      <c r="BO179" s="432"/>
      <c r="BP179" s="432"/>
      <c r="BQ179" s="432"/>
      <c r="BR179" s="432"/>
      <c r="BS179" s="432"/>
      <c r="BT179" s="432"/>
      <c r="BU179" s="432"/>
      <c r="BV179" s="432"/>
      <c r="BW179" s="432"/>
      <c r="BX179" s="432"/>
      <c r="DD179" s="432" t="s">
        <v>167</v>
      </c>
      <c r="DE179" s="432"/>
      <c r="DF179" s="432"/>
      <c r="DG179" s="432"/>
      <c r="DH179" s="432"/>
      <c r="DI179" s="432"/>
      <c r="DJ179" s="432"/>
      <c r="DK179" s="432"/>
      <c r="DL179" s="432"/>
      <c r="DM179" s="432"/>
      <c r="DN179" s="432"/>
      <c r="DO179" s="432"/>
      <c r="DP179" s="432"/>
      <c r="DQ179" s="432"/>
      <c r="DR179" s="432"/>
      <c r="DS179" s="432"/>
      <c r="DT179" s="432"/>
      <c r="DU179" s="432"/>
      <c r="DV179" s="432"/>
      <c r="DW179" s="432"/>
      <c r="DX179" s="432"/>
      <c r="DY179" s="432"/>
      <c r="DZ179" s="432"/>
      <c r="ED179" s="432" t="s">
        <v>168</v>
      </c>
      <c r="EE179" s="432"/>
      <c r="EF179" s="432"/>
      <c r="EG179" s="432"/>
      <c r="EH179" s="432"/>
      <c r="EI179" s="432"/>
      <c r="EJ179" s="432"/>
      <c r="EK179" s="432"/>
      <c r="EL179" s="432"/>
      <c r="EM179" s="432"/>
      <c r="EN179" s="432"/>
      <c r="EO179" s="432"/>
      <c r="EP179" s="432"/>
      <c r="EQ179" s="432"/>
      <c r="ER179" s="432"/>
      <c r="ES179" s="432"/>
      <c r="ET179" s="432"/>
      <c r="EU179" s="432"/>
      <c r="EV179" s="432"/>
      <c r="EW179" s="432"/>
      <c r="EX179" s="432"/>
      <c r="EY179" s="432"/>
      <c r="EZ179" s="432"/>
    </row>
    <row r="180" spans="54:156" ht="17.25" customHeight="1" x14ac:dyDescent="0.2">
      <c r="BB180" s="432" t="s">
        <v>126</v>
      </c>
      <c r="BC180" s="432"/>
      <c r="BD180" s="432"/>
      <c r="BE180" s="433">
        <f>200*47</f>
        <v>9400</v>
      </c>
      <c r="BF180" s="433"/>
      <c r="BG180" s="433"/>
      <c r="BH180" s="433"/>
      <c r="BI180" s="433"/>
      <c r="BJ180" s="244" t="s">
        <v>127</v>
      </c>
      <c r="BK180" s="244"/>
      <c r="BL180" s="244"/>
      <c r="BM180" s="244"/>
      <c r="BN180" s="244"/>
      <c r="BO180" s="244"/>
      <c r="BP180" s="244"/>
      <c r="BQ180" s="244"/>
      <c r="DD180" s="432" t="s">
        <v>126</v>
      </c>
      <c r="DE180" s="432"/>
      <c r="DF180" s="432"/>
      <c r="DG180" s="433">
        <f>150*53</f>
        <v>7950</v>
      </c>
      <c r="DH180" s="433"/>
      <c r="DI180" s="433"/>
      <c r="DJ180" s="433"/>
      <c r="DK180" s="433"/>
      <c r="DL180" s="220" t="s">
        <v>127</v>
      </c>
      <c r="DM180" s="220"/>
      <c r="DN180" s="220"/>
      <c r="DO180" s="220"/>
      <c r="DP180" s="220"/>
      <c r="DQ180" s="220"/>
      <c r="DR180" s="220"/>
      <c r="DS180" s="220"/>
      <c r="ED180" s="432" t="s">
        <v>126</v>
      </c>
      <c r="EE180" s="432"/>
      <c r="EF180" s="432"/>
      <c r="EG180" s="433">
        <f>150*34</f>
        <v>5100</v>
      </c>
      <c r="EH180" s="433"/>
      <c r="EI180" s="433"/>
      <c r="EJ180" s="433"/>
      <c r="EK180" s="433"/>
      <c r="EL180" s="220" t="s">
        <v>127</v>
      </c>
      <c r="EM180" s="220"/>
      <c r="EN180" s="220"/>
      <c r="EO180" s="220"/>
      <c r="EP180" s="220"/>
      <c r="EQ180" s="220"/>
      <c r="ER180" s="220"/>
      <c r="ES180" s="220"/>
    </row>
    <row r="181" spans="54:156" ht="16.5" customHeight="1" x14ac:dyDescent="0.2">
      <c r="BB181" s="434">
        <v>0.6</v>
      </c>
      <c r="BC181" s="434"/>
      <c r="BD181" s="434"/>
      <c r="BE181" s="216">
        <f>BE180*BB181</f>
        <v>5640</v>
      </c>
      <c r="BF181" s="432" t="s">
        <v>128</v>
      </c>
      <c r="BG181" s="432"/>
      <c r="BH181" s="432"/>
      <c r="BI181" s="432"/>
      <c r="BJ181" s="432"/>
      <c r="BK181" s="432" t="s">
        <v>129</v>
      </c>
      <c r="BL181" s="432"/>
      <c r="BM181" s="432"/>
      <c r="BN181" s="432"/>
      <c r="BO181" s="432"/>
      <c r="BP181" s="432"/>
      <c r="BQ181" s="432"/>
      <c r="CB181" s="444" t="s">
        <v>368</v>
      </c>
      <c r="CC181" s="444"/>
      <c r="CD181" s="444"/>
      <c r="CE181" s="444"/>
      <c r="CF181" s="444"/>
      <c r="CG181" s="444"/>
      <c r="CJ181" s="444" t="s">
        <v>366</v>
      </c>
      <c r="CK181" s="444"/>
      <c r="CL181" s="444"/>
      <c r="CM181" s="444"/>
      <c r="CN181" s="444"/>
      <c r="CO181" s="444"/>
      <c r="CP181" s="444"/>
      <c r="DD181" s="434">
        <v>0.6</v>
      </c>
      <c r="DE181" s="432"/>
      <c r="DF181" s="432"/>
      <c r="DG181" s="216">
        <f>DG180*DD181</f>
        <v>4770</v>
      </c>
      <c r="DH181" s="432" t="s">
        <v>128</v>
      </c>
      <c r="DI181" s="432"/>
      <c r="DJ181" s="432"/>
      <c r="DK181" s="432"/>
      <c r="DL181" s="432"/>
      <c r="DM181" s="432" t="s">
        <v>129</v>
      </c>
      <c r="DN181" s="432"/>
      <c r="DO181" s="432"/>
      <c r="DP181" s="432"/>
      <c r="DQ181" s="432"/>
      <c r="DR181" s="432"/>
      <c r="DS181" s="432"/>
      <c r="ED181" s="434">
        <v>0.6</v>
      </c>
      <c r="EE181" s="432"/>
      <c r="EF181" s="432"/>
      <c r="EG181" s="216">
        <f>EG180*ED181</f>
        <v>3060</v>
      </c>
      <c r="EH181" s="432" t="s">
        <v>128</v>
      </c>
      <c r="EI181" s="432"/>
      <c r="EJ181" s="432"/>
      <c r="EK181" s="432"/>
      <c r="EL181" s="432"/>
      <c r="EM181" s="432" t="s">
        <v>129</v>
      </c>
      <c r="EN181" s="432"/>
      <c r="EO181" s="432"/>
      <c r="EP181" s="432"/>
      <c r="EQ181" s="432"/>
      <c r="ER181" s="432"/>
      <c r="ES181" s="432"/>
    </row>
    <row r="182" spans="54:156" ht="15" customHeight="1" x14ac:dyDescent="0.2">
      <c r="BB182" s="432">
        <v>211</v>
      </c>
      <c r="BC182" s="432"/>
      <c r="BD182" s="432"/>
      <c r="BE182" s="216">
        <f>BE181-BE183</f>
        <v>4331.7972350230411</v>
      </c>
      <c r="BF182" s="435">
        <f>BE182*0.2</f>
        <v>866.35944700460823</v>
      </c>
      <c r="BG182" s="435"/>
      <c r="BH182" s="435"/>
      <c r="BI182" s="435"/>
      <c r="BJ182" s="435"/>
      <c r="BK182" s="436">
        <f>BE182-BF182</f>
        <v>3465.4377880184329</v>
      </c>
      <c r="BL182" s="436"/>
      <c r="BM182" s="436"/>
      <c r="BN182" s="436"/>
      <c r="BO182" s="436"/>
      <c r="BP182" s="436"/>
      <c r="BQ182" s="436"/>
      <c r="CB182" s="437">
        <f>BF182*15/20</f>
        <v>649.76958525345617</v>
      </c>
      <c r="CC182" s="437"/>
      <c r="CD182" s="437"/>
      <c r="CE182" s="437"/>
      <c r="CF182" s="437"/>
      <c r="CG182" s="437"/>
      <c r="CJ182" s="437">
        <f>BF182*5/20</f>
        <v>216.58986175115206</v>
      </c>
      <c r="CK182" s="437"/>
      <c r="CL182" s="437"/>
      <c r="CM182" s="437"/>
      <c r="CN182" s="437"/>
      <c r="CO182" s="437"/>
      <c r="CP182" s="437"/>
      <c r="DD182" s="432">
        <v>211</v>
      </c>
      <c r="DE182" s="432"/>
      <c r="DF182" s="432"/>
      <c r="DG182" s="216">
        <f>DG181-DG183</f>
        <v>3663.5944700460832</v>
      </c>
      <c r="DH182" s="435">
        <f>DG182*0.1</f>
        <v>366.35944700460834</v>
      </c>
      <c r="DI182" s="435"/>
      <c r="DJ182" s="435"/>
      <c r="DK182" s="435"/>
      <c r="DL182" s="435"/>
      <c r="DM182" s="435">
        <f>DG182-DH182</f>
        <v>3297.235023041475</v>
      </c>
      <c r="DN182" s="432"/>
      <c r="DO182" s="432"/>
      <c r="DP182" s="432"/>
      <c r="DQ182" s="432"/>
      <c r="DR182" s="432"/>
      <c r="DS182" s="432"/>
      <c r="ED182" s="432">
        <v>211</v>
      </c>
      <c r="EE182" s="432"/>
      <c r="EF182" s="432"/>
      <c r="EG182" s="216">
        <f>EG181-EG183</f>
        <v>2350.2304147465438</v>
      </c>
      <c r="EH182" s="435">
        <f>EG182*0.1</f>
        <v>235.02304147465441</v>
      </c>
      <c r="EI182" s="435"/>
      <c r="EJ182" s="435"/>
      <c r="EK182" s="435"/>
      <c r="EL182" s="435"/>
      <c r="EM182" s="435">
        <f>EG182-EH182</f>
        <v>2115.2073732718895</v>
      </c>
      <c r="EN182" s="432"/>
      <c r="EO182" s="432"/>
      <c r="EP182" s="432"/>
      <c r="EQ182" s="432"/>
      <c r="ER182" s="432"/>
      <c r="ES182" s="432"/>
    </row>
    <row r="183" spans="54:156" ht="18.75" customHeight="1" x14ac:dyDescent="0.2">
      <c r="BB183" s="432">
        <v>213</v>
      </c>
      <c r="BC183" s="432"/>
      <c r="BD183" s="432"/>
      <c r="BE183" s="216">
        <f>BE181*30.2/130.2</f>
        <v>1308.2027649769586</v>
      </c>
      <c r="BF183" s="435">
        <f>BF182*30.2%</f>
        <v>261.64055299539166</v>
      </c>
      <c r="BG183" s="435"/>
      <c r="BH183" s="435"/>
      <c r="BI183" s="435"/>
      <c r="BJ183" s="435"/>
      <c r="BK183" s="435">
        <f>BK182*30.2%</f>
        <v>1046.5622119815666</v>
      </c>
      <c r="BL183" s="435"/>
      <c r="BM183" s="435"/>
      <c r="BN183" s="435"/>
      <c r="BO183" s="435"/>
      <c r="BP183" s="435"/>
      <c r="BQ183" s="435"/>
      <c r="DD183" s="432">
        <v>213</v>
      </c>
      <c r="DE183" s="432"/>
      <c r="DF183" s="432"/>
      <c r="DG183" s="216">
        <f>DG181*30.2/130.2</f>
        <v>1106.405529953917</v>
      </c>
      <c r="DH183" s="435">
        <f>DH182*30.2%</f>
        <v>110.64055299539172</v>
      </c>
      <c r="DI183" s="435"/>
      <c r="DJ183" s="435"/>
      <c r="DK183" s="435"/>
      <c r="DL183" s="435"/>
      <c r="DM183" s="435">
        <f>DM182*30.2%</f>
        <v>995.76497695852538</v>
      </c>
      <c r="DN183" s="435"/>
      <c r="DO183" s="435"/>
      <c r="DP183" s="435"/>
      <c r="DQ183" s="435"/>
      <c r="DR183" s="435"/>
      <c r="DS183" s="435"/>
      <c r="ED183" s="432">
        <v>213</v>
      </c>
      <c r="EE183" s="432"/>
      <c r="EF183" s="432"/>
      <c r="EG183" s="216">
        <f>EG181*30.2/130.2</f>
        <v>709.76958525345628</v>
      </c>
      <c r="EH183" s="435">
        <f>EH182*30.2%</f>
        <v>70.976958525345623</v>
      </c>
      <c r="EI183" s="435"/>
      <c r="EJ183" s="435"/>
      <c r="EK183" s="435"/>
      <c r="EL183" s="435"/>
      <c r="EM183" s="435">
        <f>EM182*30.2%</f>
        <v>638.79262672811058</v>
      </c>
      <c r="EN183" s="435"/>
      <c r="EO183" s="435"/>
      <c r="EP183" s="435"/>
      <c r="EQ183" s="435"/>
      <c r="ER183" s="435"/>
      <c r="ES183" s="435"/>
    </row>
    <row r="187" spans="54:156" ht="19.5" customHeight="1" x14ac:dyDescent="0.25">
      <c r="BH187" s="253">
        <f>BF161+BF169+CJ175+CJ182</f>
        <v>686.63594470046087</v>
      </c>
      <c r="CE187" s="236"/>
      <c r="DD187" s="432" t="s">
        <v>179</v>
      </c>
      <c r="DE187" s="432"/>
      <c r="DF187" s="432"/>
      <c r="DG187" s="432"/>
      <c r="DH187" s="432"/>
      <c r="DI187" s="432"/>
      <c r="DJ187" s="432"/>
      <c r="DK187" s="432"/>
      <c r="DL187" s="432"/>
      <c r="DM187" s="432"/>
      <c r="DN187" s="432"/>
      <c r="DO187" s="432"/>
      <c r="DP187" s="432"/>
      <c r="DQ187" s="432"/>
      <c r="DR187" s="432"/>
      <c r="DS187" s="432"/>
      <c r="DT187" s="432"/>
      <c r="DU187" s="432"/>
      <c r="DV187" s="432"/>
      <c r="DW187" s="432"/>
      <c r="DX187" s="432"/>
      <c r="DY187" s="432"/>
      <c r="DZ187" s="432"/>
      <c r="ED187" s="432" t="s">
        <v>180</v>
      </c>
      <c r="EE187" s="432"/>
      <c r="EF187" s="432"/>
      <c r="EG187" s="432"/>
      <c r="EH187" s="432"/>
      <c r="EI187" s="432"/>
      <c r="EJ187" s="432"/>
      <c r="EK187" s="432"/>
      <c r="EL187" s="432"/>
      <c r="EM187" s="432"/>
      <c r="EN187" s="432"/>
      <c r="EO187" s="432"/>
      <c r="EP187" s="432"/>
      <c r="EQ187" s="432"/>
      <c r="ER187" s="432"/>
      <c r="ES187" s="432"/>
      <c r="ET187" s="432"/>
      <c r="EU187" s="432"/>
      <c r="EV187" s="432"/>
      <c r="EW187" s="432"/>
      <c r="EX187" s="432"/>
      <c r="EY187" s="432"/>
      <c r="EZ187" s="432"/>
    </row>
    <row r="188" spans="54:156" ht="16.5" customHeight="1" x14ac:dyDescent="0.2">
      <c r="DD188" s="432" t="s">
        <v>126</v>
      </c>
      <c r="DE188" s="432"/>
      <c r="DF188" s="432"/>
      <c r="DG188" s="433">
        <f>150*39</f>
        <v>5850</v>
      </c>
      <c r="DH188" s="433"/>
      <c r="DI188" s="433"/>
      <c r="DJ188" s="433"/>
      <c r="DK188" s="433"/>
      <c r="DL188" s="220" t="s">
        <v>127</v>
      </c>
      <c r="DM188" s="220"/>
      <c r="DN188" s="220"/>
      <c r="DO188" s="220"/>
      <c r="DP188" s="220"/>
      <c r="DQ188" s="220"/>
      <c r="DR188" s="220"/>
      <c r="DS188" s="220"/>
      <c r="ED188" s="432" t="s">
        <v>126</v>
      </c>
      <c r="EE188" s="432"/>
      <c r="EF188" s="432"/>
      <c r="EG188" s="433">
        <f>150*38</f>
        <v>5700</v>
      </c>
      <c r="EH188" s="433"/>
      <c r="EI188" s="433"/>
      <c r="EJ188" s="433"/>
      <c r="EK188" s="433"/>
      <c r="EL188" s="220" t="s">
        <v>127</v>
      </c>
      <c r="EM188" s="220"/>
      <c r="EN188" s="220"/>
      <c r="EO188" s="220"/>
      <c r="EP188" s="220"/>
      <c r="EQ188" s="220"/>
      <c r="ER188" s="220"/>
      <c r="ES188" s="220"/>
    </row>
    <row r="189" spans="54:156" ht="17.25" customHeight="1" x14ac:dyDescent="0.2">
      <c r="DD189" s="434">
        <v>0.6</v>
      </c>
      <c r="DE189" s="432"/>
      <c r="DF189" s="432"/>
      <c r="DG189" s="216">
        <f>DG188*DD189</f>
        <v>3510</v>
      </c>
      <c r="DH189" s="432" t="s">
        <v>128</v>
      </c>
      <c r="DI189" s="432"/>
      <c r="DJ189" s="432"/>
      <c r="DK189" s="432"/>
      <c r="DL189" s="432"/>
      <c r="DM189" s="432" t="s">
        <v>129</v>
      </c>
      <c r="DN189" s="432"/>
      <c r="DO189" s="432"/>
      <c r="DP189" s="432"/>
      <c r="DQ189" s="432"/>
      <c r="DR189" s="432"/>
      <c r="DS189" s="432"/>
      <c r="ED189" s="434">
        <v>0.6</v>
      </c>
      <c r="EE189" s="432"/>
      <c r="EF189" s="432"/>
      <c r="EG189" s="216">
        <f>EG188*ED189</f>
        <v>3420</v>
      </c>
      <c r="EH189" s="432" t="s">
        <v>128</v>
      </c>
      <c r="EI189" s="432"/>
      <c r="EJ189" s="432"/>
      <c r="EK189" s="432"/>
      <c r="EL189" s="432"/>
      <c r="EM189" s="432" t="s">
        <v>129</v>
      </c>
      <c r="EN189" s="432"/>
      <c r="EO189" s="432"/>
      <c r="EP189" s="432"/>
      <c r="EQ189" s="432"/>
      <c r="ER189" s="432"/>
      <c r="ES189" s="432"/>
    </row>
    <row r="190" spans="54:156" ht="16.5" customHeight="1" x14ac:dyDescent="0.2">
      <c r="DD190" s="432">
        <v>211</v>
      </c>
      <c r="DE190" s="432"/>
      <c r="DF190" s="432"/>
      <c r="DG190" s="216">
        <f>DG189-DG191</f>
        <v>2695.852534562212</v>
      </c>
      <c r="DH190" s="435">
        <f>DG190*0.1</f>
        <v>269.58525345622121</v>
      </c>
      <c r="DI190" s="435"/>
      <c r="DJ190" s="435"/>
      <c r="DK190" s="435"/>
      <c r="DL190" s="435"/>
      <c r="DM190" s="435">
        <f>DG190-DH190</f>
        <v>2426.2672811059906</v>
      </c>
      <c r="DN190" s="432"/>
      <c r="DO190" s="432"/>
      <c r="DP190" s="432"/>
      <c r="DQ190" s="432"/>
      <c r="DR190" s="432"/>
      <c r="DS190" s="432"/>
      <c r="ED190" s="432">
        <v>211</v>
      </c>
      <c r="EE190" s="432"/>
      <c r="EF190" s="432"/>
      <c r="EG190" s="216">
        <f>EG189-EG191</f>
        <v>2626.7281105990783</v>
      </c>
      <c r="EH190" s="435">
        <f>EG190*0.1</f>
        <v>262.67281105990781</v>
      </c>
      <c r="EI190" s="435"/>
      <c r="EJ190" s="435"/>
      <c r="EK190" s="435"/>
      <c r="EL190" s="435"/>
      <c r="EM190" s="435">
        <f>EG190-EH190</f>
        <v>2364.0552995391704</v>
      </c>
      <c r="EN190" s="432"/>
      <c r="EO190" s="432"/>
      <c r="EP190" s="432"/>
      <c r="EQ190" s="432"/>
      <c r="ER190" s="432"/>
      <c r="ES190" s="432"/>
    </row>
    <row r="191" spans="54:156" ht="16.5" customHeight="1" x14ac:dyDescent="0.2">
      <c r="DD191" s="432">
        <v>213</v>
      </c>
      <c r="DE191" s="432"/>
      <c r="DF191" s="432"/>
      <c r="DG191" s="216">
        <f>DG189*30.2/130.2</f>
        <v>814.14746543778813</v>
      </c>
      <c r="DH191" s="435">
        <f>DH190*30.2%</f>
        <v>81.414746543778804</v>
      </c>
      <c r="DI191" s="435"/>
      <c r="DJ191" s="435"/>
      <c r="DK191" s="435"/>
      <c r="DL191" s="435"/>
      <c r="DM191" s="435">
        <f>DM190*30.2%</f>
        <v>732.73271889400917</v>
      </c>
      <c r="DN191" s="435"/>
      <c r="DO191" s="435"/>
      <c r="DP191" s="435"/>
      <c r="DQ191" s="435"/>
      <c r="DR191" s="435"/>
      <c r="DS191" s="435"/>
      <c r="ED191" s="432">
        <v>213</v>
      </c>
      <c r="EE191" s="432"/>
      <c r="EF191" s="432"/>
      <c r="EG191" s="216">
        <f>EG189*30.2/130.2</f>
        <v>793.27188940092174</v>
      </c>
      <c r="EH191" s="435">
        <f>EH190*30.2%</f>
        <v>79.327188940092157</v>
      </c>
      <c r="EI191" s="435"/>
      <c r="EJ191" s="435"/>
      <c r="EK191" s="435"/>
      <c r="EL191" s="435"/>
      <c r="EM191" s="435">
        <f>EM190*30.2%</f>
        <v>713.94470046082938</v>
      </c>
      <c r="EN191" s="435"/>
      <c r="EO191" s="435"/>
      <c r="EP191" s="435"/>
      <c r="EQ191" s="435"/>
      <c r="ER191" s="435"/>
      <c r="ES191" s="435"/>
    </row>
    <row r="195" spans="108:156" ht="27" customHeight="1" x14ac:dyDescent="0.2">
      <c r="DD195" s="432" t="s">
        <v>186</v>
      </c>
      <c r="DE195" s="432"/>
      <c r="DF195" s="432"/>
      <c r="DG195" s="432"/>
      <c r="DH195" s="432"/>
      <c r="DI195" s="432"/>
      <c r="DJ195" s="432"/>
      <c r="DK195" s="432"/>
      <c r="DL195" s="432"/>
      <c r="DM195" s="432"/>
      <c r="DN195" s="432"/>
      <c r="DO195" s="432"/>
      <c r="DP195" s="432"/>
      <c r="DQ195" s="432"/>
      <c r="DR195" s="432"/>
      <c r="DS195" s="432"/>
      <c r="DT195" s="432"/>
      <c r="DU195" s="432"/>
      <c r="DV195" s="432"/>
      <c r="DW195" s="432"/>
      <c r="DX195" s="432"/>
      <c r="DY195" s="432"/>
      <c r="DZ195" s="432"/>
      <c r="ED195" s="432" t="s">
        <v>187</v>
      </c>
      <c r="EE195" s="432"/>
      <c r="EF195" s="432"/>
      <c r="EG195" s="432"/>
      <c r="EH195" s="432"/>
      <c r="EI195" s="432"/>
      <c r="EJ195" s="432"/>
      <c r="EK195" s="432"/>
      <c r="EL195" s="432"/>
      <c r="EM195" s="432"/>
      <c r="EN195" s="432"/>
      <c r="EO195" s="432"/>
      <c r="EP195" s="432"/>
      <c r="EQ195" s="432"/>
      <c r="ER195" s="432"/>
      <c r="ES195" s="432"/>
      <c r="ET195" s="432"/>
      <c r="EU195" s="432"/>
      <c r="EV195" s="432"/>
      <c r="EW195" s="432"/>
      <c r="EX195" s="432"/>
      <c r="EY195" s="432"/>
      <c r="EZ195" s="432"/>
    </row>
    <row r="196" spans="108:156" ht="18.75" customHeight="1" x14ac:dyDescent="0.2">
      <c r="DD196" s="432" t="s">
        <v>126</v>
      </c>
      <c r="DE196" s="432"/>
      <c r="DF196" s="432"/>
      <c r="DG196" s="433">
        <f>150*31</f>
        <v>4650</v>
      </c>
      <c r="DH196" s="433"/>
      <c r="DI196" s="433"/>
      <c r="DJ196" s="433"/>
      <c r="DK196" s="433"/>
      <c r="DL196" s="220" t="s">
        <v>127</v>
      </c>
      <c r="DM196" s="220"/>
      <c r="DN196" s="220"/>
      <c r="DO196" s="220"/>
      <c r="DP196" s="220"/>
      <c r="DQ196" s="220"/>
      <c r="DR196" s="220"/>
      <c r="DS196" s="220"/>
      <c r="ED196" s="432" t="s">
        <v>126</v>
      </c>
      <c r="EE196" s="432"/>
      <c r="EF196" s="432"/>
      <c r="EG196" s="433">
        <f>150*16</f>
        <v>2400</v>
      </c>
      <c r="EH196" s="433"/>
      <c r="EI196" s="433"/>
      <c r="EJ196" s="433"/>
      <c r="EK196" s="433"/>
      <c r="EL196" s="220" t="s">
        <v>127</v>
      </c>
      <c r="EM196" s="220"/>
      <c r="EN196" s="220"/>
      <c r="EO196" s="220"/>
      <c r="EP196" s="220"/>
      <c r="EQ196" s="220"/>
      <c r="ER196" s="220"/>
      <c r="ES196" s="220"/>
    </row>
    <row r="197" spans="108:156" ht="20.25" customHeight="1" x14ac:dyDescent="0.2">
      <c r="DD197" s="434">
        <v>0.6</v>
      </c>
      <c r="DE197" s="432"/>
      <c r="DF197" s="432"/>
      <c r="DG197" s="216">
        <f>DG196*DD197</f>
        <v>2790</v>
      </c>
      <c r="DH197" s="432" t="s">
        <v>128</v>
      </c>
      <c r="DI197" s="432"/>
      <c r="DJ197" s="432"/>
      <c r="DK197" s="432"/>
      <c r="DL197" s="432"/>
      <c r="DM197" s="432" t="s">
        <v>129</v>
      </c>
      <c r="DN197" s="432"/>
      <c r="DO197" s="432"/>
      <c r="DP197" s="432"/>
      <c r="DQ197" s="432"/>
      <c r="DR197" s="432"/>
      <c r="DS197" s="432"/>
      <c r="ED197" s="434">
        <v>0.6</v>
      </c>
      <c r="EE197" s="432"/>
      <c r="EF197" s="432"/>
      <c r="EG197" s="216">
        <f>EG196*ED197</f>
        <v>1440</v>
      </c>
      <c r="EH197" s="432" t="s">
        <v>128</v>
      </c>
      <c r="EI197" s="432"/>
      <c r="EJ197" s="432"/>
      <c r="EK197" s="432"/>
      <c r="EL197" s="432"/>
      <c r="EM197" s="432" t="s">
        <v>129</v>
      </c>
      <c r="EN197" s="432"/>
      <c r="EO197" s="432"/>
      <c r="EP197" s="432"/>
      <c r="EQ197" s="432"/>
      <c r="ER197" s="432"/>
      <c r="ES197" s="432"/>
    </row>
    <row r="198" spans="108:156" ht="18.75" customHeight="1" x14ac:dyDescent="0.2">
      <c r="DD198" s="432">
        <v>211</v>
      </c>
      <c r="DE198" s="432"/>
      <c r="DF198" s="432"/>
      <c r="DG198" s="216">
        <f>DG197-DG199</f>
        <v>2142.8571428571427</v>
      </c>
      <c r="DH198" s="435">
        <f>DG198*0.1</f>
        <v>214.28571428571428</v>
      </c>
      <c r="DI198" s="435"/>
      <c r="DJ198" s="435"/>
      <c r="DK198" s="435"/>
      <c r="DL198" s="435"/>
      <c r="DM198" s="435">
        <f>DG198-DH198</f>
        <v>1928.5714285714284</v>
      </c>
      <c r="DN198" s="432"/>
      <c r="DO198" s="432"/>
      <c r="DP198" s="432"/>
      <c r="DQ198" s="432"/>
      <c r="DR198" s="432"/>
      <c r="DS198" s="432"/>
      <c r="ED198" s="432">
        <v>211</v>
      </c>
      <c r="EE198" s="432"/>
      <c r="EF198" s="432"/>
      <c r="EG198" s="216">
        <f>EG197-EG199</f>
        <v>1105.9907834101382</v>
      </c>
      <c r="EH198" s="435">
        <f>EG198*0.1</f>
        <v>110.59907834101382</v>
      </c>
      <c r="EI198" s="435"/>
      <c r="EJ198" s="435"/>
      <c r="EK198" s="435"/>
      <c r="EL198" s="435"/>
      <c r="EM198" s="435">
        <f>EG198-EH198</f>
        <v>995.39170506912433</v>
      </c>
      <c r="EN198" s="432"/>
      <c r="EO198" s="432"/>
      <c r="EP198" s="432"/>
      <c r="EQ198" s="432"/>
      <c r="ER198" s="432"/>
      <c r="ES198" s="432"/>
    </row>
    <row r="199" spans="108:156" ht="19.5" customHeight="1" x14ac:dyDescent="0.2">
      <c r="DD199" s="432">
        <v>213</v>
      </c>
      <c r="DE199" s="432"/>
      <c r="DF199" s="432"/>
      <c r="DG199" s="216">
        <f>DG197*30.2/130.2</f>
        <v>647.14285714285722</v>
      </c>
      <c r="DH199" s="435">
        <f>DH198*30.2%</f>
        <v>64.714285714285708</v>
      </c>
      <c r="DI199" s="435"/>
      <c r="DJ199" s="435"/>
      <c r="DK199" s="435"/>
      <c r="DL199" s="435"/>
      <c r="DM199" s="435">
        <f>DM198*30.2%</f>
        <v>582.42857142857133</v>
      </c>
      <c r="DN199" s="435"/>
      <c r="DO199" s="435"/>
      <c r="DP199" s="435"/>
      <c r="DQ199" s="435"/>
      <c r="DR199" s="435"/>
      <c r="DS199" s="435"/>
      <c r="ED199" s="432">
        <v>213</v>
      </c>
      <c r="EE199" s="432"/>
      <c r="EF199" s="432"/>
      <c r="EG199" s="216">
        <f>EG197*30.2/130.2</f>
        <v>334.00921658986181</v>
      </c>
      <c r="EH199" s="435">
        <f>EH198*30.2%</f>
        <v>33.400921658986171</v>
      </c>
      <c r="EI199" s="435"/>
      <c r="EJ199" s="435"/>
      <c r="EK199" s="435"/>
      <c r="EL199" s="435"/>
      <c r="EM199" s="435">
        <f>EM198*30.2%</f>
        <v>300.60829493087556</v>
      </c>
      <c r="EN199" s="435"/>
      <c r="EO199" s="435"/>
      <c r="EP199" s="435"/>
      <c r="EQ199" s="435"/>
      <c r="ER199" s="435"/>
      <c r="ES199" s="435"/>
    </row>
  </sheetData>
  <mergeCells count="657">
    <mergeCell ref="BE159:BI159"/>
    <mergeCell ref="BB159:BD159"/>
    <mergeCell ref="BB158:BX158"/>
    <mergeCell ref="CK168:CQ168"/>
    <mergeCell ref="CF168:CJ168"/>
    <mergeCell ref="CB168:CD168"/>
    <mergeCell ref="CE167:CI167"/>
    <mergeCell ref="CB167:CD167"/>
    <mergeCell ref="BK162:BQ162"/>
    <mergeCell ref="BF162:BJ162"/>
    <mergeCell ref="BB162:BD162"/>
    <mergeCell ref="BK161:BQ161"/>
    <mergeCell ref="BF161:BJ161"/>
    <mergeCell ref="BB161:BD161"/>
    <mergeCell ref="BB160:BD160"/>
    <mergeCell ref="BF160:BJ160"/>
    <mergeCell ref="BK160:BQ160"/>
    <mergeCell ref="CB160:CD160"/>
    <mergeCell ref="CF160:CJ160"/>
    <mergeCell ref="CK160:CQ160"/>
    <mergeCell ref="CB158:CX158"/>
    <mergeCell ref="BB171:BX171"/>
    <mergeCell ref="CK169:CQ169"/>
    <mergeCell ref="CF169:CJ169"/>
    <mergeCell ref="CB169:CD169"/>
    <mergeCell ref="BB166:BX166"/>
    <mergeCell ref="BB167:BD167"/>
    <mergeCell ref="BE167:BI167"/>
    <mergeCell ref="BB168:BD168"/>
    <mergeCell ref="BF168:BJ168"/>
    <mergeCell ref="BK168:BQ168"/>
    <mergeCell ref="BB169:BD169"/>
    <mergeCell ref="BF169:BJ169"/>
    <mergeCell ref="BK169:BQ169"/>
    <mergeCell ref="A108:Z108"/>
    <mergeCell ref="AA108:AF108"/>
    <mergeCell ref="AU108:BB108"/>
    <mergeCell ref="DD199:DF199"/>
    <mergeCell ref="DH199:DL199"/>
    <mergeCell ref="DM199:DS199"/>
    <mergeCell ref="ED199:EF199"/>
    <mergeCell ref="EH199:EL199"/>
    <mergeCell ref="EM199:ES199"/>
    <mergeCell ref="DD198:DF198"/>
    <mergeCell ref="DH198:DL198"/>
    <mergeCell ref="DM198:DS198"/>
    <mergeCell ref="ED198:EF198"/>
    <mergeCell ref="EH198:EL198"/>
    <mergeCell ref="EM198:ES198"/>
    <mergeCell ref="DD197:DF197"/>
    <mergeCell ref="DH197:DL197"/>
    <mergeCell ref="DM197:DS197"/>
    <mergeCell ref="ED197:EF197"/>
    <mergeCell ref="EH197:EL197"/>
    <mergeCell ref="EM197:ES197"/>
    <mergeCell ref="DD195:DZ195"/>
    <mergeCell ref="ED195:EZ195"/>
    <mergeCell ref="DD196:DF196"/>
    <mergeCell ref="DG196:DK196"/>
    <mergeCell ref="ED196:EF196"/>
    <mergeCell ref="EG196:EK196"/>
    <mergeCell ref="DD191:DF191"/>
    <mergeCell ref="DH191:DL191"/>
    <mergeCell ref="DM191:DS191"/>
    <mergeCell ref="ED191:EF191"/>
    <mergeCell ref="EH191:EL191"/>
    <mergeCell ref="EM191:ES191"/>
    <mergeCell ref="DD190:DF190"/>
    <mergeCell ref="DH190:DL190"/>
    <mergeCell ref="DM190:DS190"/>
    <mergeCell ref="ED190:EF190"/>
    <mergeCell ref="EH190:EL190"/>
    <mergeCell ref="EM190:ES190"/>
    <mergeCell ref="DD189:DF189"/>
    <mergeCell ref="DH189:DL189"/>
    <mergeCell ref="DM189:DS189"/>
    <mergeCell ref="ED189:EF189"/>
    <mergeCell ref="EH189:EL189"/>
    <mergeCell ref="EM189:ES189"/>
    <mergeCell ref="DD187:DZ187"/>
    <mergeCell ref="ED187:EZ187"/>
    <mergeCell ref="DD188:DF188"/>
    <mergeCell ref="DG188:DK188"/>
    <mergeCell ref="ED188:EF188"/>
    <mergeCell ref="EG188:EK188"/>
    <mergeCell ref="DD183:DF183"/>
    <mergeCell ref="DH183:DL183"/>
    <mergeCell ref="DM183:DS183"/>
    <mergeCell ref="ED183:EF183"/>
    <mergeCell ref="EH183:EL183"/>
    <mergeCell ref="EM183:ES183"/>
    <mergeCell ref="DD182:DF182"/>
    <mergeCell ref="DH182:DL182"/>
    <mergeCell ref="DM182:DS182"/>
    <mergeCell ref="ED182:EF182"/>
    <mergeCell ref="EH182:EL182"/>
    <mergeCell ref="EM182:ES182"/>
    <mergeCell ref="DD181:DF181"/>
    <mergeCell ref="DH181:DL181"/>
    <mergeCell ref="DM181:DS181"/>
    <mergeCell ref="ED181:EF181"/>
    <mergeCell ref="EH181:EL181"/>
    <mergeCell ref="EM181:ES181"/>
    <mergeCell ref="DD179:DZ179"/>
    <mergeCell ref="ED179:EZ179"/>
    <mergeCell ref="DD180:DF180"/>
    <mergeCell ref="DG180:DK180"/>
    <mergeCell ref="ED180:EF180"/>
    <mergeCell ref="EG180:EK180"/>
    <mergeCell ref="DD175:DF175"/>
    <mergeCell ref="DH175:DL175"/>
    <mergeCell ref="DM175:DS175"/>
    <mergeCell ref="ED175:EF175"/>
    <mergeCell ref="EH175:EL175"/>
    <mergeCell ref="EM175:ES175"/>
    <mergeCell ref="DD174:DF174"/>
    <mergeCell ref="DH174:DL174"/>
    <mergeCell ref="DM174:DS174"/>
    <mergeCell ref="BB172:BX172"/>
    <mergeCell ref="BE173:BI173"/>
    <mergeCell ref="ED174:EF174"/>
    <mergeCell ref="EH174:EL174"/>
    <mergeCell ref="EM174:ES174"/>
    <mergeCell ref="DD173:DF173"/>
    <mergeCell ref="DH173:DL173"/>
    <mergeCell ref="DM173:DS173"/>
    <mergeCell ref="ED173:EF173"/>
    <mergeCell ref="EH173:EL173"/>
    <mergeCell ref="EM173:ES173"/>
    <mergeCell ref="BK174:BQ174"/>
    <mergeCell ref="BF174:BJ174"/>
    <mergeCell ref="BB174:BD174"/>
    <mergeCell ref="BB173:BD173"/>
    <mergeCell ref="CB174:CG174"/>
    <mergeCell ref="CJ174:CP174"/>
    <mergeCell ref="EM168:ES168"/>
    <mergeCell ref="FI169:FM169"/>
    <mergeCell ref="FN169:FT169"/>
    <mergeCell ref="DM169:DS169"/>
    <mergeCell ref="ED169:EF169"/>
    <mergeCell ref="EH169:EL169"/>
    <mergeCell ref="EM169:ES169"/>
    <mergeCell ref="FE169:FG169"/>
    <mergeCell ref="BB175:BD175"/>
    <mergeCell ref="BF175:BJ175"/>
    <mergeCell ref="BK175:BQ175"/>
    <mergeCell ref="CB170:CD170"/>
    <mergeCell ref="CF170:CJ170"/>
    <mergeCell ref="CK170:CQ170"/>
    <mergeCell ref="DD170:DF170"/>
    <mergeCell ref="DH170:DL170"/>
    <mergeCell ref="DH169:DL169"/>
    <mergeCell ref="BB170:BD170"/>
    <mergeCell ref="BF170:BJ170"/>
    <mergeCell ref="BK170:BQ170"/>
    <mergeCell ref="DD171:DZ171"/>
    <mergeCell ref="DD172:DF172"/>
    <mergeCell ref="DG172:DK172"/>
    <mergeCell ref="DM170:DS170"/>
    <mergeCell ref="FN170:FT170"/>
    <mergeCell ref="ED171:EZ171"/>
    <mergeCell ref="ED172:EF172"/>
    <mergeCell ref="ED167:EF167"/>
    <mergeCell ref="EG167:EK167"/>
    <mergeCell ref="FE167:FG167"/>
    <mergeCell ref="FH167:FL167"/>
    <mergeCell ref="DD167:DF167"/>
    <mergeCell ref="DG167:DK167"/>
    <mergeCell ref="FE168:FG168"/>
    <mergeCell ref="FI168:FM168"/>
    <mergeCell ref="EG172:EK172"/>
    <mergeCell ref="ED170:EF170"/>
    <mergeCell ref="EH170:EL170"/>
    <mergeCell ref="EM170:ES170"/>
    <mergeCell ref="FE170:FG170"/>
    <mergeCell ref="FI170:FM170"/>
    <mergeCell ref="FN168:FT168"/>
    <mergeCell ref="DD169:DF169"/>
    <mergeCell ref="DD168:DF168"/>
    <mergeCell ref="DH168:DL168"/>
    <mergeCell ref="DM168:DS168"/>
    <mergeCell ref="ED168:EF168"/>
    <mergeCell ref="EH168:EL168"/>
    <mergeCell ref="FN162:FT162"/>
    <mergeCell ref="CB161:CD161"/>
    <mergeCell ref="CF161:CJ161"/>
    <mergeCell ref="CK161:CQ161"/>
    <mergeCell ref="DD161:DF161"/>
    <mergeCell ref="CB166:CX166"/>
    <mergeCell ref="DD166:DZ166"/>
    <mergeCell ref="ED166:EZ166"/>
    <mergeCell ref="FE166:GA166"/>
    <mergeCell ref="DM162:DS162"/>
    <mergeCell ref="ED162:EF162"/>
    <mergeCell ref="EH162:EL162"/>
    <mergeCell ref="EM162:ES162"/>
    <mergeCell ref="FE162:FG162"/>
    <mergeCell ref="FI162:FM162"/>
    <mergeCell ref="CB162:CD162"/>
    <mergeCell ref="CF162:CJ162"/>
    <mergeCell ref="CK162:CQ162"/>
    <mergeCell ref="DD162:DF162"/>
    <mergeCell ref="DH162:DL162"/>
    <mergeCell ref="DH161:DL161"/>
    <mergeCell ref="FI161:FM161"/>
    <mergeCell ref="FN161:FT161"/>
    <mergeCell ref="DM161:DS161"/>
    <mergeCell ref="ED161:EF161"/>
    <mergeCell ref="EH161:EL161"/>
    <mergeCell ref="EM161:ES161"/>
    <mergeCell ref="FE161:FG161"/>
    <mergeCell ref="FI160:FM160"/>
    <mergeCell ref="FN160:FT160"/>
    <mergeCell ref="DM160:DS160"/>
    <mergeCell ref="ED160:EF160"/>
    <mergeCell ref="EH160:EL160"/>
    <mergeCell ref="EM160:ES160"/>
    <mergeCell ref="DD158:DZ158"/>
    <mergeCell ref="ED158:EZ158"/>
    <mergeCell ref="FE158:GA158"/>
    <mergeCell ref="FH159:FL159"/>
    <mergeCell ref="DD160:DF160"/>
    <mergeCell ref="DH160:DL160"/>
    <mergeCell ref="CB159:CD159"/>
    <mergeCell ref="CE159:CI159"/>
    <mergeCell ref="DD159:DF159"/>
    <mergeCell ref="DG159:DK159"/>
    <mergeCell ref="ED159:EF159"/>
    <mergeCell ref="EG159:EK159"/>
    <mergeCell ref="FE159:FG159"/>
    <mergeCell ref="FE160:FG160"/>
    <mergeCell ref="B154:S155"/>
    <mergeCell ref="AM154:BC155"/>
    <mergeCell ref="AD150:AI150"/>
    <mergeCell ref="AJ150:AP150"/>
    <mergeCell ref="AQ150:AT150"/>
    <mergeCell ref="AU150:AX150"/>
    <mergeCell ref="AY150:BB150"/>
    <mergeCell ref="BC151:BD151"/>
    <mergeCell ref="A150:G150"/>
    <mergeCell ref="H150:L150"/>
    <mergeCell ref="M150:Q150"/>
    <mergeCell ref="R150:U150"/>
    <mergeCell ref="V150:Y150"/>
    <mergeCell ref="Z150:AC150"/>
    <mergeCell ref="BC152:BD152"/>
    <mergeCell ref="B153:S153"/>
    <mergeCell ref="BC153:BD153"/>
    <mergeCell ref="AY148:BB148"/>
    <mergeCell ref="A149:F149"/>
    <mergeCell ref="H149:L149"/>
    <mergeCell ref="M149:Q149"/>
    <mergeCell ref="R149:U149"/>
    <mergeCell ref="V149:Y149"/>
    <mergeCell ref="Z149:AC149"/>
    <mergeCell ref="AD149:AI149"/>
    <mergeCell ref="AJ149:AP149"/>
    <mergeCell ref="AQ149:AT149"/>
    <mergeCell ref="AU149:AX149"/>
    <mergeCell ref="AY149:BB149"/>
    <mergeCell ref="M146:Q146"/>
    <mergeCell ref="AD146:AI146"/>
    <mergeCell ref="AJ146:AP146"/>
    <mergeCell ref="AQ146:AT146"/>
    <mergeCell ref="AU146:AX146"/>
    <mergeCell ref="AY146:BB146"/>
    <mergeCell ref="AU147:AX147"/>
    <mergeCell ref="AY147:BB147"/>
    <mergeCell ref="A148:G148"/>
    <mergeCell ref="H148:L148"/>
    <mergeCell ref="M148:Q148"/>
    <mergeCell ref="R148:U148"/>
    <mergeCell ref="V148:Y148"/>
    <mergeCell ref="Z148:AC148"/>
    <mergeCell ref="AD148:AI148"/>
    <mergeCell ref="AJ148:AP148"/>
    <mergeCell ref="A147:G147"/>
    <mergeCell ref="H147:L147"/>
    <mergeCell ref="M147:Q147"/>
    <mergeCell ref="AD147:AI147"/>
    <mergeCell ref="AJ147:AP147"/>
    <mergeCell ref="AQ147:AT147"/>
    <mergeCell ref="AQ148:AT148"/>
    <mergeCell ref="AU148:AX148"/>
    <mergeCell ref="A141:G142"/>
    <mergeCell ref="AU143:AX143"/>
    <mergeCell ref="AY143:BB143"/>
    <mergeCell ref="A144:G144"/>
    <mergeCell ref="H144:L144"/>
    <mergeCell ref="M144:Q144"/>
    <mergeCell ref="R144:U147"/>
    <mergeCell ref="V144:Y147"/>
    <mergeCell ref="Z144:AC147"/>
    <mergeCell ref="AD144:AI144"/>
    <mergeCell ref="AJ144:AP144"/>
    <mergeCell ref="AQ144:AT144"/>
    <mergeCell ref="AU144:AX144"/>
    <mergeCell ref="AY144:BB144"/>
    <mergeCell ref="A145:G145"/>
    <mergeCell ref="H145:L145"/>
    <mergeCell ref="M145:Q145"/>
    <mergeCell ref="AD145:AI145"/>
    <mergeCell ref="AJ145:AP145"/>
    <mergeCell ref="AQ145:AT145"/>
    <mergeCell ref="AU145:AX145"/>
    <mergeCell ref="AY145:BB145"/>
    <mergeCell ref="A146:G146"/>
    <mergeCell ref="H146:L146"/>
    <mergeCell ref="A143:G143"/>
    <mergeCell ref="H143:L143"/>
    <mergeCell ref="M143:Q143"/>
    <mergeCell ref="R143:U143"/>
    <mergeCell ref="V143:Y143"/>
    <mergeCell ref="Z143:AC143"/>
    <mergeCell ref="AD143:AI143"/>
    <mergeCell ref="AJ143:AP143"/>
    <mergeCell ref="AQ143:AT143"/>
    <mergeCell ref="AD141:AP141"/>
    <mergeCell ref="AQ141:AT141"/>
    <mergeCell ref="AU141:AX141"/>
    <mergeCell ref="AY141:BB141"/>
    <mergeCell ref="H142:L142"/>
    <mergeCell ref="M142:Q142"/>
    <mergeCell ref="AD142:AI142"/>
    <mergeCell ref="AJ142:AP142"/>
    <mergeCell ref="AQ142:AT142"/>
    <mergeCell ref="AU142:AX142"/>
    <mergeCell ref="H141:L141"/>
    <mergeCell ref="M141:Q141"/>
    <mergeCell ref="R141:U142"/>
    <mergeCell ref="V141:Y142"/>
    <mergeCell ref="Z141:AC142"/>
    <mergeCell ref="AY142:BB142"/>
    <mergeCell ref="A137:Z137"/>
    <mergeCell ref="AA137:AF137"/>
    <mergeCell ref="AG137:AL137"/>
    <mergeCell ref="AM137:AT137"/>
    <mergeCell ref="AU137:BB137"/>
    <mergeCell ref="AU133:BB133"/>
    <mergeCell ref="A134:Z134"/>
    <mergeCell ref="AA134:AF134"/>
    <mergeCell ref="AU134:BB134"/>
    <mergeCell ref="A135:Z135"/>
    <mergeCell ref="AA135:AF135"/>
    <mergeCell ref="AU135:BB135"/>
    <mergeCell ref="A131:Z131"/>
    <mergeCell ref="AA131:AF131"/>
    <mergeCell ref="AG131:AL136"/>
    <mergeCell ref="AM131:AT136"/>
    <mergeCell ref="AU131:BB131"/>
    <mergeCell ref="A132:Z132"/>
    <mergeCell ref="AA132:AF132"/>
    <mergeCell ref="AU132:BB132"/>
    <mergeCell ref="A133:Z133"/>
    <mergeCell ref="AA133:AF133"/>
    <mergeCell ref="A136:Z136"/>
    <mergeCell ref="AA136:AF136"/>
    <mergeCell ref="AU136:BB136"/>
    <mergeCell ref="A129:Z129"/>
    <mergeCell ref="AA129:AF129"/>
    <mergeCell ref="AG129:AL129"/>
    <mergeCell ref="AM129:AT129"/>
    <mergeCell ref="AU129:BB129"/>
    <mergeCell ref="A130:Z130"/>
    <mergeCell ref="AA130:AF130"/>
    <mergeCell ref="AG130:AL130"/>
    <mergeCell ref="AM130:AT130"/>
    <mergeCell ref="AU130:BB130"/>
    <mergeCell ref="A124:Z124"/>
    <mergeCell ref="AA124:AF124"/>
    <mergeCell ref="AU124:BB124"/>
    <mergeCell ref="A125:Z125"/>
    <mergeCell ref="AA125:AF125"/>
    <mergeCell ref="AG125:AL125"/>
    <mergeCell ref="AM125:AT125"/>
    <mergeCell ref="AU125:BB125"/>
    <mergeCell ref="A122:Z122"/>
    <mergeCell ref="AA122:AF122"/>
    <mergeCell ref="AU122:BB122"/>
    <mergeCell ref="A123:Z123"/>
    <mergeCell ref="AA123:AF123"/>
    <mergeCell ref="AU123:BB123"/>
    <mergeCell ref="A120:Z120"/>
    <mergeCell ref="AA120:AF120"/>
    <mergeCell ref="AU120:BB120"/>
    <mergeCell ref="A121:Z121"/>
    <mergeCell ref="AA121:AF121"/>
    <mergeCell ref="AU121:BB121"/>
    <mergeCell ref="A118:Z118"/>
    <mergeCell ref="AA118:AF118"/>
    <mergeCell ref="AU118:BB118"/>
    <mergeCell ref="A119:Z119"/>
    <mergeCell ref="AA119:AF119"/>
    <mergeCell ref="AU119:BB119"/>
    <mergeCell ref="AU111:BB111"/>
    <mergeCell ref="A116:Z116"/>
    <mergeCell ref="AA116:AF116"/>
    <mergeCell ref="AU116:BB116"/>
    <mergeCell ref="A117:Z117"/>
    <mergeCell ref="AA117:AF117"/>
    <mergeCell ref="AU117:BB117"/>
    <mergeCell ref="A114:Z114"/>
    <mergeCell ref="AA114:AF114"/>
    <mergeCell ref="AU114:BB114"/>
    <mergeCell ref="A115:Z115"/>
    <mergeCell ref="AA115:AF115"/>
    <mergeCell ref="AU115:BB115"/>
    <mergeCell ref="A109:Z109"/>
    <mergeCell ref="AA109:AF109"/>
    <mergeCell ref="AU109:BB109"/>
    <mergeCell ref="A104:Z104"/>
    <mergeCell ref="AA104:AF104"/>
    <mergeCell ref="AG104:AL124"/>
    <mergeCell ref="AM104:AT124"/>
    <mergeCell ref="AU104:BB104"/>
    <mergeCell ref="A105:Z105"/>
    <mergeCell ref="AA105:AF105"/>
    <mergeCell ref="AU105:BB105"/>
    <mergeCell ref="A106:Z106"/>
    <mergeCell ref="AA106:AF106"/>
    <mergeCell ref="A112:Z112"/>
    <mergeCell ref="AA112:AF112"/>
    <mergeCell ref="AU112:BB112"/>
    <mergeCell ref="A113:Z113"/>
    <mergeCell ref="AA113:AF113"/>
    <mergeCell ref="AU113:BB113"/>
    <mergeCell ref="A110:Z110"/>
    <mergeCell ref="AA110:AF110"/>
    <mergeCell ref="AU110:BB110"/>
    <mergeCell ref="A111:Z111"/>
    <mergeCell ref="AA111:AF111"/>
    <mergeCell ref="A103:Z103"/>
    <mergeCell ref="AA103:AF103"/>
    <mergeCell ref="AG103:AL103"/>
    <mergeCell ref="AM103:AT103"/>
    <mergeCell ref="AU103:BB103"/>
    <mergeCell ref="AU106:BB106"/>
    <mergeCell ref="A107:Z107"/>
    <mergeCell ref="AA107:AF107"/>
    <mergeCell ref="AU107:BB107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O84:AR84"/>
    <mergeCell ref="AS84:AW84"/>
    <mergeCell ref="AX84:BB84"/>
    <mergeCell ref="A86:N86"/>
    <mergeCell ref="O86:AN86"/>
    <mergeCell ref="AO86:AU86"/>
    <mergeCell ref="AV86:BB86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X78:BB82"/>
    <mergeCell ref="H79:M79"/>
    <mergeCell ref="N79:P79"/>
    <mergeCell ref="R79:V79"/>
    <mergeCell ref="I81:K81"/>
    <mergeCell ref="M81:O81"/>
    <mergeCell ref="Q81:S81"/>
    <mergeCell ref="AS83:AW83"/>
    <mergeCell ref="AX83:BB83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AX73:BB77"/>
    <mergeCell ref="H74:M74"/>
    <mergeCell ref="N74:P74"/>
    <mergeCell ref="R74:V74"/>
    <mergeCell ref="I76:K76"/>
    <mergeCell ref="AH68:AM72"/>
    <mergeCell ref="AN68:AR72"/>
    <mergeCell ref="AS68:AW72"/>
    <mergeCell ref="AX68:BB72"/>
    <mergeCell ref="H69:M69"/>
    <mergeCell ref="N69:P69"/>
    <mergeCell ref="R69:V69"/>
    <mergeCell ref="I71:K71"/>
    <mergeCell ref="M71:O71"/>
    <mergeCell ref="Q71:S71"/>
    <mergeCell ref="M76:O76"/>
    <mergeCell ref="Q76:S76"/>
    <mergeCell ref="U76:W76"/>
    <mergeCell ref="Z76:AB76"/>
    <mergeCell ref="A68:G72"/>
    <mergeCell ref="AC68:AG72"/>
    <mergeCell ref="U71:W71"/>
    <mergeCell ref="Z71:AB71"/>
    <mergeCell ref="A63:G67"/>
    <mergeCell ref="AC63:AG67"/>
    <mergeCell ref="AH73:AM77"/>
    <mergeCell ref="AN73:AR77"/>
    <mergeCell ref="AS73:AW77"/>
    <mergeCell ref="AH63:AM67"/>
    <mergeCell ref="AN63:AR67"/>
    <mergeCell ref="AS63:AW67"/>
    <mergeCell ref="AX63:BB67"/>
    <mergeCell ref="H64:M64"/>
    <mergeCell ref="N64:P64"/>
    <mergeCell ref="R64:V64"/>
    <mergeCell ref="I66:K66"/>
    <mergeCell ref="R59:V59"/>
    <mergeCell ref="I61:K61"/>
    <mergeCell ref="M61:O61"/>
    <mergeCell ref="Q61:S61"/>
    <mergeCell ref="U61:W61"/>
    <mergeCell ref="Z61:AB61"/>
    <mergeCell ref="M66:O66"/>
    <mergeCell ref="Q66:S66"/>
    <mergeCell ref="U66:W66"/>
    <mergeCell ref="Z66:AB66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H51:K51"/>
    <mergeCell ref="AS51:AW51"/>
    <mergeCell ref="AX51:BB51"/>
    <mergeCell ref="AO52:AR52"/>
    <mergeCell ref="AS52:AW52"/>
    <mergeCell ref="AX52:BB52"/>
    <mergeCell ref="AX37:BB39"/>
    <mergeCell ref="A40:BB4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37:G39"/>
    <mergeCell ref="H37:AB39"/>
    <mergeCell ref="AC37:AG39"/>
    <mergeCell ref="AH37:AM39"/>
    <mergeCell ref="AN37:AR39"/>
    <mergeCell ref="AS37:AW39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A7:BA7"/>
    <mergeCell ref="A8:BA8"/>
    <mergeCell ref="C10:E10"/>
    <mergeCell ref="G10:L10"/>
    <mergeCell ref="N10:Q10"/>
    <mergeCell ref="AH10:AI10"/>
    <mergeCell ref="AJ10:AL10"/>
    <mergeCell ref="AN10:AT10"/>
    <mergeCell ref="AV10:AY10"/>
    <mergeCell ref="CB175:CG175"/>
    <mergeCell ref="CJ175:CP175"/>
    <mergeCell ref="A12:S12"/>
    <mergeCell ref="U12:W12"/>
    <mergeCell ref="A14:S14"/>
    <mergeCell ref="U14:W14"/>
    <mergeCell ref="A16:S16"/>
    <mergeCell ref="U16:W16"/>
    <mergeCell ref="Y16:AA16"/>
    <mergeCell ref="AX19:BB19"/>
    <mergeCell ref="A20:G22"/>
    <mergeCell ref="H20:AB22"/>
    <mergeCell ref="AC20:AG22"/>
    <mergeCell ref="AH20:AM22"/>
    <mergeCell ref="AN20:AR22"/>
    <mergeCell ref="AS20:AW22"/>
    <mergeCell ref="AX20:BB22"/>
    <mergeCell ref="H34:M34"/>
    <mergeCell ref="AS34:AW34"/>
    <mergeCell ref="AX34:BB34"/>
    <mergeCell ref="AO35:AR35"/>
    <mergeCell ref="AS35:AW35"/>
    <mergeCell ref="AX35:BB35"/>
    <mergeCell ref="A23:BB23"/>
    <mergeCell ref="CB181:CG181"/>
    <mergeCell ref="CJ181:CP181"/>
    <mergeCell ref="BB182:BD182"/>
    <mergeCell ref="BF182:BJ182"/>
    <mergeCell ref="BK182:BQ182"/>
    <mergeCell ref="CB182:CG182"/>
    <mergeCell ref="CJ182:CP182"/>
    <mergeCell ref="BB176:BD176"/>
    <mergeCell ref="BF176:BJ176"/>
    <mergeCell ref="BK176:BQ176"/>
    <mergeCell ref="BB183:BD183"/>
    <mergeCell ref="BF183:BJ183"/>
    <mergeCell ref="BK183:BQ183"/>
    <mergeCell ref="BB179:BX179"/>
    <mergeCell ref="BB180:BD180"/>
    <mergeCell ref="BE180:BI180"/>
    <mergeCell ref="BB181:BD181"/>
    <mergeCell ref="BF181:BJ181"/>
    <mergeCell ref="BK181:BQ181"/>
  </mergeCells>
  <pageMargins left="0" right="0" top="0" bottom="0" header="0.31496062992125984" footer="0.31496062992125984"/>
  <pageSetup paperSize="9" scale="76" fitToHeight="0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Y308"/>
  <sheetViews>
    <sheetView topLeftCell="AR277" workbookViewId="0">
      <selection activeCell="BS324" sqref="BS324"/>
    </sheetView>
  </sheetViews>
  <sheetFormatPr defaultColWidth="1.85546875" defaultRowHeight="8.25" customHeight="1" x14ac:dyDescent="0.2"/>
  <cols>
    <col min="1" max="6" width="1.85546875" style="4"/>
    <col min="7" max="7" width="6.85546875" style="4" customWidth="1"/>
    <col min="8" max="16" width="1.85546875" style="4"/>
    <col min="17" max="17" width="1.85546875" style="4" customWidth="1"/>
    <col min="18" max="20" width="1.85546875" style="4"/>
    <col min="21" max="21" width="4.42578125" style="4" customWidth="1"/>
    <col min="22" max="23" width="1.85546875" style="4"/>
    <col min="24" max="24" width="3.140625" style="4" customWidth="1"/>
    <col min="25" max="25" width="1.85546875" style="4"/>
    <col min="26" max="26" width="9.85546875" style="4" bestFit="1" customWidth="1"/>
    <col min="27" max="27" width="4.28515625" style="4" customWidth="1"/>
    <col min="28" max="38" width="1.85546875" style="4"/>
    <col min="39" max="39" width="2" style="4" customWidth="1"/>
    <col min="40" max="44" width="1.85546875" style="4"/>
    <col min="45" max="45" width="5.85546875" style="4" customWidth="1"/>
    <col min="46" max="46" width="2.28515625" style="4" customWidth="1"/>
    <col min="47" max="47" width="1.85546875" style="4"/>
    <col min="48" max="48" width="5.28515625" style="4" customWidth="1"/>
    <col min="49" max="51" width="1.85546875" style="4"/>
    <col min="52" max="52" width="2.28515625" style="4" customWidth="1"/>
    <col min="53" max="53" width="1.85546875" style="4"/>
    <col min="54" max="54" width="4.42578125" style="4" customWidth="1"/>
    <col min="55" max="55" width="4.5703125" style="4" customWidth="1"/>
    <col min="56" max="56" width="4.7109375" style="4" customWidth="1"/>
    <col min="57" max="57" width="17.42578125" style="4" customWidth="1"/>
    <col min="58" max="58" width="9.7109375" style="4" customWidth="1"/>
    <col min="59" max="59" width="10.140625" style="4" customWidth="1"/>
    <col min="60" max="60" width="10.42578125" style="4" customWidth="1"/>
    <col min="61" max="61" width="8.140625" style="4" customWidth="1"/>
    <col min="62" max="82" width="1.85546875" style="4" customWidth="1"/>
    <col min="83" max="83" width="3.42578125" style="4" customWidth="1"/>
    <col min="84" max="84" width="7.5703125" style="4" customWidth="1"/>
    <col min="85" max="85" width="8" style="4" customWidth="1"/>
    <col min="86" max="86" width="4.85546875" style="4" customWidth="1"/>
    <col min="87" max="109" width="1.85546875" style="4" customWidth="1"/>
    <col min="110" max="16384" width="1.85546875" style="4"/>
  </cols>
  <sheetData>
    <row r="1" spans="1:55" s="1" customFormat="1" ht="15" customHeight="1" x14ac:dyDescent="0.25">
      <c r="AW1" s="1" t="s">
        <v>83</v>
      </c>
    </row>
    <row r="2" spans="1:55" s="1" customFormat="1" ht="15" customHeight="1" x14ac:dyDescent="0.25">
      <c r="AQ2" s="915" t="s">
        <v>226</v>
      </c>
      <c r="AR2" s="915"/>
      <c r="AS2" s="915"/>
      <c r="AT2" s="1323" t="s">
        <v>227</v>
      </c>
      <c r="AU2" s="1323"/>
      <c r="AV2" s="2"/>
      <c r="AW2" s="1323" t="s">
        <v>218</v>
      </c>
      <c r="AX2" s="1323"/>
      <c r="AY2" s="1300"/>
      <c r="AZ2" s="1300"/>
      <c r="BA2" s="1300"/>
      <c r="BB2" s="1300"/>
      <c r="BC2" s="1300"/>
    </row>
    <row r="3" spans="1:55" s="1" customFormat="1" ht="15" customHeight="1" x14ac:dyDescent="0.25">
      <c r="AQ3" s="1" t="s">
        <v>91</v>
      </c>
    </row>
    <row r="4" spans="1:55" s="1" customFormat="1" ht="5.0999999999999996" customHeight="1" x14ac:dyDescent="0.25"/>
    <row r="5" spans="1:55" s="1" customFormat="1" ht="15" customHeight="1" x14ac:dyDescent="0.25">
      <c r="AM5" s="3"/>
      <c r="AN5" s="3"/>
      <c r="AO5" s="3"/>
      <c r="AP5" s="3"/>
      <c r="AQ5" s="2"/>
      <c r="AR5" s="2"/>
      <c r="AS5" s="2"/>
      <c r="AT5" s="2"/>
      <c r="AU5" s="2"/>
      <c r="AV5" s="2"/>
      <c r="AW5" s="2" t="s">
        <v>85</v>
      </c>
      <c r="AX5" s="1" t="s">
        <v>222</v>
      </c>
    </row>
    <row r="6" spans="1:55" s="1" customFormat="1" ht="9.9499999999999993" customHeight="1" x14ac:dyDescent="0.25">
      <c r="AK6" s="3"/>
      <c r="AL6" s="3"/>
      <c r="AM6" s="3"/>
      <c r="AN6" s="3"/>
      <c r="AO6" s="3"/>
      <c r="AP6" s="3"/>
      <c r="AQ6" s="3"/>
      <c r="AR6" s="3"/>
    </row>
    <row r="7" spans="1:55" s="1" customFormat="1" ht="15" customHeight="1" x14ac:dyDescent="0.25">
      <c r="A7" s="1302" t="s">
        <v>0</v>
      </c>
      <c r="B7" s="1302"/>
      <c r="C7" s="1302"/>
      <c r="D7" s="1302"/>
      <c r="E7" s="1302"/>
      <c r="F7" s="1302"/>
      <c r="G7" s="1302"/>
      <c r="H7" s="1302"/>
      <c r="I7" s="1302"/>
      <c r="J7" s="1302"/>
      <c r="K7" s="1302"/>
      <c r="L7" s="1302"/>
      <c r="M7" s="1302"/>
      <c r="N7" s="1302"/>
      <c r="O7" s="1302"/>
      <c r="P7" s="1302"/>
      <c r="Q7" s="1302"/>
      <c r="R7" s="1302"/>
      <c r="S7" s="1302"/>
      <c r="T7" s="1302"/>
      <c r="U7" s="1302"/>
      <c r="V7" s="1302"/>
      <c r="W7" s="1302"/>
      <c r="X7" s="1302"/>
      <c r="Y7" s="1302"/>
      <c r="Z7" s="1302"/>
      <c r="AA7" s="1302"/>
      <c r="AB7" s="1302"/>
      <c r="AC7" s="1302"/>
      <c r="AD7" s="1302"/>
      <c r="AE7" s="1302"/>
      <c r="AF7" s="1302"/>
      <c r="AG7" s="1302"/>
      <c r="AH7" s="1302"/>
      <c r="AI7" s="1302"/>
      <c r="AJ7" s="1302"/>
      <c r="AK7" s="1302"/>
      <c r="AL7" s="1302"/>
      <c r="AM7" s="1302"/>
      <c r="AN7" s="1302"/>
      <c r="AO7" s="1302"/>
      <c r="AP7" s="1302"/>
      <c r="AQ7" s="1302"/>
      <c r="AR7" s="1302"/>
      <c r="AS7" s="1302"/>
      <c r="AT7" s="1302"/>
      <c r="AU7" s="1302"/>
      <c r="AV7" s="1302"/>
      <c r="AW7" s="1302"/>
      <c r="AX7" s="1302"/>
      <c r="AY7" s="1302"/>
      <c r="AZ7" s="1302"/>
      <c r="BA7" s="1302"/>
    </row>
    <row r="8" spans="1:55" s="1" customFormat="1" ht="15" customHeight="1" x14ac:dyDescent="0.25">
      <c r="A8" s="1302" t="s">
        <v>229</v>
      </c>
      <c r="B8" s="1302"/>
      <c r="C8" s="1302"/>
      <c r="D8" s="1302"/>
      <c r="E8" s="1302"/>
      <c r="F8" s="1302"/>
      <c r="G8" s="1302"/>
      <c r="H8" s="1302"/>
      <c r="I8" s="1302"/>
      <c r="J8" s="1302"/>
      <c r="K8" s="1302"/>
      <c r="L8" s="1302"/>
      <c r="M8" s="1302"/>
      <c r="N8" s="1302"/>
      <c r="O8" s="1302"/>
      <c r="P8" s="1302"/>
      <c r="Q8" s="1302"/>
      <c r="R8" s="1302"/>
      <c r="S8" s="1302"/>
      <c r="T8" s="1302"/>
      <c r="U8" s="1302"/>
      <c r="V8" s="1302"/>
      <c r="W8" s="1302"/>
      <c r="X8" s="1302"/>
      <c r="Y8" s="1302"/>
      <c r="Z8" s="1302"/>
      <c r="AA8" s="1302"/>
      <c r="AB8" s="1302"/>
      <c r="AC8" s="1302"/>
      <c r="AD8" s="1302"/>
      <c r="AE8" s="1302"/>
      <c r="AF8" s="1302"/>
      <c r="AG8" s="1302"/>
      <c r="AH8" s="1302"/>
      <c r="AI8" s="1302"/>
      <c r="AJ8" s="1302"/>
      <c r="AK8" s="1302"/>
      <c r="AL8" s="1302"/>
      <c r="AM8" s="1302"/>
      <c r="AN8" s="1302"/>
      <c r="AO8" s="1302"/>
      <c r="AP8" s="1302"/>
      <c r="AQ8" s="1302"/>
      <c r="AR8" s="1302"/>
      <c r="AS8" s="1302"/>
      <c r="AT8" s="1302"/>
      <c r="AU8" s="1302"/>
      <c r="AV8" s="1302"/>
      <c r="AW8" s="1302"/>
      <c r="AX8" s="1302"/>
      <c r="AY8" s="1302"/>
      <c r="AZ8" s="1302"/>
      <c r="BA8" s="1302"/>
    </row>
    <row r="9" spans="1:55" s="1" customFormat="1" ht="26.25" customHeight="1" x14ac:dyDescent="0.25">
      <c r="A9" s="128"/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</row>
    <row r="10" spans="1:55" s="81" customFormat="1" ht="15" customHeight="1" x14ac:dyDescent="0.25">
      <c r="A10" s="127"/>
      <c r="B10" s="127" t="s">
        <v>113</v>
      </c>
      <c r="C10" s="1305">
        <v>1</v>
      </c>
      <c r="D10" s="1305"/>
      <c r="E10" s="1305"/>
      <c r="F10" s="127"/>
      <c r="G10" s="757" t="s">
        <v>309</v>
      </c>
      <c r="H10" s="757"/>
      <c r="I10" s="757"/>
      <c r="J10" s="757"/>
      <c r="K10" s="757"/>
      <c r="L10" s="757"/>
      <c r="M10" s="127"/>
      <c r="N10" s="1303">
        <v>2017</v>
      </c>
      <c r="O10" s="1303"/>
      <c r="P10" s="1303"/>
      <c r="Q10" s="1303"/>
      <c r="R10" s="127"/>
      <c r="S10" s="127" t="s">
        <v>114</v>
      </c>
      <c r="T10" s="127"/>
      <c r="U10" s="127"/>
      <c r="V10" s="127"/>
      <c r="W10" s="127"/>
      <c r="X10" s="127"/>
      <c r="Y10" s="127"/>
      <c r="Z10" s="127"/>
      <c r="AA10" s="127"/>
      <c r="AB10" s="127"/>
      <c r="AC10" s="127"/>
      <c r="AD10" s="127"/>
      <c r="AE10" s="127"/>
      <c r="AF10" s="127"/>
      <c r="AG10" s="127"/>
      <c r="AH10" s="1304" t="s">
        <v>115</v>
      </c>
      <c r="AI10" s="1304"/>
      <c r="AJ10" s="1602">
        <v>31</v>
      </c>
      <c r="AK10" s="1602"/>
      <c r="AL10" s="1602"/>
      <c r="AM10" s="137"/>
      <c r="AN10" s="1602" t="s">
        <v>116</v>
      </c>
      <c r="AO10" s="1602"/>
      <c r="AP10" s="1602"/>
      <c r="AQ10" s="1602"/>
      <c r="AR10" s="1602"/>
      <c r="AS10" s="1602"/>
      <c r="AT10" s="1602"/>
      <c r="AU10" s="127"/>
      <c r="AV10" s="1303">
        <v>2018</v>
      </c>
      <c r="AW10" s="1303"/>
      <c r="AX10" s="1303"/>
      <c r="AY10" s="1303"/>
      <c r="AZ10" s="127"/>
      <c r="BA10" s="127" t="s">
        <v>114</v>
      </c>
    </row>
    <row r="11" spans="1:55" s="82" customFormat="1" ht="6" customHeight="1" x14ac:dyDescent="0.2"/>
    <row r="12" spans="1:55" s="1" customFormat="1" ht="12" customHeight="1" x14ac:dyDescent="0.25">
      <c r="A12" s="1299" t="s">
        <v>1</v>
      </c>
      <c r="B12" s="1299"/>
      <c r="C12" s="1299"/>
      <c r="D12" s="1299"/>
      <c r="E12" s="1299"/>
      <c r="F12" s="1299"/>
      <c r="G12" s="1299"/>
      <c r="H12" s="1299"/>
      <c r="I12" s="1299"/>
      <c r="J12" s="1299"/>
      <c r="K12" s="1299"/>
      <c r="L12" s="1299"/>
      <c r="M12" s="1299"/>
      <c r="N12" s="1299"/>
      <c r="O12" s="1299"/>
      <c r="P12" s="1299"/>
      <c r="Q12" s="1299"/>
      <c r="R12" s="1299"/>
      <c r="S12" s="1299"/>
      <c r="U12" s="761">
        <v>60</v>
      </c>
      <c r="V12" s="761"/>
      <c r="W12" s="761"/>
    </row>
    <row r="13" spans="1:55" s="1" customFormat="1" ht="5.0999999999999996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55" s="1" customFormat="1" ht="12" customHeight="1" x14ac:dyDescent="0.25">
      <c r="A14" s="1299" t="s">
        <v>2</v>
      </c>
      <c r="B14" s="1299"/>
      <c r="C14" s="1299"/>
      <c r="D14" s="1299"/>
      <c r="E14" s="1299"/>
      <c r="F14" s="1299"/>
      <c r="G14" s="1299"/>
      <c r="H14" s="1299"/>
      <c r="I14" s="1299"/>
      <c r="J14" s="1299"/>
      <c r="K14" s="1299"/>
      <c r="L14" s="1299"/>
      <c r="M14" s="1299"/>
      <c r="N14" s="1299"/>
      <c r="O14" s="1299"/>
      <c r="P14" s="1299"/>
      <c r="Q14" s="1299"/>
      <c r="R14" s="1299"/>
      <c r="S14" s="1299"/>
      <c r="U14" s="761">
        <v>8</v>
      </c>
      <c r="V14" s="761"/>
      <c r="W14" s="761"/>
      <c r="X14" s="81"/>
      <c r="Y14" s="81"/>
      <c r="Z14" s="81"/>
      <c r="AA14" s="81"/>
    </row>
    <row r="15" spans="1:55" s="1" customFormat="1" ht="5.0999999999999996" customHeight="1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U15" s="81"/>
      <c r="V15" s="81"/>
      <c r="W15" s="81"/>
      <c r="X15" s="81"/>
      <c r="Y15" s="81"/>
      <c r="Z15" s="81"/>
      <c r="AA15" s="81"/>
    </row>
    <row r="16" spans="1:55" s="1" customFormat="1" ht="12" customHeight="1" x14ac:dyDescent="0.25">
      <c r="A16" s="1299" t="s">
        <v>3</v>
      </c>
      <c r="B16" s="1299"/>
      <c r="C16" s="1299"/>
      <c r="D16" s="1299"/>
      <c r="E16" s="1299"/>
      <c r="F16" s="1299"/>
      <c r="G16" s="1299"/>
      <c r="H16" s="1299"/>
      <c r="I16" s="1299"/>
      <c r="J16" s="1299"/>
      <c r="K16" s="1299"/>
      <c r="L16" s="1299"/>
      <c r="M16" s="1299"/>
      <c r="N16" s="1299"/>
      <c r="O16" s="1299"/>
      <c r="P16" s="1299"/>
      <c r="Q16" s="1299"/>
      <c r="R16" s="1299"/>
      <c r="S16" s="1299"/>
      <c r="U16" s="761">
        <v>1</v>
      </c>
      <c r="V16" s="761"/>
      <c r="W16" s="761"/>
      <c r="X16" s="83" t="s">
        <v>4</v>
      </c>
      <c r="Y16" s="761">
        <v>8</v>
      </c>
      <c r="Z16" s="761"/>
      <c r="AA16" s="761"/>
    </row>
    <row r="17" spans="1:54" ht="13.5" customHeight="1" x14ac:dyDescent="0.2"/>
    <row r="18" spans="1:54" s="5" customFormat="1" ht="15" customHeight="1" thickBot="1" x14ac:dyDescent="0.25">
      <c r="A18" s="5" t="s">
        <v>5</v>
      </c>
      <c r="C18" s="5" t="s">
        <v>6</v>
      </c>
      <c r="AN18" s="6"/>
      <c r="AO18" s="6"/>
      <c r="AP18" s="6"/>
      <c r="AQ18" s="6"/>
      <c r="AR18" s="6"/>
    </row>
    <row r="19" spans="1:54" ht="12" customHeight="1" thickBot="1" x14ac:dyDescent="0.25">
      <c r="AJ19" s="7"/>
      <c r="AK19" s="7"/>
      <c r="AL19" s="7"/>
      <c r="AM19" s="7"/>
      <c r="AN19" s="8"/>
      <c r="AO19" s="8"/>
      <c r="AP19" s="9"/>
      <c r="AQ19" s="9" t="s">
        <v>7</v>
      </c>
      <c r="AR19" s="8"/>
      <c r="AS19" s="10"/>
      <c r="AX19" s="1306">
        <v>5500</v>
      </c>
      <c r="AY19" s="1307"/>
      <c r="AZ19" s="1307"/>
      <c r="BA19" s="1307"/>
      <c r="BB19" s="1308"/>
    </row>
    <row r="20" spans="1:54" ht="12" customHeight="1" x14ac:dyDescent="0.2">
      <c r="A20" s="1192" t="s">
        <v>8</v>
      </c>
      <c r="B20" s="1193"/>
      <c r="C20" s="1193"/>
      <c r="D20" s="1193"/>
      <c r="E20" s="1193"/>
      <c r="F20" s="1193"/>
      <c r="G20" s="1194"/>
      <c r="H20" s="1201" t="s">
        <v>9</v>
      </c>
      <c r="I20" s="1193"/>
      <c r="J20" s="1193"/>
      <c r="K20" s="1193"/>
      <c r="L20" s="1193"/>
      <c r="M20" s="1193"/>
      <c r="N20" s="1193"/>
      <c r="O20" s="1193"/>
      <c r="P20" s="1193"/>
      <c r="Q20" s="1193"/>
      <c r="R20" s="1193"/>
      <c r="S20" s="1193"/>
      <c r="T20" s="1193"/>
      <c r="U20" s="1193"/>
      <c r="V20" s="1193"/>
      <c r="W20" s="1193"/>
      <c r="X20" s="1193"/>
      <c r="Y20" s="1193"/>
      <c r="Z20" s="1193"/>
      <c r="AA20" s="1193"/>
      <c r="AB20" s="1194"/>
      <c r="AC20" s="1201" t="s">
        <v>10</v>
      </c>
      <c r="AD20" s="1193"/>
      <c r="AE20" s="1193"/>
      <c r="AF20" s="1193"/>
      <c r="AG20" s="1194"/>
      <c r="AH20" s="1210" t="s">
        <v>11</v>
      </c>
      <c r="AI20" s="1265"/>
      <c r="AJ20" s="1265"/>
      <c r="AK20" s="1265"/>
      <c r="AL20" s="1265"/>
      <c r="AM20" s="1266"/>
      <c r="AN20" s="1210" t="s">
        <v>12</v>
      </c>
      <c r="AO20" s="1204"/>
      <c r="AP20" s="1204"/>
      <c r="AQ20" s="1204"/>
      <c r="AR20" s="1205"/>
      <c r="AS20" s="1210" t="s">
        <v>13</v>
      </c>
      <c r="AT20" s="1204"/>
      <c r="AU20" s="1204"/>
      <c r="AV20" s="1204"/>
      <c r="AW20" s="1213"/>
      <c r="AX20" s="1210" t="s">
        <v>14</v>
      </c>
      <c r="AY20" s="1204"/>
      <c r="AZ20" s="1204"/>
      <c r="BA20" s="1204"/>
      <c r="BB20" s="1213"/>
    </row>
    <row r="21" spans="1:54" ht="12" customHeight="1" x14ac:dyDescent="0.2">
      <c r="A21" s="1195"/>
      <c r="B21" s="1196"/>
      <c r="C21" s="1196"/>
      <c r="D21" s="1196"/>
      <c r="E21" s="1196"/>
      <c r="F21" s="1196"/>
      <c r="G21" s="1197"/>
      <c r="H21" s="1202"/>
      <c r="I21" s="1196"/>
      <c r="J21" s="1196"/>
      <c r="K21" s="1196"/>
      <c r="L21" s="1196"/>
      <c r="M21" s="1196"/>
      <c r="N21" s="1196"/>
      <c r="O21" s="1196"/>
      <c r="P21" s="1196"/>
      <c r="Q21" s="1196"/>
      <c r="R21" s="1196"/>
      <c r="S21" s="1196"/>
      <c r="T21" s="1196"/>
      <c r="U21" s="1196"/>
      <c r="V21" s="1196"/>
      <c r="W21" s="1196"/>
      <c r="X21" s="1196"/>
      <c r="Y21" s="1196"/>
      <c r="Z21" s="1196"/>
      <c r="AA21" s="1196"/>
      <c r="AB21" s="1197"/>
      <c r="AC21" s="1202"/>
      <c r="AD21" s="1196"/>
      <c r="AE21" s="1196"/>
      <c r="AF21" s="1196"/>
      <c r="AG21" s="1197"/>
      <c r="AH21" s="1267"/>
      <c r="AI21" s="1268"/>
      <c r="AJ21" s="1268"/>
      <c r="AK21" s="1268"/>
      <c r="AL21" s="1268"/>
      <c r="AM21" s="1269"/>
      <c r="AN21" s="1211"/>
      <c r="AO21" s="1206"/>
      <c r="AP21" s="1206"/>
      <c r="AQ21" s="1206"/>
      <c r="AR21" s="1207"/>
      <c r="AS21" s="1211"/>
      <c r="AT21" s="1206"/>
      <c r="AU21" s="1206"/>
      <c r="AV21" s="1206"/>
      <c r="AW21" s="1214"/>
      <c r="AX21" s="1211"/>
      <c r="AY21" s="1206"/>
      <c r="AZ21" s="1206"/>
      <c r="BA21" s="1206"/>
      <c r="BB21" s="1214"/>
    </row>
    <row r="22" spans="1:54" ht="12" customHeight="1" thickBot="1" x14ac:dyDescent="0.25">
      <c r="A22" s="1198"/>
      <c r="B22" s="1199"/>
      <c r="C22" s="1199"/>
      <c r="D22" s="1199"/>
      <c r="E22" s="1199"/>
      <c r="F22" s="1199"/>
      <c r="G22" s="1200"/>
      <c r="H22" s="1203"/>
      <c r="I22" s="1199"/>
      <c r="J22" s="1199"/>
      <c r="K22" s="1199"/>
      <c r="L22" s="1199"/>
      <c r="M22" s="1199"/>
      <c r="N22" s="1199"/>
      <c r="O22" s="1199"/>
      <c r="P22" s="1199"/>
      <c r="Q22" s="1199"/>
      <c r="R22" s="1199"/>
      <c r="S22" s="1199"/>
      <c r="T22" s="1199"/>
      <c r="U22" s="1199"/>
      <c r="V22" s="1199"/>
      <c r="W22" s="1199"/>
      <c r="X22" s="1199"/>
      <c r="Y22" s="1199"/>
      <c r="Z22" s="1199"/>
      <c r="AA22" s="1199"/>
      <c r="AB22" s="1200"/>
      <c r="AC22" s="1203"/>
      <c r="AD22" s="1199"/>
      <c r="AE22" s="1199"/>
      <c r="AF22" s="1199"/>
      <c r="AG22" s="1200"/>
      <c r="AH22" s="1270"/>
      <c r="AI22" s="1271"/>
      <c r="AJ22" s="1271"/>
      <c r="AK22" s="1271"/>
      <c r="AL22" s="1271"/>
      <c r="AM22" s="1272"/>
      <c r="AN22" s="1212"/>
      <c r="AO22" s="1208"/>
      <c r="AP22" s="1208"/>
      <c r="AQ22" s="1208"/>
      <c r="AR22" s="1209"/>
      <c r="AS22" s="1212"/>
      <c r="AT22" s="1208"/>
      <c r="AU22" s="1208"/>
      <c r="AV22" s="1208"/>
      <c r="AW22" s="1215"/>
      <c r="AX22" s="1212"/>
      <c r="AY22" s="1208"/>
      <c r="AZ22" s="1208"/>
      <c r="BA22" s="1208"/>
      <c r="BB22" s="1215"/>
    </row>
    <row r="23" spans="1:54" ht="24" customHeight="1" thickBot="1" x14ac:dyDescent="0.25">
      <c r="A23" s="1274" t="s">
        <v>15</v>
      </c>
      <c r="B23" s="1018"/>
      <c r="C23" s="1018"/>
      <c r="D23" s="1018"/>
      <c r="E23" s="1018"/>
      <c r="F23" s="1018"/>
      <c r="G23" s="1018"/>
      <c r="H23" s="1018"/>
      <c r="I23" s="1018"/>
      <c r="J23" s="1018"/>
      <c r="K23" s="1018"/>
      <c r="L23" s="1018"/>
      <c r="M23" s="1018"/>
      <c r="N23" s="1018"/>
      <c r="O23" s="1018"/>
      <c r="P23" s="1018"/>
      <c r="Q23" s="1018"/>
      <c r="R23" s="1018"/>
      <c r="S23" s="1018"/>
      <c r="T23" s="1018"/>
      <c r="U23" s="1018"/>
      <c r="V23" s="1018"/>
      <c r="W23" s="1018"/>
      <c r="X23" s="1018"/>
      <c r="Y23" s="1018"/>
      <c r="Z23" s="1018"/>
      <c r="AA23" s="1018"/>
      <c r="AB23" s="1018"/>
      <c r="AC23" s="1018"/>
      <c r="AD23" s="1018"/>
      <c r="AE23" s="1018"/>
      <c r="AF23" s="1018"/>
      <c r="AG23" s="1018"/>
      <c r="AH23" s="1018"/>
      <c r="AI23" s="1018"/>
      <c r="AJ23" s="1018"/>
      <c r="AK23" s="1018"/>
      <c r="AL23" s="1018"/>
      <c r="AM23" s="1018"/>
      <c r="AN23" s="1018"/>
      <c r="AO23" s="1018"/>
      <c r="AP23" s="1018"/>
      <c r="AQ23" s="1018"/>
      <c r="AR23" s="1018"/>
      <c r="AS23" s="1018"/>
      <c r="AT23" s="1018"/>
      <c r="AU23" s="1018"/>
      <c r="AV23" s="1018"/>
      <c r="AW23" s="1018"/>
      <c r="AX23" s="1018"/>
      <c r="AY23" s="1018"/>
      <c r="AZ23" s="1018"/>
      <c r="BA23" s="1018"/>
      <c r="BB23" s="1275"/>
    </row>
    <row r="24" spans="1:54" ht="4.5" hidden="1" customHeight="1" x14ac:dyDescent="0.2">
      <c r="A24" s="1276" t="s">
        <v>88</v>
      </c>
      <c r="B24" s="1277"/>
      <c r="C24" s="1277"/>
      <c r="D24" s="1277"/>
      <c r="E24" s="1277"/>
      <c r="F24" s="1277"/>
      <c r="G24" s="1278"/>
      <c r="H24" s="1282" t="s">
        <v>16</v>
      </c>
      <c r="I24" s="1283"/>
      <c r="J24" s="1283"/>
      <c r="K24" s="1283"/>
      <c r="L24" s="1283"/>
      <c r="M24" s="1283"/>
      <c r="N24" s="1283"/>
      <c r="O24" s="1283"/>
      <c r="P24" s="1283"/>
      <c r="Q24" s="1283"/>
      <c r="R24" s="1283"/>
      <c r="S24" s="1283"/>
      <c r="T24" s="1283"/>
      <c r="U24" s="1283"/>
      <c r="V24" s="1283"/>
      <c r="W24" s="1283"/>
      <c r="X24" s="1283"/>
      <c r="Y24" s="1283"/>
      <c r="Z24" s="1601">
        <v>0.1</v>
      </c>
      <c r="AA24" s="1601"/>
      <c r="AB24" s="1601"/>
      <c r="AC24" s="1286">
        <f>(AX51+AX83)*Z24*AH24</f>
        <v>3432</v>
      </c>
      <c r="AD24" s="1286"/>
      <c r="AE24" s="1286"/>
      <c r="AF24" s="1286"/>
      <c r="AG24" s="1286"/>
      <c r="AH24" s="1287">
        <v>1</v>
      </c>
      <c r="AI24" s="1287"/>
      <c r="AJ24" s="1287"/>
      <c r="AK24" s="1287"/>
      <c r="AL24" s="1287"/>
      <c r="AM24" s="1287"/>
      <c r="AN24" s="781">
        <f>AC24/U12</f>
        <v>57.2</v>
      </c>
      <c r="AO24" s="781"/>
      <c r="AP24" s="781"/>
      <c r="AQ24" s="781"/>
      <c r="AR24" s="781"/>
      <c r="AS24" s="1287" t="s">
        <v>17</v>
      </c>
      <c r="AT24" s="1287"/>
      <c r="AU24" s="1287"/>
      <c r="AV24" s="1287"/>
      <c r="AW24" s="1287"/>
      <c r="AX24" s="781" t="s">
        <v>17</v>
      </c>
      <c r="AY24" s="781"/>
      <c r="AZ24" s="781"/>
      <c r="BA24" s="781"/>
      <c r="BB24" s="782"/>
    </row>
    <row r="25" spans="1:54" s="11" customFormat="1" ht="26.25" hidden="1" customHeight="1" x14ac:dyDescent="0.2">
      <c r="A25" s="1279"/>
      <c r="B25" s="1280"/>
      <c r="C25" s="1280"/>
      <c r="D25" s="1280"/>
      <c r="E25" s="1280"/>
      <c r="F25" s="1280"/>
      <c r="G25" s="1281"/>
      <c r="H25" s="1282"/>
      <c r="I25" s="1283"/>
      <c r="J25" s="1283"/>
      <c r="K25" s="1283"/>
      <c r="L25" s="1283"/>
      <c r="M25" s="1283"/>
      <c r="N25" s="1283"/>
      <c r="O25" s="1283"/>
      <c r="P25" s="1283"/>
      <c r="Q25" s="1283"/>
      <c r="R25" s="1283"/>
      <c r="S25" s="1283"/>
      <c r="T25" s="1283"/>
      <c r="U25" s="1283"/>
      <c r="V25" s="1283"/>
      <c r="W25" s="1283"/>
      <c r="X25" s="1283"/>
      <c r="Y25" s="1283"/>
      <c r="Z25" s="1241"/>
      <c r="AA25" s="1241"/>
      <c r="AB25" s="1241"/>
      <c r="AC25" s="1185"/>
      <c r="AD25" s="1185"/>
      <c r="AE25" s="1185"/>
      <c r="AF25" s="1185"/>
      <c r="AG25" s="1185"/>
      <c r="AH25" s="1288"/>
      <c r="AI25" s="1288"/>
      <c r="AJ25" s="1288"/>
      <c r="AK25" s="1288"/>
      <c r="AL25" s="1288"/>
      <c r="AM25" s="1288"/>
      <c r="AN25" s="601"/>
      <c r="AO25" s="601"/>
      <c r="AP25" s="601"/>
      <c r="AQ25" s="601"/>
      <c r="AR25" s="601"/>
      <c r="AS25" s="1288"/>
      <c r="AT25" s="1288"/>
      <c r="AU25" s="1288"/>
      <c r="AV25" s="1288"/>
      <c r="AW25" s="1288"/>
      <c r="AX25" s="601"/>
      <c r="AY25" s="601"/>
      <c r="AZ25" s="601"/>
      <c r="BA25" s="601"/>
      <c r="BB25" s="655"/>
    </row>
    <row r="26" spans="1:54" s="11" customFormat="1" ht="5.0999999999999996" customHeight="1" x14ac:dyDescent="0.2">
      <c r="A26" s="1290" t="s">
        <v>89</v>
      </c>
      <c r="B26" s="1291"/>
      <c r="C26" s="1291"/>
      <c r="D26" s="1291"/>
      <c r="E26" s="1291"/>
      <c r="F26" s="1291"/>
      <c r="G26" s="1292"/>
      <c r="H26" s="1282"/>
      <c r="I26" s="1283"/>
      <c r="J26" s="1283"/>
      <c r="K26" s="1283"/>
      <c r="L26" s="1283"/>
      <c r="M26" s="1283"/>
      <c r="N26" s="1283"/>
      <c r="O26" s="1283"/>
      <c r="P26" s="1283"/>
      <c r="Q26" s="1283"/>
      <c r="R26" s="1283"/>
      <c r="S26" s="1283"/>
      <c r="T26" s="1283"/>
      <c r="U26" s="1283"/>
      <c r="V26" s="1283"/>
      <c r="W26" s="1283"/>
      <c r="X26" s="1283"/>
      <c r="Y26" s="1283"/>
      <c r="Z26" s="1241"/>
      <c r="AA26" s="1241"/>
      <c r="AB26" s="1241"/>
      <c r="AC26" s="1185"/>
      <c r="AD26" s="1185"/>
      <c r="AE26" s="1185"/>
      <c r="AF26" s="1185"/>
      <c r="AG26" s="1185"/>
      <c r="AH26" s="1288"/>
      <c r="AI26" s="1288"/>
      <c r="AJ26" s="1288"/>
      <c r="AK26" s="1288"/>
      <c r="AL26" s="1288"/>
      <c r="AM26" s="1288"/>
      <c r="AN26" s="601"/>
      <c r="AO26" s="601"/>
      <c r="AP26" s="601"/>
      <c r="AQ26" s="601"/>
      <c r="AR26" s="601"/>
      <c r="AS26" s="1288"/>
      <c r="AT26" s="1288"/>
      <c r="AU26" s="1288"/>
      <c r="AV26" s="1288"/>
      <c r="AW26" s="1288"/>
      <c r="AX26" s="601"/>
      <c r="AY26" s="601"/>
      <c r="AZ26" s="601"/>
      <c r="BA26" s="601"/>
      <c r="BB26" s="655"/>
    </row>
    <row r="27" spans="1:54" s="11" customFormat="1" ht="11.25" customHeight="1" x14ac:dyDescent="0.2">
      <c r="A27" s="1293"/>
      <c r="B27" s="1294"/>
      <c r="C27" s="1294"/>
      <c r="D27" s="1294"/>
      <c r="E27" s="1294"/>
      <c r="F27" s="1294"/>
      <c r="G27" s="1295"/>
      <c r="H27" s="1282"/>
      <c r="I27" s="1283"/>
      <c r="J27" s="1283"/>
      <c r="K27" s="1283"/>
      <c r="L27" s="1283"/>
      <c r="M27" s="1283"/>
      <c r="N27" s="1283"/>
      <c r="O27" s="1283"/>
      <c r="P27" s="1283"/>
      <c r="Q27" s="1283"/>
      <c r="R27" s="1283"/>
      <c r="S27" s="1283"/>
      <c r="T27" s="1283"/>
      <c r="U27" s="1283"/>
      <c r="V27" s="1283"/>
      <c r="W27" s="1283"/>
      <c r="X27" s="1283"/>
      <c r="Y27" s="1283"/>
      <c r="Z27" s="1241"/>
      <c r="AA27" s="1241"/>
      <c r="AB27" s="1241"/>
      <c r="AC27" s="1185"/>
      <c r="AD27" s="1185"/>
      <c r="AE27" s="1185"/>
      <c r="AF27" s="1185"/>
      <c r="AG27" s="1185"/>
      <c r="AH27" s="1288"/>
      <c r="AI27" s="1288"/>
      <c r="AJ27" s="1288"/>
      <c r="AK27" s="1288"/>
      <c r="AL27" s="1288"/>
      <c r="AM27" s="1288"/>
      <c r="AN27" s="601"/>
      <c r="AO27" s="601"/>
      <c r="AP27" s="601"/>
      <c r="AQ27" s="601"/>
      <c r="AR27" s="601"/>
      <c r="AS27" s="1288"/>
      <c r="AT27" s="1288"/>
      <c r="AU27" s="1288"/>
      <c r="AV27" s="1288"/>
      <c r="AW27" s="1288"/>
      <c r="AX27" s="601"/>
      <c r="AY27" s="601"/>
      <c r="AZ27" s="601"/>
      <c r="BA27" s="601"/>
      <c r="BB27" s="655"/>
    </row>
    <row r="28" spans="1:54" ht="5.0999999999999996" hidden="1" customHeight="1" x14ac:dyDescent="0.2">
      <c r="A28" s="1293"/>
      <c r="B28" s="1294"/>
      <c r="C28" s="1294"/>
      <c r="D28" s="1294"/>
      <c r="E28" s="1294"/>
      <c r="F28" s="1294"/>
      <c r="G28" s="1295"/>
      <c r="H28" s="1282"/>
      <c r="I28" s="1283"/>
      <c r="J28" s="1283"/>
      <c r="K28" s="1283"/>
      <c r="L28" s="1283"/>
      <c r="M28" s="1283"/>
      <c r="N28" s="1283"/>
      <c r="O28" s="1283"/>
      <c r="P28" s="1283"/>
      <c r="Q28" s="1283"/>
      <c r="R28" s="1283"/>
      <c r="S28" s="1283"/>
      <c r="T28" s="1283"/>
      <c r="U28" s="1283"/>
      <c r="V28" s="1283"/>
      <c r="W28" s="1283"/>
      <c r="X28" s="1283"/>
      <c r="Y28" s="1283"/>
      <c r="Z28" s="1241"/>
      <c r="AA28" s="1241"/>
      <c r="AB28" s="1241"/>
      <c r="AC28" s="1185"/>
      <c r="AD28" s="1185"/>
      <c r="AE28" s="1185"/>
      <c r="AF28" s="1185"/>
      <c r="AG28" s="1185"/>
      <c r="AH28" s="1288"/>
      <c r="AI28" s="1288"/>
      <c r="AJ28" s="1288"/>
      <c r="AK28" s="1288"/>
      <c r="AL28" s="1288"/>
      <c r="AM28" s="1288"/>
      <c r="AN28" s="601"/>
      <c r="AO28" s="601"/>
      <c r="AP28" s="601"/>
      <c r="AQ28" s="601"/>
      <c r="AR28" s="601"/>
      <c r="AS28" s="1288"/>
      <c r="AT28" s="1288"/>
      <c r="AU28" s="1288"/>
      <c r="AV28" s="1288"/>
      <c r="AW28" s="1288"/>
      <c r="AX28" s="601"/>
      <c r="AY28" s="601"/>
      <c r="AZ28" s="601"/>
      <c r="BA28" s="601"/>
      <c r="BB28" s="655"/>
    </row>
    <row r="29" spans="1:54" s="11" customFormat="1" ht="11.25" hidden="1" customHeight="1" x14ac:dyDescent="0.2">
      <c r="A29" s="1293"/>
      <c r="B29" s="1294"/>
      <c r="C29" s="1294"/>
      <c r="D29" s="1294"/>
      <c r="E29" s="1294"/>
      <c r="F29" s="1294"/>
      <c r="G29" s="1295"/>
      <c r="H29" s="1282"/>
      <c r="I29" s="1283"/>
      <c r="J29" s="1283"/>
      <c r="K29" s="1283"/>
      <c r="L29" s="1283"/>
      <c r="M29" s="1283"/>
      <c r="N29" s="1283"/>
      <c r="O29" s="1283"/>
      <c r="P29" s="1283"/>
      <c r="Q29" s="1283"/>
      <c r="R29" s="1283"/>
      <c r="S29" s="1283"/>
      <c r="T29" s="1283"/>
      <c r="U29" s="1283"/>
      <c r="V29" s="1283"/>
      <c r="W29" s="1283"/>
      <c r="X29" s="1283"/>
      <c r="Y29" s="1283"/>
      <c r="Z29" s="1241"/>
      <c r="AA29" s="1241"/>
      <c r="AB29" s="1241"/>
      <c r="AC29" s="1185"/>
      <c r="AD29" s="1185"/>
      <c r="AE29" s="1185"/>
      <c r="AF29" s="1185"/>
      <c r="AG29" s="1185"/>
      <c r="AH29" s="1288"/>
      <c r="AI29" s="1288"/>
      <c r="AJ29" s="1288"/>
      <c r="AK29" s="1288"/>
      <c r="AL29" s="1288"/>
      <c r="AM29" s="1288"/>
      <c r="AN29" s="601"/>
      <c r="AO29" s="601"/>
      <c r="AP29" s="601"/>
      <c r="AQ29" s="601"/>
      <c r="AR29" s="601"/>
      <c r="AS29" s="1288"/>
      <c r="AT29" s="1288"/>
      <c r="AU29" s="1288"/>
      <c r="AV29" s="1288"/>
      <c r="AW29" s="1288"/>
      <c r="AX29" s="601"/>
      <c r="AY29" s="601"/>
      <c r="AZ29" s="601"/>
      <c r="BA29" s="601"/>
      <c r="BB29" s="655"/>
    </row>
    <row r="30" spans="1:54" s="11" customFormat="1" ht="5.0999999999999996" hidden="1" customHeight="1" x14ac:dyDescent="0.2">
      <c r="A30" s="1293"/>
      <c r="B30" s="1294"/>
      <c r="C30" s="1294"/>
      <c r="D30" s="1294"/>
      <c r="E30" s="1294"/>
      <c r="F30" s="1294"/>
      <c r="G30" s="1295"/>
      <c r="H30" s="1282"/>
      <c r="I30" s="1283"/>
      <c r="J30" s="1283"/>
      <c r="K30" s="1283"/>
      <c r="L30" s="1283"/>
      <c r="M30" s="1283"/>
      <c r="N30" s="1283"/>
      <c r="O30" s="1283"/>
      <c r="P30" s="1283"/>
      <c r="Q30" s="1283"/>
      <c r="R30" s="1283"/>
      <c r="S30" s="1283"/>
      <c r="T30" s="1283"/>
      <c r="U30" s="1283"/>
      <c r="V30" s="1283"/>
      <c r="W30" s="1283"/>
      <c r="X30" s="1283"/>
      <c r="Y30" s="1283"/>
      <c r="Z30" s="1241"/>
      <c r="AA30" s="1241"/>
      <c r="AB30" s="1241"/>
      <c r="AC30" s="1185"/>
      <c r="AD30" s="1185"/>
      <c r="AE30" s="1185"/>
      <c r="AF30" s="1185"/>
      <c r="AG30" s="1185"/>
      <c r="AH30" s="1288"/>
      <c r="AI30" s="1288"/>
      <c r="AJ30" s="1288"/>
      <c r="AK30" s="1288"/>
      <c r="AL30" s="1288"/>
      <c r="AM30" s="1288"/>
      <c r="AN30" s="601"/>
      <c r="AO30" s="601"/>
      <c r="AP30" s="601"/>
      <c r="AQ30" s="601"/>
      <c r="AR30" s="601"/>
      <c r="AS30" s="1288"/>
      <c r="AT30" s="1288"/>
      <c r="AU30" s="1288"/>
      <c r="AV30" s="1288"/>
      <c r="AW30" s="1288"/>
      <c r="AX30" s="601"/>
      <c r="AY30" s="601"/>
      <c r="AZ30" s="601"/>
      <c r="BA30" s="601"/>
      <c r="BB30" s="655"/>
    </row>
    <row r="31" spans="1:54" s="11" customFormat="1" ht="11.25" hidden="1" customHeight="1" x14ac:dyDescent="0.2">
      <c r="A31" s="1293"/>
      <c r="B31" s="1294"/>
      <c r="C31" s="1294"/>
      <c r="D31" s="1294"/>
      <c r="E31" s="1294"/>
      <c r="F31" s="1294"/>
      <c r="G31" s="1295"/>
      <c r="H31" s="1282"/>
      <c r="I31" s="1283"/>
      <c r="J31" s="1283"/>
      <c r="K31" s="1283"/>
      <c r="L31" s="1283"/>
      <c r="M31" s="1283"/>
      <c r="N31" s="1283"/>
      <c r="O31" s="1283"/>
      <c r="P31" s="1283"/>
      <c r="Q31" s="1283"/>
      <c r="R31" s="1283"/>
      <c r="S31" s="1283"/>
      <c r="T31" s="1283"/>
      <c r="U31" s="1283"/>
      <c r="V31" s="1283"/>
      <c r="W31" s="1283"/>
      <c r="X31" s="1283"/>
      <c r="Y31" s="1283"/>
      <c r="Z31" s="1241"/>
      <c r="AA31" s="1241"/>
      <c r="AB31" s="1241"/>
      <c r="AC31" s="1185"/>
      <c r="AD31" s="1185"/>
      <c r="AE31" s="1185"/>
      <c r="AF31" s="1185"/>
      <c r="AG31" s="1185"/>
      <c r="AH31" s="1288"/>
      <c r="AI31" s="1288"/>
      <c r="AJ31" s="1288"/>
      <c r="AK31" s="1288"/>
      <c r="AL31" s="1288"/>
      <c r="AM31" s="1288"/>
      <c r="AN31" s="601"/>
      <c r="AO31" s="601"/>
      <c r="AP31" s="601"/>
      <c r="AQ31" s="601"/>
      <c r="AR31" s="601"/>
      <c r="AS31" s="1288"/>
      <c r="AT31" s="1288"/>
      <c r="AU31" s="1288"/>
      <c r="AV31" s="1288"/>
      <c r="AW31" s="1288"/>
      <c r="AX31" s="601"/>
      <c r="AY31" s="601"/>
      <c r="AZ31" s="601"/>
      <c r="BA31" s="601"/>
      <c r="BB31" s="655"/>
    </row>
    <row r="32" spans="1:54" ht="5.0999999999999996" hidden="1" customHeight="1" x14ac:dyDescent="0.2">
      <c r="A32" s="1293"/>
      <c r="B32" s="1294"/>
      <c r="C32" s="1294"/>
      <c r="D32" s="1294"/>
      <c r="E32" s="1294"/>
      <c r="F32" s="1294"/>
      <c r="G32" s="1295"/>
      <c r="H32" s="1282"/>
      <c r="I32" s="1283"/>
      <c r="J32" s="1283"/>
      <c r="K32" s="1283"/>
      <c r="L32" s="1283"/>
      <c r="M32" s="1283"/>
      <c r="N32" s="1283"/>
      <c r="O32" s="1283"/>
      <c r="P32" s="1283"/>
      <c r="Q32" s="1283"/>
      <c r="R32" s="1283"/>
      <c r="S32" s="1283"/>
      <c r="T32" s="1283"/>
      <c r="U32" s="1283"/>
      <c r="V32" s="1283"/>
      <c r="W32" s="1283"/>
      <c r="X32" s="1283"/>
      <c r="Y32" s="1283"/>
      <c r="Z32" s="1241"/>
      <c r="AA32" s="1241"/>
      <c r="AB32" s="1241"/>
      <c r="AC32" s="1185"/>
      <c r="AD32" s="1185"/>
      <c r="AE32" s="1185"/>
      <c r="AF32" s="1185"/>
      <c r="AG32" s="1185"/>
      <c r="AH32" s="1288"/>
      <c r="AI32" s="1288"/>
      <c r="AJ32" s="1288"/>
      <c r="AK32" s="1288"/>
      <c r="AL32" s="1288"/>
      <c r="AM32" s="1288"/>
      <c r="AN32" s="601"/>
      <c r="AO32" s="601"/>
      <c r="AP32" s="601"/>
      <c r="AQ32" s="601"/>
      <c r="AR32" s="601"/>
      <c r="AS32" s="1288"/>
      <c r="AT32" s="1288"/>
      <c r="AU32" s="1288"/>
      <c r="AV32" s="1288"/>
      <c r="AW32" s="1288"/>
      <c r="AX32" s="601"/>
      <c r="AY32" s="601"/>
      <c r="AZ32" s="601"/>
      <c r="BA32" s="601"/>
      <c r="BB32" s="655"/>
    </row>
    <row r="33" spans="1:54" s="11" customFormat="1" ht="17.25" customHeight="1" thickBot="1" x14ac:dyDescent="0.25">
      <c r="A33" s="1296"/>
      <c r="B33" s="1297"/>
      <c r="C33" s="1297"/>
      <c r="D33" s="1297"/>
      <c r="E33" s="1297"/>
      <c r="F33" s="1297"/>
      <c r="G33" s="1298"/>
      <c r="H33" s="1284"/>
      <c r="I33" s="1285"/>
      <c r="J33" s="1285"/>
      <c r="K33" s="1285"/>
      <c r="L33" s="1285"/>
      <c r="M33" s="1285"/>
      <c r="N33" s="1285"/>
      <c r="O33" s="1285"/>
      <c r="P33" s="1285"/>
      <c r="Q33" s="1285"/>
      <c r="R33" s="1285"/>
      <c r="S33" s="1285"/>
      <c r="T33" s="1285"/>
      <c r="U33" s="1285"/>
      <c r="V33" s="1285"/>
      <c r="W33" s="1285"/>
      <c r="X33" s="1285"/>
      <c r="Y33" s="1285"/>
      <c r="Z33" s="1241"/>
      <c r="AA33" s="1241"/>
      <c r="AB33" s="1241"/>
      <c r="AC33" s="1187"/>
      <c r="AD33" s="1187"/>
      <c r="AE33" s="1187"/>
      <c r="AF33" s="1187"/>
      <c r="AG33" s="1187"/>
      <c r="AH33" s="1289"/>
      <c r="AI33" s="1289"/>
      <c r="AJ33" s="1289"/>
      <c r="AK33" s="1289"/>
      <c r="AL33" s="1289"/>
      <c r="AM33" s="1289"/>
      <c r="AN33" s="656"/>
      <c r="AO33" s="656"/>
      <c r="AP33" s="656"/>
      <c r="AQ33" s="656"/>
      <c r="AR33" s="656"/>
      <c r="AS33" s="1289"/>
      <c r="AT33" s="1289"/>
      <c r="AU33" s="1289"/>
      <c r="AV33" s="1289"/>
      <c r="AW33" s="1289"/>
      <c r="AX33" s="656"/>
      <c r="AY33" s="656"/>
      <c r="AZ33" s="656"/>
      <c r="BA33" s="656"/>
      <c r="BB33" s="657"/>
    </row>
    <row r="34" spans="1:54" s="13" customFormat="1" ht="11.25" customHeight="1" x14ac:dyDescent="0.2">
      <c r="A34" s="12"/>
      <c r="B34" s="12"/>
      <c r="C34" s="12"/>
      <c r="D34" s="12"/>
      <c r="E34" s="12"/>
      <c r="F34" s="12"/>
      <c r="G34" s="12"/>
      <c r="H34" s="1273"/>
      <c r="I34" s="1273"/>
      <c r="J34" s="1273"/>
      <c r="K34" s="1273"/>
      <c r="L34" s="1273"/>
      <c r="M34" s="1273"/>
      <c r="P34" s="14"/>
      <c r="Q34" s="15"/>
      <c r="R34" s="16" t="s">
        <v>18</v>
      </c>
      <c r="S34" s="17"/>
      <c r="T34" s="17"/>
      <c r="U34" s="18"/>
      <c r="V34" s="18"/>
      <c r="W34" s="18"/>
      <c r="X34" s="18"/>
      <c r="Y34" s="18"/>
      <c r="Z34" s="8"/>
      <c r="AA34" s="8"/>
      <c r="AB34" s="8"/>
      <c r="AC34" s="18"/>
      <c r="AD34" s="18" t="s">
        <v>19</v>
      </c>
      <c r="AE34" s="18" t="s">
        <v>20</v>
      </c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9"/>
      <c r="AS34" s="1178">
        <f>AN24</f>
        <v>57.2</v>
      </c>
      <c r="AT34" s="1178"/>
      <c r="AU34" s="1178"/>
      <c r="AV34" s="1178"/>
      <c r="AW34" s="1178"/>
      <c r="AX34" s="1178">
        <f>AC24</f>
        <v>3432</v>
      </c>
      <c r="AY34" s="1178"/>
      <c r="AZ34" s="1178"/>
      <c r="BA34" s="1178"/>
      <c r="BB34" s="1179"/>
    </row>
    <row r="35" spans="1:54" s="13" customFormat="1" ht="11.25" customHeight="1" thickBot="1" x14ac:dyDescent="0.25">
      <c r="A35" s="12"/>
      <c r="B35" s="12"/>
      <c r="C35" s="12"/>
      <c r="D35" s="12"/>
      <c r="E35" s="12"/>
      <c r="F35" s="12"/>
      <c r="G35" s="12"/>
      <c r="H35" s="129"/>
      <c r="I35" s="129"/>
      <c r="J35" s="129"/>
      <c r="K35" s="129"/>
      <c r="L35" s="129"/>
      <c r="M35" s="129"/>
      <c r="P35" s="14"/>
      <c r="Q35" s="131"/>
      <c r="R35" s="20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 t="s">
        <v>19</v>
      </c>
      <c r="AE35" s="21" t="s">
        <v>21</v>
      </c>
      <c r="AF35" s="21"/>
      <c r="AG35" s="21"/>
      <c r="AH35" s="21"/>
      <c r="AI35" s="21"/>
      <c r="AJ35" s="21"/>
      <c r="AK35" s="21"/>
      <c r="AL35" s="21"/>
      <c r="AM35" s="21"/>
      <c r="AN35" s="21"/>
      <c r="AO35" s="1153">
        <v>0.30199999999999999</v>
      </c>
      <c r="AP35" s="997"/>
      <c r="AQ35" s="997"/>
      <c r="AR35" s="998"/>
      <c r="AS35" s="1154">
        <f>AX35/U12</f>
        <v>17.2744</v>
      </c>
      <c r="AT35" s="1154"/>
      <c r="AU35" s="1154"/>
      <c r="AV35" s="1154"/>
      <c r="AW35" s="1154"/>
      <c r="AX35" s="1154">
        <f>AX34*AO35</f>
        <v>1036.4639999999999</v>
      </c>
      <c r="AY35" s="1154"/>
      <c r="AZ35" s="1154"/>
      <c r="BA35" s="1154"/>
      <c r="BB35" s="1155"/>
    </row>
    <row r="36" spans="1:54" s="13" customFormat="1" ht="5.0999999999999996" customHeight="1" thickBot="1" x14ac:dyDescent="0.25">
      <c r="A36" s="12"/>
      <c r="B36" s="12"/>
      <c r="C36" s="12"/>
      <c r="D36" s="12"/>
      <c r="E36" s="12"/>
      <c r="F36" s="12"/>
      <c r="G36" s="12"/>
      <c r="H36" s="129"/>
      <c r="I36" s="129"/>
      <c r="J36" s="129"/>
      <c r="K36" s="129"/>
      <c r="L36" s="129"/>
      <c r="M36" s="129"/>
      <c r="P36" s="14"/>
      <c r="Q36" s="131"/>
      <c r="R36" s="131"/>
      <c r="S36" s="131"/>
      <c r="U36" s="131"/>
      <c r="V36" s="131"/>
      <c r="W36" s="131"/>
      <c r="Z36" s="8"/>
      <c r="AA36" s="8"/>
      <c r="AB36" s="8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134"/>
      <c r="AT36" s="136"/>
      <c r="AU36" s="136"/>
      <c r="AV36" s="136"/>
      <c r="AW36" s="136"/>
      <c r="AX36" s="134"/>
      <c r="AY36" s="136"/>
      <c r="AZ36" s="136"/>
      <c r="BA36" s="136"/>
      <c r="BB36" s="136"/>
    </row>
    <row r="37" spans="1:54" s="13" customFormat="1" ht="12" customHeight="1" x14ac:dyDescent="0.2">
      <c r="A37" s="1192" t="s">
        <v>8</v>
      </c>
      <c r="B37" s="1193"/>
      <c r="C37" s="1193"/>
      <c r="D37" s="1193"/>
      <c r="E37" s="1193"/>
      <c r="F37" s="1193"/>
      <c r="G37" s="1194"/>
      <c r="H37" s="1201" t="s">
        <v>9</v>
      </c>
      <c r="I37" s="1193"/>
      <c r="J37" s="1193"/>
      <c r="K37" s="1193"/>
      <c r="L37" s="1193"/>
      <c r="M37" s="1193"/>
      <c r="N37" s="1193"/>
      <c r="O37" s="1193"/>
      <c r="P37" s="1193"/>
      <c r="Q37" s="1193"/>
      <c r="R37" s="1193"/>
      <c r="S37" s="1193"/>
      <c r="T37" s="1193"/>
      <c r="U37" s="1193"/>
      <c r="V37" s="1193"/>
      <c r="W37" s="1193"/>
      <c r="X37" s="1193"/>
      <c r="Y37" s="1193"/>
      <c r="Z37" s="1193"/>
      <c r="AA37" s="1193"/>
      <c r="AB37" s="1194"/>
      <c r="AC37" s="1201" t="s">
        <v>10</v>
      </c>
      <c r="AD37" s="1193"/>
      <c r="AE37" s="1193"/>
      <c r="AF37" s="1193"/>
      <c r="AG37" s="1194"/>
      <c r="AH37" s="1210" t="s">
        <v>22</v>
      </c>
      <c r="AI37" s="1265"/>
      <c r="AJ37" s="1265"/>
      <c r="AK37" s="1265"/>
      <c r="AL37" s="1265"/>
      <c r="AM37" s="1266"/>
      <c r="AN37" s="1210" t="s">
        <v>12</v>
      </c>
      <c r="AO37" s="1204"/>
      <c r="AP37" s="1204"/>
      <c r="AQ37" s="1204"/>
      <c r="AR37" s="1205"/>
      <c r="AS37" s="1210" t="s">
        <v>13</v>
      </c>
      <c r="AT37" s="1204"/>
      <c r="AU37" s="1204"/>
      <c r="AV37" s="1204"/>
      <c r="AW37" s="1213"/>
      <c r="AX37" s="1210" t="s">
        <v>14</v>
      </c>
      <c r="AY37" s="1204"/>
      <c r="AZ37" s="1204"/>
      <c r="BA37" s="1204"/>
      <c r="BB37" s="1213"/>
    </row>
    <row r="38" spans="1:54" s="13" customFormat="1" ht="12" customHeight="1" x14ac:dyDescent="0.2">
      <c r="A38" s="1195"/>
      <c r="B38" s="1196"/>
      <c r="C38" s="1196"/>
      <c r="D38" s="1196"/>
      <c r="E38" s="1196"/>
      <c r="F38" s="1196"/>
      <c r="G38" s="1197"/>
      <c r="H38" s="1202"/>
      <c r="I38" s="1196"/>
      <c r="J38" s="1196"/>
      <c r="K38" s="1196"/>
      <c r="L38" s="1196"/>
      <c r="M38" s="1196"/>
      <c r="N38" s="1196"/>
      <c r="O38" s="1196"/>
      <c r="P38" s="1196"/>
      <c r="Q38" s="1196"/>
      <c r="R38" s="1196"/>
      <c r="S38" s="1196"/>
      <c r="T38" s="1196"/>
      <c r="U38" s="1196"/>
      <c r="V38" s="1196"/>
      <c r="W38" s="1196"/>
      <c r="X38" s="1196"/>
      <c r="Y38" s="1196"/>
      <c r="Z38" s="1196"/>
      <c r="AA38" s="1196"/>
      <c r="AB38" s="1197"/>
      <c r="AC38" s="1202"/>
      <c r="AD38" s="1196"/>
      <c r="AE38" s="1196"/>
      <c r="AF38" s="1196"/>
      <c r="AG38" s="1197"/>
      <c r="AH38" s="1267"/>
      <c r="AI38" s="1268"/>
      <c r="AJ38" s="1268"/>
      <c r="AK38" s="1268"/>
      <c r="AL38" s="1268"/>
      <c r="AM38" s="1269"/>
      <c r="AN38" s="1211"/>
      <c r="AO38" s="1206"/>
      <c r="AP38" s="1206"/>
      <c r="AQ38" s="1206"/>
      <c r="AR38" s="1207"/>
      <c r="AS38" s="1211"/>
      <c r="AT38" s="1206"/>
      <c r="AU38" s="1206"/>
      <c r="AV38" s="1206"/>
      <c r="AW38" s="1214"/>
      <c r="AX38" s="1211"/>
      <c r="AY38" s="1206"/>
      <c r="AZ38" s="1206"/>
      <c r="BA38" s="1206"/>
      <c r="BB38" s="1214"/>
    </row>
    <row r="39" spans="1:54" s="13" customFormat="1" ht="11.25" customHeight="1" thickBot="1" x14ac:dyDescent="0.25">
      <c r="A39" s="1198"/>
      <c r="B39" s="1199"/>
      <c r="C39" s="1199"/>
      <c r="D39" s="1199"/>
      <c r="E39" s="1199"/>
      <c r="F39" s="1199"/>
      <c r="G39" s="1200"/>
      <c r="H39" s="1203"/>
      <c r="I39" s="1199"/>
      <c r="J39" s="1199"/>
      <c r="K39" s="1199"/>
      <c r="L39" s="1199"/>
      <c r="M39" s="1199"/>
      <c r="N39" s="1199"/>
      <c r="O39" s="1199"/>
      <c r="P39" s="1199"/>
      <c r="Q39" s="1199"/>
      <c r="R39" s="1199"/>
      <c r="S39" s="1199"/>
      <c r="T39" s="1199"/>
      <c r="U39" s="1199"/>
      <c r="V39" s="1199"/>
      <c r="W39" s="1199"/>
      <c r="X39" s="1199"/>
      <c r="Y39" s="1199"/>
      <c r="Z39" s="1199"/>
      <c r="AA39" s="1199"/>
      <c r="AB39" s="1200"/>
      <c r="AC39" s="1203"/>
      <c r="AD39" s="1199"/>
      <c r="AE39" s="1199"/>
      <c r="AF39" s="1199"/>
      <c r="AG39" s="1200"/>
      <c r="AH39" s="1270"/>
      <c r="AI39" s="1271"/>
      <c r="AJ39" s="1271"/>
      <c r="AK39" s="1271"/>
      <c r="AL39" s="1271"/>
      <c r="AM39" s="1272"/>
      <c r="AN39" s="1212"/>
      <c r="AO39" s="1208"/>
      <c r="AP39" s="1208"/>
      <c r="AQ39" s="1208"/>
      <c r="AR39" s="1209"/>
      <c r="AS39" s="1212"/>
      <c r="AT39" s="1208"/>
      <c r="AU39" s="1208"/>
      <c r="AV39" s="1208"/>
      <c r="AW39" s="1215"/>
      <c r="AX39" s="1212"/>
      <c r="AY39" s="1208"/>
      <c r="AZ39" s="1208"/>
      <c r="BA39" s="1208"/>
      <c r="BB39" s="1215"/>
    </row>
    <row r="40" spans="1:54" ht="18.75" customHeight="1" thickBot="1" x14ac:dyDescent="0.25">
      <c r="A40" s="1219" t="s">
        <v>23</v>
      </c>
      <c r="B40" s="1220"/>
      <c r="C40" s="1220"/>
      <c r="D40" s="1220"/>
      <c r="E40" s="1220"/>
      <c r="F40" s="1220"/>
      <c r="G40" s="1220"/>
      <c r="H40" s="1220"/>
      <c r="I40" s="1220"/>
      <c r="J40" s="1220"/>
      <c r="K40" s="1220"/>
      <c r="L40" s="1220"/>
      <c r="M40" s="1220"/>
      <c r="N40" s="1220"/>
      <c r="O40" s="1220"/>
      <c r="P40" s="1220"/>
      <c r="Q40" s="1220"/>
      <c r="R40" s="1220"/>
      <c r="S40" s="1220"/>
      <c r="T40" s="1220"/>
      <c r="U40" s="1220"/>
      <c r="V40" s="1220"/>
      <c r="W40" s="1220"/>
      <c r="X40" s="1220"/>
      <c r="Y40" s="1220"/>
      <c r="Z40" s="1220"/>
      <c r="AA40" s="1220"/>
      <c r="AB40" s="1220"/>
      <c r="AC40" s="1220"/>
      <c r="AD40" s="1220"/>
      <c r="AE40" s="1220"/>
      <c r="AF40" s="1220"/>
      <c r="AG40" s="1220"/>
      <c r="AH40" s="1220"/>
      <c r="AI40" s="1220"/>
      <c r="AJ40" s="1220"/>
      <c r="AK40" s="1220"/>
      <c r="AL40" s="1220"/>
      <c r="AM40" s="1220"/>
      <c r="AN40" s="1220"/>
      <c r="AO40" s="1220"/>
      <c r="AP40" s="1220"/>
      <c r="AQ40" s="1220"/>
      <c r="AR40" s="1220"/>
      <c r="AS40" s="1220"/>
      <c r="AT40" s="1220"/>
      <c r="AU40" s="1220"/>
      <c r="AV40" s="1220"/>
      <c r="AW40" s="1220"/>
      <c r="AX40" s="1220"/>
      <c r="AY40" s="1220"/>
      <c r="AZ40" s="1220"/>
      <c r="BA40" s="1220"/>
      <c r="BB40" s="1221"/>
    </row>
    <row r="41" spans="1:54" ht="36" customHeight="1" x14ac:dyDescent="0.2">
      <c r="A41" s="1591"/>
      <c r="B41" s="1591"/>
      <c r="C41" s="1591"/>
      <c r="D41" s="1591"/>
      <c r="E41" s="1591"/>
      <c r="F41" s="1591"/>
      <c r="G41" s="1592"/>
      <c r="H41" s="1231" t="s">
        <v>16</v>
      </c>
      <c r="I41" s="1232"/>
      <c r="J41" s="1232"/>
      <c r="K41" s="1232"/>
      <c r="L41" s="1232"/>
      <c r="M41" s="1232"/>
      <c r="N41" s="1232"/>
      <c r="O41" s="1232"/>
      <c r="P41" s="1232"/>
      <c r="Q41" s="1232"/>
      <c r="R41" s="1232"/>
      <c r="S41" s="1232"/>
      <c r="T41" s="1232"/>
      <c r="U41" s="1232"/>
      <c r="V41" s="1232"/>
      <c r="W41" s="1232"/>
      <c r="X41" s="1232"/>
      <c r="Y41" s="1232"/>
      <c r="Z41" s="1237">
        <v>0.05</v>
      </c>
      <c r="AA41" s="1238"/>
      <c r="AB41" s="1239"/>
      <c r="AC41" s="1595">
        <f>AX83*Z41*AH41</f>
        <v>0</v>
      </c>
      <c r="AD41" s="1595"/>
      <c r="AE41" s="1595"/>
      <c r="AF41" s="1595"/>
      <c r="AG41" s="1596"/>
      <c r="AH41" s="1597"/>
      <c r="AI41" s="1598"/>
      <c r="AJ41" s="1598"/>
      <c r="AK41" s="1598"/>
      <c r="AL41" s="1598"/>
      <c r="AM41" s="1599"/>
      <c r="AN41" s="1600">
        <f>AC41/U12</f>
        <v>0</v>
      </c>
      <c r="AO41" s="1595"/>
      <c r="AP41" s="1595"/>
      <c r="AQ41" s="1595"/>
      <c r="AR41" s="1596"/>
      <c r="AS41" s="1597" t="s">
        <v>17</v>
      </c>
      <c r="AT41" s="1598"/>
      <c r="AU41" s="1598"/>
      <c r="AV41" s="1598"/>
      <c r="AW41" s="1599"/>
      <c r="AX41" s="1600" t="s">
        <v>17</v>
      </c>
      <c r="AY41" s="1595"/>
      <c r="AZ41" s="1595"/>
      <c r="BA41" s="1595"/>
      <c r="BB41" s="1596"/>
    </row>
    <row r="42" spans="1:54" s="11" customFormat="1" ht="0.75" hidden="1" customHeight="1" x14ac:dyDescent="0.2">
      <c r="A42" s="1226"/>
      <c r="B42" s="1226"/>
      <c r="C42" s="1226"/>
      <c r="D42" s="1226"/>
      <c r="E42" s="1226"/>
      <c r="F42" s="1226"/>
      <c r="G42" s="1227"/>
      <c r="H42" s="1233"/>
      <c r="I42" s="1234"/>
      <c r="J42" s="1234"/>
      <c r="K42" s="1234"/>
      <c r="L42" s="1234"/>
      <c r="M42" s="1234"/>
      <c r="N42" s="1234"/>
      <c r="O42" s="1234"/>
      <c r="P42" s="1234"/>
      <c r="Q42" s="1234"/>
      <c r="R42" s="1234"/>
      <c r="S42" s="1234"/>
      <c r="T42" s="1234"/>
      <c r="U42" s="1234"/>
      <c r="V42" s="1234"/>
      <c r="W42" s="1234"/>
      <c r="X42" s="1234"/>
      <c r="Y42" s="1234"/>
      <c r="Z42" s="1240"/>
      <c r="AA42" s="1241"/>
      <c r="AB42" s="1242"/>
      <c r="AC42" s="1234"/>
      <c r="AD42" s="1234"/>
      <c r="AE42" s="1234"/>
      <c r="AF42" s="1234"/>
      <c r="AG42" s="1247"/>
      <c r="AH42" s="1253"/>
      <c r="AI42" s="1254"/>
      <c r="AJ42" s="1254"/>
      <c r="AK42" s="1254"/>
      <c r="AL42" s="1254"/>
      <c r="AM42" s="1255"/>
      <c r="AN42" s="1260"/>
      <c r="AO42" s="1234"/>
      <c r="AP42" s="1234"/>
      <c r="AQ42" s="1234"/>
      <c r="AR42" s="1247"/>
      <c r="AS42" s="1253"/>
      <c r="AT42" s="1254"/>
      <c r="AU42" s="1254"/>
      <c r="AV42" s="1254"/>
      <c r="AW42" s="1255"/>
      <c r="AX42" s="1260"/>
      <c r="AY42" s="1234"/>
      <c r="AZ42" s="1234"/>
      <c r="BA42" s="1234"/>
      <c r="BB42" s="1247"/>
    </row>
    <row r="43" spans="1:54" ht="18" customHeight="1" x14ac:dyDescent="0.2">
      <c r="A43" s="1226"/>
      <c r="B43" s="1226"/>
      <c r="C43" s="1226"/>
      <c r="D43" s="1226"/>
      <c r="E43" s="1226"/>
      <c r="F43" s="1226"/>
      <c r="G43" s="1227"/>
      <c r="H43" s="1233"/>
      <c r="I43" s="1234"/>
      <c r="J43" s="1234"/>
      <c r="K43" s="1234"/>
      <c r="L43" s="1234"/>
      <c r="M43" s="1234"/>
      <c r="N43" s="1234"/>
      <c r="O43" s="1234"/>
      <c r="P43" s="1234"/>
      <c r="Q43" s="1234"/>
      <c r="R43" s="1234"/>
      <c r="S43" s="1234"/>
      <c r="T43" s="1234"/>
      <c r="U43" s="1234"/>
      <c r="V43" s="1234"/>
      <c r="W43" s="1234"/>
      <c r="X43" s="1234"/>
      <c r="Y43" s="1234"/>
      <c r="Z43" s="1240"/>
      <c r="AA43" s="1241"/>
      <c r="AB43" s="1242"/>
      <c r="AC43" s="1248"/>
      <c r="AD43" s="1248"/>
      <c r="AE43" s="1248"/>
      <c r="AF43" s="1248"/>
      <c r="AG43" s="1249"/>
      <c r="AH43" s="1256"/>
      <c r="AI43" s="1257"/>
      <c r="AJ43" s="1257"/>
      <c r="AK43" s="1257"/>
      <c r="AL43" s="1257"/>
      <c r="AM43" s="1258"/>
      <c r="AN43" s="1261"/>
      <c r="AO43" s="1248"/>
      <c r="AP43" s="1248"/>
      <c r="AQ43" s="1248"/>
      <c r="AR43" s="1249"/>
      <c r="AS43" s="1256"/>
      <c r="AT43" s="1257"/>
      <c r="AU43" s="1257"/>
      <c r="AV43" s="1257"/>
      <c r="AW43" s="1258"/>
      <c r="AX43" s="1261"/>
      <c r="AY43" s="1248"/>
      <c r="AZ43" s="1248"/>
      <c r="BA43" s="1248"/>
      <c r="BB43" s="1249"/>
    </row>
    <row r="44" spans="1:54" s="11" customFormat="1" ht="21" hidden="1" customHeight="1" x14ac:dyDescent="0.2">
      <c r="A44" s="1226"/>
      <c r="B44" s="1226"/>
      <c r="C44" s="1226"/>
      <c r="D44" s="1226"/>
      <c r="E44" s="1226"/>
      <c r="F44" s="1226"/>
      <c r="G44" s="1227"/>
      <c r="H44" s="1233"/>
      <c r="I44" s="1234"/>
      <c r="J44" s="1234"/>
      <c r="K44" s="1234"/>
      <c r="L44" s="1234"/>
      <c r="M44" s="1234"/>
      <c r="N44" s="1234"/>
      <c r="O44" s="1234"/>
      <c r="P44" s="1234"/>
      <c r="Q44" s="1234"/>
      <c r="R44" s="1234"/>
      <c r="S44" s="1234"/>
      <c r="T44" s="1234"/>
      <c r="U44" s="1234"/>
      <c r="V44" s="1234"/>
      <c r="W44" s="1234"/>
      <c r="X44" s="1234"/>
      <c r="Y44" s="1234"/>
      <c r="Z44" s="1240"/>
      <c r="AA44" s="1241"/>
      <c r="AB44" s="1242"/>
      <c r="AC44" s="64"/>
      <c r="AD44" s="62"/>
      <c r="AE44" s="62"/>
      <c r="AF44" s="62"/>
      <c r="AG44" s="63"/>
      <c r="AH44" s="74"/>
      <c r="AI44" s="75"/>
      <c r="AJ44" s="75"/>
      <c r="AK44" s="75"/>
      <c r="AL44" s="75"/>
      <c r="AM44" s="76"/>
      <c r="AN44" s="64"/>
      <c r="AO44" s="62"/>
      <c r="AP44" s="62"/>
      <c r="AQ44" s="62"/>
      <c r="AR44" s="63"/>
      <c r="AS44" s="77"/>
      <c r="AT44" s="78"/>
      <c r="AU44" s="78"/>
      <c r="AV44" s="78"/>
      <c r="AW44" s="79"/>
      <c r="AX44" s="64"/>
      <c r="AY44" s="62"/>
      <c r="AZ44" s="62"/>
      <c r="BA44" s="62"/>
      <c r="BB44" s="62"/>
    </row>
    <row r="45" spans="1:54" s="11" customFormat="1" ht="21.75" hidden="1" customHeight="1" x14ac:dyDescent="0.2">
      <c r="A45" s="1226"/>
      <c r="B45" s="1226"/>
      <c r="C45" s="1226"/>
      <c r="D45" s="1226"/>
      <c r="E45" s="1226"/>
      <c r="F45" s="1226"/>
      <c r="G45" s="1227"/>
      <c r="H45" s="1233"/>
      <c r="I45" s="1234"/>
      <c r="J45" s="1234"/>
      <c r="K45" s="1234"/>
      <c r="L45" s="1234"/>
      <c r="M45" s="1234"/>
      <c r="N45" s="1234"/>
      <c r="O45" s="1234"/>
      <c r="P45" s="1234"/>
      <c r="Q45" s="1234"/>
      <c r="R45" s="1234"/>
      <c r="S45" s="1234"/>
      <c r="T45" s="1234"/>
      <c r="U45" s="1234"/>
      <c r="V45" s="1234"/>
      <c r="W45" s="1234"/>
      <c r="X45" s="1234"/>
      <c r="Y45" s="1234"/>
      <c r="Z45" s="1240"/>
      <c r="AA45" s="1241"/>
      <c r="AB45" s="1242"/>
      <c r="AC45" s="64"/>
      <c r="AD45" s="62"/>
      <c r="AE45" s="62"/>
      <c r="AF45" s="62"/>
      <c r="AG45" s="63"/>
      <c r="AH45" s="74"/>
      <c r="AI45" s="75"/>
      <c r="AJ45" s="75"/>
      <c r="AK45" s="75"/>
      <c r="AL45" s="75"/>
      <c r="AM45" s="76"/>
      <c r="AN45" s="64"/>
      <c r="AO45" s="62"/>
      <c r="AP45" s="62"/>
      <c r="AQ45" s="62"/>
      <c r="AR45" s="63"/>
      <c r="AS45" s="77"/>
      <c r="AT45" s="78"/>
      <c r="AU45" s="78"/>
      <c r="AV45" s="78"/>
      <c r="AW45" s="79"/>
      <c r="AX45" s="64"/>
      <c r="AY45" s="62"/>
      <c r="AZ45" s="62"/>
      <c r="BA45" s="62"/>
      <c r="BB45" s="62"/>
    </row>
    <row r="46" spans="1:54" s="11" customFormat="1" ht="24" hidden="1" customHeight="1" x14ac:dyDescent="0.2">
      <c r="A46" s="1226"/>
      <c r="B46" s="1226"/>
      <c r="C46" s="1226"/>
      <c r="D46" s="1226"/>
      <c r="E46" s="1226"/>
      <c r="F46" s="1226"/>
      <c r="G46" s="1227"/>
      <c r="H46" s="1233"/>
      <c r="I46" s="1234"/>
      <c r="J46" s="1234"/>
      <c r="K46" s="1234"/>
      <c r="L46" s="1234"/>
      <c r="M46" s="1234"/>
      <c r="N46" s="1234"/>
      <c r="O46" s="1234"/>
      <c r="P46" s="1234"/>
      <c r="Q46" s="1234"/>
      <c r="R46" s="1234"/>
      <c r="S46" s="1234"/>
      <c r="T46" s="1234"/>
      <c r="U46" s="1234"/>
      <c r="V46" s="1234"/>
      <c r="W46" s="1234"/>
      <c r="X46" s="1234"/>
      <c r="Y46" s="1234"/>
      <c r="Z46" s="1240"/>
      <c r="AA46" s="1241"/>
      <c r="AB46" s="1242"/>
      <c r="AC46" s="64"/>
      <c r="AD46" s="62"/>
      <c r="AE46" s="62"/>
      <c r="AF46" s="62"/>
      <c r="AG46" s="63"/>
      <c r="AH46" s="74"/>
      <c r="AI46" s="75"/>
      <c r="AJ46" s="75"/>
      <c r="AK46" s="75"/>
      <c r="AL46" s="75"/>
      <c r="AM46" s="76"/>
      <c r="AN46" s="64"/>
      <c r="AO46" s="62"/>
      <c r="AP46" s="62"/>
      <c r="AQ46" s="62"/>
      <c r="AR46" s="63"/>
      <c r="AS46" s="77"/>
      <c r="AT46" s="78"/>
      <c r="AU46" s="78"/>
      <c r="AV46" s="78"/>
      <c r="AW46" s="79"/>
      <c r="AX46" s="64"/>
      <c r="AY46" s="62"/>
      <c r="AZ46" s="62"/>
      <c r="BA46" s="62"/>
      <c r="BB46" s="62"/>
    </row>
    <row r="47" spans="1:54" s="11" customFormat="1" ht="18" hidden="1" customHeight="1" x14ac:dyDescent="0.2">
      <c r="A47" s="1226"/>
      <c r="B47" s="1226"/>
      <c r="C47" s="1226"/>
      <c r="D47" s="1226"/>
      <c r="E47" s="1226"/>
      <c r="F47" s="1226"/>
      <c r="G47" s="1227"/>
      <c r="H47" s="1233"/>
      <c r="I47" s="1234"/>
      <c r="J47" s="1234"/>
      <c r="K47" s="1234"/>
      <c r="L47" s="1234"/>
      <c r="M47" s="1234"/>
      <c r="N47" s="1234"/>
      <c r="O47" s="1234"/>
      <c r="P47" s="1234"/>
      <c r="Q47" s="1234"/>
      <c r="R47" s="1234"/>
      <c r="S47" s="1234"/>
      <c r="T47" s="1234"/>
      <c r="U47" s="1234"/>
      <c r="V47" s="1234"/>
      <c r="W47" s="1234"/>
      <c r="X47" s="1234"/>
      <c r="Y47" s="1234"/>
      <c r="Z47" s="1240"/>
      <c r="AA47" s="1241"/>
      <c r="AB47" s="1242"/>
      <c r="AC47" s="64"/>
      <c r="AD47" s="62"/>
      <c r="AE47" s="62"/>
      <c r="AF47" s="62"/>
      <c r="AG47" s="63"/>
      <c r="AH47" s="74"/>
      <c r="AI47" s="75"/>
      <c r="AJ47" s="75"/>
      <c r="AK47" s="75"/>
      <c r="AL47" s="75"/>
      <c r="AM47" s="76"/>
      <c r="AN47" s="64"/>
      <c r="AO47" s="62"/>
      <c r="AP47" s="62"/>
      <c r="AQ47" s="62"/>
      <c r="AR47" s="63"/>
      <c r="AS47" s="77"/>
      <c r="AT47" s="78"/>
      <c r="AU47" s="78"/>
      <c r="AV47" s="78"/>
      <c r="AW47" s="79"/>
      <c r="AX47" s="64"/>
      <c r="AY47" s="62"/>
      <c r="AZ47" s="62"/>
      <c r="BA47" s="62"/>
      <c r="BB47" s="62"/>
    </row>
    <row r="48" spans="1:54" s="11" customFormat="1" ht="17.25" hidden="1" customHeight="1" x14ac:dyDescent="0.2">
      <c r="A48" s="1226"/>
      <c r="B48" s="1226"/>
      <c r="C48" s="1226"/>
      <c r="D48" s="1226"/>
      <c r="E48" s="1226"/>
      <c r="F48" s="1226"/>
      <c r="G48" s="1227"/>
      <c r="H48" s="1233"/>
      <c r="I48" s="1234"/>
      <c r="J48" s="1234"/>
      <c r="K48" s="1234"/>
      <c r="L48" s="1234"/>
      <c r="M48" s="1234"/>
      <c r="N48" s="1234"/>
      <c r="O48" s="1234"/>
      <c r="P48" s="1234"/>
      <c r="Q48" s="1234"/>
      <c r="R48" s="1234"/>
      <c r="S48" s="1234"/>
      <c r="T48" s="1234"/>
      <c r="U48" s="1234"/>
      <c r="V48" s="1234"/>
      <c r="W48" s="1234"/>
      <c r="X48" s="1234"/>
      <c r="Y48" s="1234"/>
      <c r="Z48" s="1240"/>
      <c r="AA48" s="1241"/>
      <c r="AB48" s="1242"/>
      <c r="AC48" s="64"/>
      <c r="AD48" s="62"/>
      <c r="AE48" s="62"/>
      <c r="AF48" s="62"/>
      <c r="AG48" s="63"/>
      <c r="AH48" s="74"/>
      <c r="AI48" s="75"/>
      <c r="AJ48" s="75"/>
      <c r="AK48" s="75"/>
      <c r="AL48" s="75"/>
      <c r="AM48" s="76"/>
      <c r="AN48" s="64"/>
      <c r="AO48" s="62"/>
      <c r="AP48" s="62"/>
      <c r="AQ48" s="62"/>
      <c r="AR48" s="63"/>
      <c r="AS48" s="77"/>
      <c r="AT48" s="78"/>
      <c r="AU48" s="78"/>
      <c r="AV48" s="78"/>
      <c r="AW48" s="79"/>
      <c r="AX48" s="64"/>
      <c r="AY48" s="62"/>
      <c r="AZ48" s="62"/>
      <c r="BA48" s="62"/>
      <c r="BB48" s="62"/>
    </row>
    <row r="49" spans="1:54" s="11" customFormat="1" ht="14.25" hidden="1" customHeight="1" x14ac:dyDescent="0.2">
      <c r="A49" s="1226"/>
      <c r="B49" s="1226"/>
      <c r="C49" s="1226"/>
      <c r="D49" s="1226"/>
      <c r="E49" s="1226"/>
      <c r="F49" s="1226"/>
      <c r="G49" s="1227"/>
      <c r="H49" s="1233"/>
      <c r="I49" s="1234"/>
      <c r="J49" s="1234"/>
      <c r="K49" s="1234"/>
      <c r="L49" s="1234"/>
      <c r="M49" s="1234"/>
      <c r="N49" s="1234"/>
      <c r="O49" s="1234"/>
      <c r="P49" s="1234"/>
      <c r="Q49" s="1234"/>
      <c r="R49" s="1234"/>
      <c r="S49" s="1234"/>
      <c r="T49" s="1234"/>
      <c r="U49" s="1234"/>
      <c r="V49" s="1234"/>
      <c r="W49" s="1234"/>
      <c r="X49" s="1234"/>
      <c r="Y49" s="1234"/>
      <c r="Z49" s="1240"/>
      <c r="AA49" s="1241"/>
      <c r="AB49" s="1242"/>
      <c r="AC49" s="64"/>
      <c r="AD49" s="62"/>
      <c r="AE49" s="62"/>
      <c r="AF49" s="62"/>
      <c r="AG49" s="63"/>
      <c r="AH49" s="74"/>
      <c r="AI49" s="75"/>
      <c r="AJ49" s="75"/>
      <c r="AK49" s="75"/>
      <c r="AL49" s="75"/>
      <c r="AM49" s="76"/>
      <c r="AN49" s="64"/>
      <c r="AO49" s="62"/>
      <c r="AP49" s="62"/>
      <c r="AQ49" s="62"/>
      <c r="AR49" s="63"/>
      <c r="AS49" s="77"/>
      <c r="AT49" s="78"/>
      <c r="AU49" s="78"/>
      <c r="AV49" s="78"/>
      <c r="AW49" s="79"/>
      <c r="AX49" s="64"/>
      <c r="AY49" s="62"/>
      <c r="AZ49" s="62"/>
      <c r="BA49" s="62"/>
      <c r="BB49" s="62"/>
    </row>
    <row r="50" spans="1:54" ht="0.75" customHeight="1" thickBot="1" x14ac:dyDescent="0.25">
      <c r="A50" s="1593"/>
      <c r="B50" s="1593"/>
      <c r="C50" s="1593"/>
      <c r="D50" s="1593"/>
      <c r="E50" s="1593"/>
      <c r="F50" s="1593"/>
      <c r="G50" s="1594"/>
      <c r="H50" s="1235"/>
      <c r="I50" s="1236"/>
      <c r="J50" s="1236"/>
      <c r="K50" s="1236"/>
      <c r="L50" s="1236"/>
      <c r="M50" s="1236"/>
      <c r="N50" s="1236"/>
      <c r="O50" s="1236"/>
      <c r="P50" s="1236"/>
      <c r="Q50" s="1236"/>
      <c r="R50" s="1236"/>
      <c r="S50" s="1236"/>
      <c r="T50" s="1236"/>
      <c r="U50" s="1236"/>
      <c r="V50" s="1236"/>
      <c r="W50" s="1236"/>
      <c r="X50" s="1236"/>
      <c r="Y50" s="1236"/>
      <c r="Z50" s="1243"/>
      <c r="AA50" s="1244"/>
      <c r="AB50" s="1245"/>
      <c r="AC50" s="65"/>
      <c r="AD50" s="66"/>
      <c r="AE50" s="66"/>
      <c r="AF50" s="66"/>
      <c r="AG50" s="67"/>
      <c r="AH50" s="68"/>
      <c r="AI50" s="69"/>
      <c r="AJ50" s="69"/>
      <c r="AK50" s="69"/>
      <c r="AL50" s="69"/>
      <c r="AM50" s="70"/>
      <c r="AN50" s="65"/>
      <c r="AO50" s="66"/>
      <c r="AP50" s="66"/>
      <c r="AQ50" s="66"/>
      <c r="AR50" s="67"/>
      <c r="AS50" s="71"/>
      <c r="AT50" s="72"/>
      <c r="AU50" s="72"/>
      <c r="AV50" s="72"/>
      <c r="AW50" s="73"/>
      <c r="AX50" s="65"/>
      <c r="AY50" s="66"/>
      <c r="AZ50" s="66"/>
      <c r="BA50" s="66"/>
      <c r="BB50" s="66"/>
    </row>
    <row r="51" spans="1:54" s="11" customFormat="1" ht="11.25" customHeight="1" x14ac:dyDescent="0.2">
      <c r="A51" s="12"/>
      <c r="B51" s="12"/>
      <c r="C51" s="12"/>
      <c r="D51" s="12"/>
      <c r="E51" s="12"/>
      <c r="F51" s="12"/>
      <c r="G51" s="12"/>
      <c r="H51" s="1216"/>
      <c r="I51" s="1216"/>
      <c r="J51" s="1216"/>
      <c r="K51" s="1216"/>
      <c r="L51" s="10"/>
      <c r="M51" s="10"/>
      <c r="N51" s="10"/>
      <c r="O51" s="10"/>
      <c r="P51" s="10"/>
      <c r="Q51" s="23"/>
      <c r="R51" s="24" t="s">
        <v>18</v>
      </c>
      <c r="S51" s="9"/>
      <c r="T51" s="9"/>
      <c r="U51" s="8"/>
      <c r="V51" s="8"/>
      <c r="W51" s="8"/>
      <c r="X51" s="8"/>
      <c r="Y51" s="8"/>
      <c r="Z51" s="8"/>
      <c r="AA51" s="8"/>
      <c r="AB51" s="8"/>
      <c r="AC51" s="8"/>
      <c r="AD51" s="8" t="s">
        <v>19</v>
      </c>
      <c r="AE51" s="8" t="s">
        <v>20</v>
      </c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25"/>
      <c r="AS51" s="1217">
        <f>SUM(AN41:AR50)</f>
        <v>0</v>
      </c>
      <c r="AT51" s="1217"/>
      <c r="AU51" s="1217"/>
      <c r="AV51" s="1217"/>
      <c r="AW51" s="1217"/>
      <c r="AX51" s="1217">
        <f>SUM(AX41:BB44)</f>
        <v>0</v>
      </c>
      <c r="AY51" s="1217"/>
      <c r="AZ51" s="1217"/>
      <c r="BA51" s="1217"/>
      <c r="BB51" s="1218"/>
    </row>
    <row r="52" spans="1:54" s="11" customFormat="1" ht="11.25" customHeight="1" thickBot="1" x14ac:dyDescent="0.25">
      <c r="A52" s="12"/>
      <c r="B52" s="12"/>
      <c r="C52" s="12"/>
      <c r="D52" s="12"/>
      <c r="E52" s="12"/>
      <c r="F52" s="12"/>
      <c r="G52" s="12"/>
      <c r="H52" s="130"/>
      <c r="I52" s="130"/>
      <c r="J52" s="130"/>
      <c r="K52" s="130"/>
      <c r="L52" s="10"/>
      <c r="M52" s="10"/>
      <c r="N52" s="10"/>
      <c r="O52" s="10"/>
      <c r="P52" s="10"/>
      <c r="Q52" s="26"/>
      <c r="R52" s="20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 t="s">
        <v>19</v>
      </c>
      <c r="AE52" s="21" t="s">
        <v>21</v>
      </c>
      <c r="AF52" s="21"/>
      <c r="AG52" s="21"/>
      <c r="AH52" s="21"/>
      <c r="AI52" s="21"/>
      <c r="AJ52" s="21"/>
      <c r="AK52" s="21"/>
      <c r="AL52" s="21"/>
      <c r="AM52" s="21"/>
      <c r="AN52" s="21"/>
      <c r="AO52" s="1153">
        <v>0.30199999999999999</v>
      </c>
      <c r="AP52" s="997"/>
      <c r="AQ52" s="997"/>
      <c r="AR52" s="998"/>
      <c r="AS52" s="1154">
        <f>AS51*27.1%</f>
        <v>0</v>
      </c>
      <c r="AT52" s="1154"/>
      <c r="AU52" s="1154"/>
      <c r="AV52" s="1154"/>
      <c r="AW52" s="1154"/>
      <c r="AX52" s="1154">
        <f>AX51*AO52</f>
        <v>0</v>
      </c>
      <c r="AY52" s="1154"/>
      <c r="AZ52" s="1154"/>
      <c r="BA52" s="1154"/>
      <c r="BB52" s="1155"/>
    </row>
    <row r="53" spans="1:54" s="11" customFormat="1" ht="8.25" customHeight="1" thickBot="1" x14ac:dyDescent="0.25">
      <c r="A53" s="12"/>
      <c r="B53" s="12"/>
      <c r="C53" s="12"/>
      <c r="D53" s="12"/>
      <c r="E53" s="12"/>
      <c r="F53" s="12"/>
      <c r="G53" s="12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27"/>
      <c r="AA53" s="27"/>
      <c r="AB53" s="27"/>
      <c r="AC53" s="27"/>
      <c r="AD53" s="27"/>
      <c r="AE53" s="28"/>
      <c r="AF53" s="28"/>
      <c r="AG53" s="28"/>
      <c r="AH53" s="28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13"/>
      <c r="AT53" s="13"/>
      <c r="AU53" s="13"/>
      <c r="AV53" s="13"/>
      <c r="AW53" s="13"/>
      <c r="AX53" s="13"/>
      <c r="AY53" s="13"/>
      <c r="AZ53" s="13"/>
      <c r="BA53" s="13"/>
      <c r="BB53" s="13"/>
    </row>
    <row r="54" spans="1:54" s="11" customFormat="1" ht="12" customHeight="1" x14ac:dyDescent="0.2">
      <c r="A54" s="1192" t="s">
        <v>8</v>
      </c>
      <c r="B54" s="1193"/>
      <c r="C54" s="1193"/>
      <c r="D54" s="1193"/>
      <c r="E54" s="1193"/>
      <c r="F54" s="1193"/>
      <c r="G54" s="1194"/>
      <c r="H54" s="1201" t="s">
        <v>9</v>
      </c>
      <c r="I54" s="1193"/>
      <c r="J54" s="1193"/>
      <c r="K54" s="1193"/>
      <c r="L54" s="1193"/>
      <c r="M54" s="1193"/>
      <c r="N54" s="1193"/>
      <c r="O54" s="1193"/>
      <c r="P54" s="1193"/>
      <c r="Q54" s="1193"/>
      <c r="R54" s="1193"/>
      <c r="S54" s="1193"/>
      <c r="T54" s="1193"/>
      <c r="U54" s="1193"/>
      <c r="V54" s="1193"/>
      <c r="W54" s="1193"/>
      <c r="X54" s="1193"/>
      <c r="Y54" s="1193"/>
      <c r="Z54" s="1193"/>
      <c r="AA54" s="1193"/>
      <c r="AB54" s="1194"/>
      <c r="AC54" s="1201" t="s">
        <v>10</v>
      </c>
      <c r="AD54" s="1193"/>
      <c r="AE54" s="1193"/>
      <c r="AF54" s="1193"/>
      <c r="AG54" s="1194"/>
      <c r="AH54" s="1204" t="s">
        <v>24</v>
      </c>
      <c r="AI54" s="1204"/>
      <c r="AJ54" s="1204"/>
      <c r="AK54" s="1204"/>
      <c r="AL54" s="1204"/>
      <c r="AM54" s="1205"/>
      <c r="AN54" s="1210" t="s">
        <v>12</v>
      </c>
      <c r="AO54" s="1204"/>
      <c r="AP54" s="1204"/>
      <c r="AQ54" s="1204"/>
      <c r="AR54" s="1205"/>
      <c r="AS54" s="1210" t="s">
        <v>13</v>
      </c>
      <c r="AT54" s="1204"/>
      <c r="AU54" s="1204"/>
      <c r="AV54" s="1204"/>
      <c r="AW54" s="1213"/>
      <c r="AX54" s="1210" t="s">
        <v>14</v>
      </c>
      <c r="AY54" s="1204"/>
      <c r="AZ54" s="1204"/>
      <c r="BA54" s="1204"/>
      <c r="BB54" s="1213"/>
    </row>
    <row r="55" spans="1:54" s="11" customFormat="1" ht="12" customHeight="1" x14ac:dyDescent="0.2">
      <c r="A55" s="1195"/>
      <c r="B55" s="1196"/>
      <c r="C55" s="1196"/>
      <c r="D55" s="1196"/>
      <c r="E55" s="1196"/>
      <c r="F55" s="1196"/>
      <c r="G55" s="1197"/>
      <c r="H55" s="1202"/>
      <c r="I55" s="1196"/>
      <c r="J55" s="1196"/>
      <c r="K55" s="1196"/>
      <c r="L55" s="1196"/>
      <c r="M55" s="1196"/>
      <c r="N55" s="1196"/>
      <c r="O55" s="1196"/>
      <c r="P55" s="1196"/>
      <c r="Q55" s="1196"/>
      <c r="R55" s="1196"/>
      <c r="S55" s="1196"/>
      <c r="T55" s="1196"/>
      <c r="U55" s="1196"/>
      <c r="V55" s="1196"/>
      <c r="W55" s="1196"/>
      <c r="X55" s="1196"/>
      <c r="Y55" s="1196"/>
      <c r="Z55" s="1196"/>
      <c r="AA55" s="1196"/>
      <c r="AB55" s="1197"/>
      <c r="AC55" s="1202"/>
      <c r="AD55" s="1196"/>
      <c r="AE55" s="1196"/>
      <c r="AF55" s="1196"/>
      <c r="AG55" s="1197"/>
      <c r="AH55" s="1206"/>
      <c r="AI55" s="1206"/>
      <c r="AJ55" s="1206"/>
      <c r="AK55" s="1206"/>
      <c r="AL55" s="1206"/>
      <c r="AM55" s="1207"/>
      <c r="AN55" s="1211"/>
      <c r="AO55" s="1206"/>
      <c r="AP55" s="1206"/>
      <c r="AQ55" s="1206"/>
      <c r="AR55" s="1207"/>
      <c r="AS55" s="1211"/>
      <c r="AT55" s="1206"/>
      <c r="AU55" s="1206"/>
      <c r="AV55" s="1206"/>
      <c r="AW55" s="1214"/>
      <c r="AX55" s="1211"/>
      <c r="AY55" s="1206"/>
      <c r="AZ55" s="1206"/>
      <c r="BA55" s="1206"/>
      <c r="BB55" s="1214"/>
    </row>
    <row r="56" spans="1:54" s="10" customFormat="1" ht="13.5" customHeight="1" thickBot="1" x14ac:dyDescent="0.25">
      <c r="A56" s="1198"/>
      <c r="B56" s="1199"/>
      <c r="C56" s="1199"/>
      <c r="D56" s="1199"/>
      <c r="E56" s="1199"/>
      <c r="F56" s="1199"/>
      <c r="G56" s="1200"/>
      <c r="H56" s="1203"/>
      <c r="I56" s="1199"/>
      <c r="J56" s="1199"/>
      <c r="K56" s="1199"/>
      <c r="L56" s="1199"/>
      <c r="M56" s="1199"/>
      <c r="N56" s="1199"/>
      <c r="O56" s="1199"/>
      <c r="P56" s="1199"/>
      <c r="Q56" s="1199"/>
      <c r="R56" s="1199"/>
      <c r="S56" s="1199"/>
      <c r="T56" s="1199"/>
      <c r="U56" s="1199"/>
      <c r="V56" s="1199"/>
      <c r="W56" s="1199"/>
      <c r="X56" s="1199"/>
      <c r="Y56" s="1199"/>
      <c r="Z56" s="1199"/>
      <c r="AA56" s="1199"/>
      <c r="AB56" s="1200"/>
      <c r="AC56" s="1203"/>
      <c r="AD56" s="1199"/>
      <c r="AE56" s="1199"/>
      <c r="AF56" s="1199"/>
      <c r="AG56" s="1200"/>
      <c r="AH56" s="1208"/>
      <c r="AI56" s="1208"/>
      <c r="AJ56" s="1208"/>
      <c r="AK56" s="1208"/>
      <c r="AL56" s="1208"/>
      <c r="AM56" s="1209"/>
      <c r="AN56" s="1212"/>
      <c r="AO56" s="1208"/>
      <c r="AP56" s="1208"/>
      <c r="AQ56" s="1208"/>
      <c r="AR56" s="1209"/>
      <c r="AS56" s="1212"/>
      <c r="AT56" s="1208"/>
      <c r="AU56" s="1208"/>
      <c r="AV56" s="1208"/>
      <c r="AW56" s="1215"/>
      <c r="AX56" s="1212"/>
      <c r="AY56" s="1208"/>
      <c r="AZ56" s="1208"/>
      <c r="BA56" s="1208"/>
      <c r="BB56" s="1215"/>
    </row>
    <row r="57" spans="1:54" ht="25.5" customHeight="1" thickBot="1" x14ac:dyDescent="0.25">
      <c r="A57" s="1274" t="s">
        <v>25</v>
      </c>
      <c r="B57" s="1018"/>
      <c r="C57" s="1018"/>
      <c r="D57" s="1018"/>
      <c r="E57" s="1018"/>
      <c r="F57" s="1018"/>
      <c r="G57" s="1018"/>
      <c r="H57" s="1018"/>
      <c r="I57" s="1018"/>
      <c r="J57" s="1018"/>
      <c r="K57" s="1018"/>
      <c r="L57" s="1018"/>
      <c r="M57" s="1018"/>
      <c r="N57" s="1018"/>
      <c r="O57" s="1018"/>
      <c r="P57" s="1018"/>
      <c r="Q57" s="1018"/>
      <c r="R57" s="1018"/>
      <c r="S57" s="1018"/>
      <c r="T57" s="1018"/>
      <c r="U57" s="1018"/>
      <c r="V57" s="1018"/>
      <c r="W57" s="1018"/>
      <c r="X57" s="1018"/>
      <c r="Y57" s="1018"/>
      <c r="Z57" s="1018"/>
      <c r="AA57" s="1018"/>
      <c r="AB57" s="1018"/>
      <c r="AC57" s="1018"/>
      <c r="AD57" s="1018"/>
      <c r="AE57" s="1018"/>
      <c r="AF57" s="1018"/>
      <c r="AG57" s="1018"/>
      <c r="AH57" s="1018"/>
      <c r="AI57" s="1018"/>
      <c r="AJ57" s="1018"/>
      <c r="AK57" s="1018"/>
      <c r="AL57" s="1018"/>
      <c r="AM57" s="1018"/>
      <c r="AN57" s="1018"/>
      <c r="AO57" s="1018"/>
      <c r="AP57" s="1018"/>
      <c r="AQ57" s="1018"/>
      <c r="AR57" s="1018"/>
      <c r="AS57" s="1018"/>
      <c r="AT57" s="1018"/>
      <c r="AU57" s="1018"/>
      <c r="AV57" s="1018"/>
      <c r="AW57" s="1018"/>
      <c r="AX57" s="1018"/>
      <c r="AY57" s="1018"/>
      <c r="AZ57" s="1018"/>
      <c r="BA57" s="1018"/>
      <c r="BB57" s="1275"/>
    </row>
    <row r="58" spans="1:54" ht="13.5" hidden="1" customHeight="1" x14ac:dyDescent="0.2">
      <c r="A58" s="660" t="s">
        <v>330</v>
      </c>
      <c r="B58" s="661"/>
      <c r="C58" s="661"/>
      <c r="D58" s="661"/>
      <c r="E58" s="661"/>
      <c r="F58" s="661"/>
      <c r="G58" s="661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96"/>
      <c r="AC58" s="662">
        <f>((R59+(R59*U61)+(R59*Q61)+(R59*M61)+(R59*I61))*Z61)</f>
        <v>22308</v>
      </c>
      <c r="AD58" s="662"/>
      <c r="AE58" s="662"/>
      <c r="AF58" s="662"/>
      <c r="AG58" s="662"/>
      <c r="AH58" s="662">
        <v>39</v>
      </c>
      <c r="AI58" s="662"/>
      <c r="AJ58" s="662"/>
      <c r="AK58" s="662"/>
      <c r="AL58" s="662"/>
      <c r="AM58" s="662"/>
      <c r="AN58" s="662">
        <f>AC58/AH58</f>
        <v>572</v>
      </c>
      <c r="AO58" s="662"/>
      <c r="AP58" s="662"/>
      <c r="AQ58" s="662"/>
      <c r="AR58" s="662"/>
      <c r="AS58" s="663">
        <f>U12</f>
        <v>60</v>
      </c>
      <c r="AT58" s="663"/>
      <c r="AU58" s="663"/>
      <c r="AV58" s="663"/>
      <c r="AW58" s="663"/>
      <c r="AX58" s="662">
        <f>AN58*AS58</f>
        <v>34320</v>
      </c>
      <c r="AY58" s="662"/>
      <c r="AZ58" s="662"/>
      <c r="BA58" s="662"/>
      <c r="BB58" s="684"/>
    </row>
    <row r="59" spans="1:54" s="11" customFormat="1" ht="20.25" customHeight="1" x14ac:dyDescent="0.2">
      <c r="A59" s="652"/>
      <c r="B59" s="653"/>
      <c r="C59" s="653"/>
      <c r="D59" s="653"/>
      <c r="E59" s="653"/>
      <c r="F59" s="653"/>
      <c r="G59" s="653"/>
      <c r="H59" s="714" t="s">
        <v>26</v>
      </c>
      <c r="I59" s="704"/>
      <c r="J59" s="704"/>
      <c r="K59" s="704"/>
      <c r="L59" s="704"/>
      <c r="M59" s="704"/>
      <c r="N59" s="669">
        <v>1.3</v>
      </c>
      <c r="O59" s="669"/>
      <c r="P59" s="669"/>
      <c r="Q59" s="84" t="s">
        <v>27</v>
      </c>
      <c r="R59" s="669">
        <f>$AX$19*N59</f>
        <v>7150</v>
      </c>
      <c r="S59" s="669"/>
      <c r="T59" s="669"/>
      <c r="U59" s="669"/>
      <c r="V59" s="669"/>
      <c r="W59" s="84" t="s">
        <v>28</v>
      </c>
      <c r="X59" s="84" t="s">
        <v>29</v>
      </c>
      <c r="Y59" s="84"/>
      <c r="Z59" s="84"/>
      <c r="AA59" s="84"/>
      <c r="AB59" s="85"/>
      <c r="AC59" s="601"/>
      <c r="AD59" s="601"/>
      <c r="AE59" s="601"/>
      <c r="AF59" s="601"/>
      <c r="AG59" s="601"/>
      <c r="AH59" s="601"/>
      <c r="AI59" s="601"/>
      <c r="AJ59" s="601"/>
      <c r="AK59" s="601"/>
      <c r="AL59" s="601"/>
      <c r="AM59" s="601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1" customFormat="1" ht="4.5" customHeight="1" x14ac:dyDescent="0.2">
      <c r="A60" s="652"/>
      <c r="B60" s="653"/>
      <c r="C60" s="653"/>
      <c r="D60" s="653"/>
      <c r="E60" s="653"/>
      <c r="F60" s="653"/>
      <c r="G60" s="653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601"/>
      <c r="AD60" s="601"/>
      <c r="AE60" s="601"/>
      <c r="AF60" s="601"/>
      <c r="AG60" s="601"/>
      <c r="AH60" s="601"/>
      <c r="AI60" s="601"/>
      <c r="AJ60" s="601"/>
      <c r="AK60" s="601"/>
      <c r="AL60" s="601"/>
      <c r="AM60" s="601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1" customFormat="1" ht="11.25" customHeight="1" x14ac:dyDescent="0.2">
      <c r="A61" s="652"/>
      <c r="B61" s="653"/>
      <c r="C61" s="653"/>
      <c r="D61" s="653"/>
      <c r="E61" s="653"/>
      <c r="F61" s="653"/>
      <c r="G61" s="653"/>
      <c r="H61" s="97" t="s">
        <v>30</v>
      </c>
      <c r="I61" s="792">
        <v>0.2</v>
      </c>
      <c r="J61" s="792"/>
      <c r="K61" s="792"/>
      <c r="L61" s="84" t="s">
        <v>79</v>
      </c>
      <c r="M61" s="792">
        <v>0</v>
      </c>
      <c r="N61" s="792"/>
      <c r="O61" s="792"/>
      <c r="P61" s="84" t="s">
        <v>79</v>
      </c>
      <c r="Q61" s="792">
        <v>0</v>
      </c>
      <c r="R61" s="792"/>
      <c r="S61" s="792"/>
      <c r="T61" s="84" t="s">
        <v>79</v>
      </c>
      <c r="U61" s="792">
        <v>0</v>
      </c>
      <c r="V61" s="792"/>
      <c r="W61" s="792"/>
      <c r="X61" s="84" t="s">
        <v>31</v>
      </c>
      <c r="Y61" s="84" t="s">
        <v>28</v>
      </c>
      <c r="Z61" s="669">
        <v>2.6</v>
      </c>
      <c r="AA61" s="669"/>
      <c r="AB61" s="670"/>
      <c r="AC61" s="601"/>
      <c r="AD61" s="601"/>
      <c r="AE61" s="601"/>
      <c r="AF61" s="601"/>
      <c r="AG61" s="601"/>
      <c r="AH61" s="601"/>
      <c r="AI61" s="601"/>
      <c r="AJ61" s="601"/>
      <c r="AK61" s="601"/>
      <c r="AL61" s="601"/>
      <c r="AM61" s="601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1" customFormat="1" ht="15" customHeight="1" thickBot="1" x14ac:dyDescent="0.25">
      <c r="A62" s="652"/>
      <c r="B62" s="653"/>
      <c r="C62" s="653"/>
      <c r="D62" s="653"/>
      <c r="E62" s="653"/>
      <c r="F62" s="653"/>
      <c r="G62" s="653"/>
      <c r="H62" s="98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99"/>
      <c r="AC62" s="601"/>
      <c r="AD62" s="601"/>
      <c r="AE62" s="601"/>
      <c r="AF62" s="601"/>
      <c r="AG62" s="601"/>
      <c r="AH62" s="601"/>
      <c r="AI62" s="601"/>
      <c r="AJ62" s="601"/>
      <c r="AK62" s="601"/>
      <c r="AL62" s="601"/>
      <c r="AM62" s="601"/>
      <c r="AN62" s="601"/>
      <c r="AO62" s="601"/>
      <c r="AP62" s="601"/>
      <c r="AQ62" s="601"/>
      <c r="AR62" s="601"/>
      <c r="AS62" s="664"/>
      <c r="AT62" s="664"/>
      <c r="AU62" s="664"/>
      <c r="AV62" s="664"/>
      <c r="AW62" s="664"/>
      <c r="AX62" s="601"/>
      <c r="AY62" s="601"/>
      <c r="AZ62" s="601"/>
      <c r="BA62" s="601"/>
      <c r="BB62" s="655"/>
    </row>
    <row r="63" spans="1:54" ht="5.0999999999999996" hidden="1" customHeight="1" x14ac:dyDescent="0.2">
      <c r="A63" s="1182"/>
      <c r="B63" s="1183"/>
      <c r="C63" s="1183"/>
      <c r="D63" s="1183"/>
      <c r="E63" s="1183"/>
      <c r="F63" s="1183"/>
      <c r="G63" s="1183"/>
      <c r="H63" s="39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40" t="e">
        <f>#REF!</f>
        <v>#REF!</v>
      </c>
      <c r="AA63" s="27"/>
      <c r="AB63" s="33"/>
      <c r="AC63" s="970">
        <f>((R64+(R64*U66)+(R64*Q66)+(R64*M66)+(R64*I66))*Z66)*1.15</f>
        <v>0</v>
      </c>
      <c r="AD63" s="970"/>
      <c r="AE63" s="970"/>
      <c r="AF63" s="970"/>
      <c r="AG63" s="970"/>
      <c r="AH63" s="992">
        <v>1</v>
      </c>
      <c r="AI63" s="992"/>
      <c r="AJ63" s="992"/>
      <c r="AK63" s="992"/>
      <c r="AL63" s="992"/>
      <c r="AM63" s="992"/>
      <c r="AN63" s="529">
        <f>AC63/AH63</f>
        <v>0</v>
      </c>
      <c r="AO63" s="529"/>
      <c r="AP63" s="529"/>
      <c r="AQ63" s="529"/>
      <c r="AR63" s="529"/>
      <c r="AS63" s="1188">
        <f t="shared" ref="AS63" si="0">U17</f>
        <v>0</v>
      </c>
      <c r="AT63" s="1188"/>
      <c r="AU63" s="1188"/>
      <c r="AV63" s="1188"/>
      <c r="AW63" s="1188"/>
      <c r="AX63" s="529">
        <f>AN63*AS63</f>
        <v>0</v>
      </c>
      <c r="AY63" s="529"/>
      <c r="AZ63" s="529"/>
      <c r="BA63" s="529"/>
      <c r="BB63" s="665"/>
    </row>
    <row r="64" spans="1:54" s="11" customFormat="1" ht="11.25" hidden="1" customHeight="1" x14ac:dyDescent="0.2">
      <c r="A64" s="1182"/>
      <c r="B64" s="1183"/>
      <c r="C64" s="1183"/>
      <c r="D64" s="1183"/>
      <c r="E64" s="1183"/>
      <c r="F64" s="1183"/>
      <c r="G64" s="1183"/>
      <c r="H64" s="1174" t="s">
        <v>26</v>
      </c>
      <c r="I64" s="1175"/>
      <c r="J64" s="1175"/>
      <c r="K64" s="1175"/>
      <c r="L64" s="1175"/>
      <c r="M64" s="1175"/>
      <c r="N64" s="1176">
        <v>0</v>
      </c>
      <c r="O64" s="1176"/>
      <c r="P64" s="1176"/>
      <c r="Q64" s="27" t="s">
        <v>27</v>
      </c>
      <c r="R64" s="1176">
        <f>$AX$19*N64</f>
        <v>0</v>
      </c>
      <c r="S64" s="1176"/>
      <c r="T64" s="1176"/>
      <c r="U64" s="1176"/>
      <c r="V64" s="1176"/>
      <c r="W64" s="27" t="s">
        <v>28</v>
      </c>
      <c r="X64" s="27" t="s">
        <v>29</v>
      </c>
      <c r="Y64" s="27"/>
      <c r="Z64" s="27"/>
      <c r="AA64" s="27"/>
      <c r="AB64" s="33"/>
      <c r="AC64" s="992"/>
      <c r="AD64" s="992"/>
      <c r="AE64" s="992"/>
      <c r="AF64" s="992"/>
      <c r="AG64" s="992"/>
      <c r="AH64" s="992"/>
      <c r="AI64" s="992"/>
      <c r="AJ64" s="992"/>
      <c r="AK64" s="992"/>
      <c r="AL64" s="992"/>
      <c r="AM64" s="992"/>
      <c r="AN64" s="529"/>
      <c r="AO64" s="529"/>
      <c r="AP64" s="529"/>
      <c r="AQ64" s="529"/>
      <c r="AR64" s="529"/>
      <c r="AS64" s="1189"/>
      <c r="AT64" s="1189"/>
      <c r="AU64" s="1189"/>
      <c r="AV64" s="1189"/>
      <c r="AW64" s="1189"/>
      <c r="AX64" s="529"/>
      <c r="AY64" s="529"/>
      <c r="AZ64" s="529"/>
      <c r="BA64" s="529"/>
      <c r="BB64" s="665"/>
    </row>
    <row r="65" spans="1:54" s="11" customFormat="1" ht="5.0999999999999996" hidden="1" customHeight="1" x14ac:dyDescent="0.2">
      <c r="A65" s="1182"/>
      <c r="B65" s="1183"/>
      <c r="C65" s="1183"/>
      <c r="D65" s="1183"/>
      <c r="E65" s="1183"/>
      <c r="F65" s="1183"/>
      <c r="G65" s="1183"/>
      <c r="H65" s="34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27"/>
      <c r="AA65" s="27"/>
      <c r="AB65" s="33"/>
      <c r="AC65" s="992"/>
      <c r="AD65" s="992"/>
      <c r="AE65" s="992"/>
      <c r="AF65" s="992"/>
      <c r="AG65" s="992"/>
      <c r="AH65" s="992"/>
      <c r="AI65" s="992"/>
      <c r="AJ65" s="992"/>
      <c r="AK65" s="992"/>
      <c r="AL65" s="992"/>
      <c r="AM65" s="992"/>
      <c r="AN65" s="529"/>
      <c r="AO65" s="529"/>
      <c r="AP65" s="529"/>
      <c r="AQ65" s="529"/>
      <c r="AR65" s="529"/>
      <c r="AS65" s="1189"/>
      <c r="AT65" s="1189"/>
      <c r="AU65" s="1189"/>
      <c r="AV65" s="1189"/>
      <c r="AW65" s="1189"/>
      <c r="AX65" s="529"/>
      <c r="AY65" s="529"/>
      <c r="AZ65" s="529"/>
      <c r="BA65" s="529"/>
      <c r="BB65" s="665"/>
    </row>
    <row r="66" spans="1:54" s="11" customFormat="1" ht="11.25" hidden="1" customHeight="1" x14ac:dyDescent="0.2">
      <c r="A66" s="1182"/>
      <c r="B66" s="1183"/>
      <c r="C66" s="1183"/>
      <c r="D66" s="1183"/>
      <c r="E66" s="1183"/>
      <c r="F66" s="1183"/>
      <c r="G66" s="1183"/>
      <c r="H66" s="35" t="s">
        <v>30</v>
      </c>
      <c r="I66" s="1177">
        <v>0</v>
      </c>
      <c r="J66" s="1177"/>
      <c r="K66" s="1177"/>
      <c r="L66" s="27" t="s">
        <v>28</v>
      </c>
      <c r="M66" s="1177">
        <v>0</v>
      </c>
      <c r="N66" s="1177"/>
      <c r="O66" s="1177"/>
      <c r="P66" s="27" t="s">
        <v>28</v>
      </c>
      <c r="Q66" s="1177"/>
      <c r="R66" s="1177"/>
      <c r="S66" s="1177"/>
      <c r="T66" s="27" t="s">
        <v>28</v>
      </c>
      <c r="U66" s="1177"/>
      <c r="V66" s="1177"/>
      <c r="W66" s="1177"/>
      <c r="X66" s="27" t="s">
        <v>31</v>
      </c>
      <c r="Y66" s="27" t="s">
        <v>28</v>
      </c>
      <c r="Z66" s="1176">
        <v>2.6</v>
      </c>
      <c r="AA66" s="1176"/>
      <c r="AB66" s="1186"/>
      <c r="AC66" s="992"/>
      <c r="AD66" s="992"/>
      <c r="AE66" s="992"/>
      <c r="AF66" s="992"/>
      <c r="AG66" s="992"/>
      <c r="AH66" s="992"/>
      <c r="AI66" s="992"/>
      <c r="AJ66" s="992"/>
      <c r="AK66" s="992"/>
      <c r="AL66" s="992"/>
      <c r="AM66" s="992"/>
      <c r="AN66" s="529"/>
      <c r="AO66" s="529"/>
      <c r="AP66" s="529"/>
      <c r="AQ66" s="529"/>
      <c r="AR66" s="529"/>
      <c r="AS66" s="1189"/>
      <c r="AT66" s="1189"/>
      <c r="AU66" s="1189"/>
      <c r="AV66" s="1189"/>
      <c r="AW66" s="1189"/>
      <c r="AX66" s="529"/>
      <c r="AY66" s="529"/>
      <c r="AZ66" s="529"/>
      <c r="BA66" s="529"/>
      <c r="BB66" s="665"/>
    </row>
    <row r="67" spans="1:54" s="11" customFormat="1" ht="5.0999999999999996" hidden="1" customHeight="1" thickBot="1" x14ac:dyDescent="0.25">
      <c r="A67" s="1182"/>
      <c r="B67" s="1183"/>
      <c r="C67" s="1183"/>
      <c r="D67" s="1183"/>
      <c r="E67" s="1183"/>
      <c r="F67" s="1183"/>
      <c r="G67" s="1183"/>
      <c r="H67" s="36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132"/>
      <c r="AA67" s="132"/>
      <c r="AB67" s="38"/>
      <c r="AC67" s="992"/>
      <c r="AD67" s="992"/>
      <c r="AE67" s="992"/>
      <c r="AF67" s="992"/>
      <c r="AG67" s="992"/>
      <c r="AH67" s="992"/>
      <c r="AI67" s="992"/>
      <c r="AJ67" s="992"/>
      <c r="AK67" s="992"/>
      <c r="AL67" s="992"/>
      <c r="AM67" s="992"/>
      <c r="AN67" s="529"/>
      <c r="AO67" s="529"/>
      <c r="AP67" s="529"/>
      <c r="AQ67" s="529"/>
      <c r="AR67" s="529"/>
      <c r="AS67" s="1189"/>
      <c r="AT67" s="1189"/>
      <c r="AU67" s="1189"/>
      <c r="AV67" s="1189"/>
      <c r="AW67" s="1189"/>
      <c r="AX67" s="529"/>
      <c r="AY67" s="529"/>
      <c r="AZ67" s="529"/>
      <c r="BA67" s="529"/>
      <c r="BB67" s="665"/>
    </row>
    <row r="68" spans="1:54" s="11" customFormat="1" ht="5.0999999999999996" hidden="1" customHeight="1" x14ac:dyDescent="0.2">
      <c r="A68" s="1182"/>
      <c r="B68" s="1183"/>
      <c r="C68" s="1183"/>
      <c r="D68" s="1183"/>
      <c r="E68" s="1183"/>
      <c r="F68" s="1183"/>
      <c r="G68" s="1183"/>
      <c r="H68" s="39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40" t="e">
        <f>#REF!</f>
        <v>#REF!</v>
      </c>
      <c r="AA68" s="27"/>
      <c r="AB68" s="33"/>
      <c r="AC68" s="970">
        <f>((R69+(R69*U71)+(R69*Q71)+(R69*M71)+(R69*I71))*Z71)*1.15</f>
        <v>0</v>
      </c>
      <c r="AD68" s="970"/>
      <c r="AE68" s="970"/>
      <c r="AF68" s="970"/>
      <c r="AG68" s="970"/>
      <c r="AH68" s="992">
        <v>1</v>
      </c>
      <c r="AI68" s="992"/>
      <c r="AJ68" s="992"/>
      <c r="AK68" s="992"/>
      <c r="AL68" s="992"/>
      <c r="AM68" s="992"/>
      <c r="AN68" s="529">
        <f>AC68/AH68</f>
        <v>0</v>
      </c>
      <c r="AO68" s="529"/>
      <c r="AP68" s="529"/>
      <c r="AQ68" s="529"/>
      <c r="AR68" s="529"/>
      <c r="AS68" s="1188">
        <f t="shared" ref="AS68" si="1">U22</f>
        <v>0</v>
      </c>
      <c r="AT68" s="1188"/>
      <c r="AU68" s="1188"/>
      <c r="AV68" s="1188"/>
      <c r="AW68" s="1188"/>
      <c r="AX68" s="529">
        <f>AN68*AS68</f>
        <v>0</v>
      </c>
      <c r="AY68" s="529"/>
      <c r="AZ68" s="529"/>
      <c r="BA68" s="529"/>
      <c r="BB68" s="665"/>
    </row>
    <row r="69" spans="1:54" s="11" customFormat="1" ht="11.25" hidden="1" customHeight="1" x14ac:dyDescent="0.2">
      <c r="A69" s="1182"/>
      <c r="B69" s="1183"/>
      <c r="C69" s="1183"/>
      <c r="D69" s="1183"/>
      <c r="E69" s="1183"/>
      <c r="F69" s="1183"/>
      <c r="G69" s="1183"/>
      <c r="H69" s="1174" t="s">
        <v>26</v>
      </c>
      <c r="I69" s="1175"/>
      <c r="J69" s="1175"/>
      <c r="K69" s="1175"/>
      <c r="L69" s="1175"/>
      <c r="M69" s="1175"/>
      <c r="N69" s="1176">
        <v>0</v>
      </c>
      <c r="O69" s="1176"/>
      <c r="P69" s="1176"/>
      <c r="Q69" s="27" t="s">
        <v>27</v>
      </c>
      <c r="R69" s="1176">
        <f>$AX$19*N69</f>
        <v>0</v>
      </c>
      <c r="S69" s="1176"/>
      <c r="T69" s="1176"/>
      <c r="U69" s="1176"/>
      <c r="V69" s="1176"/>
      <c r="W69" s="27" t="s">
        <v>28</v>
      </c>
      <c r="X69" s="27" t="s">
        <v>29</v>
      </c>
      <c r="Y69" s="27"/>
      <c r="Z69" s="27"/>
      <c r="AA69" s="27"/>
      <c r="AB69" s="33"/>
      <c r="AC69" s="992"/>
      <c r="AD69" s="992"/>
      <c r="AE69" s="992"/>
      <c r="AF69" s="992"/>
      <c r="AG69" s="992"/>
      <c r="AH69" s="992"/>
      <c r="AI69" s="992"/>
      <c r="AJ69" s="992"/>
      <c r="AK69" s="992"/>
      <c r="AL69" s="992"/>
      <c r="AM69" s="992"/>
      <c r="AN69" s="529"/>
      <c r="AO69" s="529"/>
      <c r="AP69" s="529"/>
      <c r="AQ69" s="529"/>
      <c r="AR69" s="529"/>
      <c r="AS69" s="1189"/>
      <c r="AT69" s="1189"/>
      <c r="AU69" s="1189"/>
      <c r="AV69" s="1189"/>
      <c r="AW69" s="1189"/>
      <c r="AX69" s="529"/>
      <c r="AY69" s="529"/>
      <c r="AZ69" s="529"/>
      <c r="BA69" s="529"/>
      <c r="BB69" s="665"/>
    </row>
    <row r="70" spans="1:54" ht="5.0999999999999996" hidden="1" customHeight="1" x14ac:dyDescent="0.2">
      <c r="A70" s="1182"/>
      <c r="B70" s="1183"/>
      <c r="C70" s="1183"/>
      <c r="D70" s="1183"/>
      <c r="E70" s="1183"/>
      <c r="F70" s="1183"/>
      <c r="G70" s="1183"/>
      <c r="H70" s="34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27"/>
      <c r="AA70" s="27"/>
      <c r="AB70" s="33"/>
      <c r="AC70" s="992"/>
      <c r="AD70" s="992"/>
      <c r="AE70" s="992"/>
      <c r="AF70" s="992"/>
      <c r="AG70" s="992"/>
      <c r="AH70" s="992"/>
      <c r="AI70" s="992"/>
      <c r="AJ70" s="992"/>
      <c r="AK70" s="992"/>
      <c r="AL70" s="992"/>
      <c r="AM70" s="992"/>
      <c r="AN70" s="529"/>
      <c r="AO70" s="529"/>
      <c r="AP70" s="529"/>
      <c r="AQ70" s="529"/>
      <c r="AR70" s="529"/>
      <c r="AS70" s="1189"/>
      <c r="AT70" s="1189"/>
      <c r="AU70" s="1189"/>
      <c r="AV70" s="1189"/>
      <c r="AW70" s="1189"/>
      <c r="AX70" s="529"/>
      <c r="AY70" s="529"/>
      <c r="AZ70" s="529"/>
      <c r="BA70" s="529"/>
      <c r="BB70" s="665"/>
    </row>
    <row r="71" spans="1:54" s="11" customFormat="1" ht="11.25" hidden="1" customHeight="1" x14ac:dyDescent="0.2">
      <c r="A71" s="1182"/>
      <c r="B71" s="1183"/>
      <c r="C71" s="1183"/>
      <c r="D71" s="1183"/>
      <c r="E71" s="1183"/>
      <c r="F71" s="1183"/>
      <c r="G71" s="1183"/>
      <c r="H71" s="35" t="s">
        <v>30</v>
      </c>
      <c r="I71" s="1177">
        <v>0</v>
      </c>
      <c r="J71" s="1177"/>
      <c r="K71" s="1177"/>
      <c r="L71" s="27" t="s">
        <v>28</v>
      </c>
      <c r="M71" s="1177">
        <v>0</v>
      </c>
      <c r="N71" s="1177"/>
      <c r="O71" s="1177"/>
      <c r="P71" s="27" t="s">
        <v>28</v>
      </c>
      <c r="Q71" s="1177"/>
      <c r="R71" s="1177"/>
      <c r="S71" s="1177"/>
      <c r="T71" s="27" t="s">
        <v>28</v>
      </c>
      <c r="U71" s="1177"/>
      <c r="V71" s="1177"/>
      <c r="W71" s="1177"/>
      <c r="X71" s="27" t="s">
        <v>31</v>
      </c>
      <c r="Y71" s="27" t="s">
        <v>28</v>
      </c>
      <c r="Z71" s="1176">
        <v>2.6</v>
      </c>
      <c r="AA71" s="1176"/>
      <c r="AB71" s="1186"/>
      <c r="AC71" s="992"/>
      <c r="AD71" s="992"/>
      <c r="AE71" s="992"/>
      <c r="AF71" s="992"/>
      <c r="AG71" s="992"/>
      <c r="AH71" s="992"/>
      <c r="AI71" s="992"/>
      <c r="AJ71" s="992"/>
      <c r="AK71" s="992"/>
      <c r="AL71" s="992"/>
      <c r="AM71" s="992"/>
      <c r="AN71" s="529"/>
      <c r="AO71" s="529"/>
      <c r="AP71" s="529"/>
      <c r="AQ71" s="529"/>
      <c r="AR71" s="529"/>
      <c r="AS71" s="1189"/>
      <c r="AT71" s="1189"/>
      <c r="AU71" s="1189"/>
      <c r="AV71" s="1189"/>
      <c r="AW71" s="1189"/>
      <c r="AX71" s="529"/>
      <c r="AY71" s="529"/>
      <c r="AZ71" s="529"/>
      <c r="BA71" s="529"/>
      <c r="BB71" s="665"/>
    </row>
    <row r="72" spans="1:54" s="11" customFormat="1" ht="11.25" hidden="1" customHeight="1" thickBot="1" x14ac:dyDescent="0.25">
      <c r="A72" s="1182"/>
      <c r="B72" s="1183"/>
      <c r="C72" s="1183"/>
      <c r="D72" s="1183"/>
      <c r="E72" s="1183"/>
      <c r="F72" s="1183"/>
      <c r="G72" s="1183"/>
      <c r="H72" s="36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132"/>
      <c r="AA72" s="132"/>
      <c r="AB72" s="38"/>
      <c r="AC72" s="992"/>
      <c r="AD72" s="992"/>
      <c r="AE72" s="992"/>
      <c r="AF72" s="992"/>
      <c r="AG72" s="992"/>
      <c r="AH72" s="992"/>
      <c r="AI72" s="992"/>
      <c r="AJ72" s="992"/>
      <c r="AK72" s="992"/>
      <c r="AL72" s="992"/>
      <c r="AM72" s="992"/>
      <c r="AN72" s="529"/>
      <c r="AO72" s="529"/>
      <c r="AP72" s="529"/>
      <c r="AQ72" s="529"/>
      <c r="AR72" s="529"/>
      <c r="AS72" s="1189"/>
      <c r="AT72" s="1189"/>
      <c r="AU72" s="1189"/>
      <c r="AV72" s="1189"/>
      <c r="AW72" s="1189"/>
      <c r="AX72" s="529"/>
      <c r="AY72" s="529"/>
      <c r="AZ72" s="529"/>
      <c r="BA72" s="529"/>
      <c r="BB72" s="665"/>
    </row>
    <row r="73" spans="1:54" s="11" customFormat="1" ht="15" hidden="1" customHeight="1" x14ac:dyDescent="0.2">
      <c r="A73" s="1180" t="s">
        <v>84</v>
      </c>
      <c r="B73" s="1181"/>
      <c r="C73" s="1181"/>
      <c r="D73" s="1181"/>
      <c r="E73" s="1181"/>
      <c r="F73" s="1181"/>
      <c r="G73" s="1181"/>
      <c r="H73" s="39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40" t="e">
        <f>#REF!</f>
        <v>#REF!</v>
      </c>
      <c r="AA73" s="27"/>
      <c r="AB73" s="33"/>
      <c r="AC73" s="970">
        <f>((R74+(R74*U76)+(R74*Q76)+(R74*M76)+(R74*I76))*Z76)</f>
        <v>0</v>
      </c>
      <c r="AD73" s="970"/>
      <c r="AE73" s="970"/>
      <c r="AF73" s="970"/>
      <c r="AG73" s="970"/>
      <c r="AH73" s="992">
        <v>75</v>
      </c>
      <c r="AI73" s="992"/>
      <c r="AJ73" s="992"/>
      <c r="AK73" s="992"/>
      <c r="AL73" s="992"/>
      <c r="AM73" s="992"/>
      <c r="AN73" s="529">
        <f>AC73/AH73</f>
        <v>0</v>
      </c>
      <c r="AO73" s="529"/>
      <c r="AP73" s="529"/>
      <c r="AQ73" s="529"/>
      <c r="AR73" s="529"/>
      <c r="AS73" s="1188">
        <f t="shared" ref="AS73" si="2">U27</f>
        <v>0</v>
      </c>
      <c r="AT73" s="1188"/>
      <c r="AU73" s="1188"/>
      <c r="AV73" s="1188"/>
      <c r="AW73" s="1188"/>
      <c r="AX73" s="529">
        <f>AN73*AS73</f>
        <v>0</v>
      </c>
      <c r="AY73" s="529"/>
      <c r="AZ73" s="529"/>
      <c r="BA73" s="529"/>
      <c r="BB73" s="665"/>
    </row>
    <row r="74" spans="1:54" s="11" customFormat="1" ht="21" hidden="1" customHeight="1" thickBot="1" x14ac:dyDescent="0.25">
      <c r="A74" s="1182"/>
      <c r="B74" s="1183"/>
      <c r="C74" s="1183"/>
      <c r="D74" s="1183"/>
      <c r="E74" s="1183"/>
      <c r="F74" s="1183"/>
      <c r="G74" s="1183"/>
      <c r="H74" s="1174" t="s">
        <v>26</v>
      </c>
      <c r="I74" s="1175"/>
      <c r="J74" s="1175"/>
      <c r="K74" s="1175"/>
      <c r="L74" s="1175"/>
      <c r="M74" s="1175"/>
      <c r="N74" s="1176">
        <v>0</v>
      </c>
      <c r="O74" s="1176"/>
      <c r="P74" s="1176"/>
      <c r="Q74" s="27" t="s">
        <v>27</v>
      </c>
      <c r="R74" s="1176">
        <f>$AX$19*N74</f>
        <v>0</v>
      </c>
      <c r="S74" s="1176"/>
      <c r="T74" s="1176"/>
      <c r="U74" s="1176"/>
      <c r="V74" s="1176"/>
      <c r="W74" s="27" t="s">
        <v>28</v>
      </c>
      <c r="X74" s="27" t="s">
        <v>29</v>
      </c>
      <c r="Y74" s="27"/>
      <c r="Z74" s="27"/>
      <c r="AA74" s="27"/>
      <c r="AB74" s="33"/>
      <c r="AC74" s="992"/>
      <c r="AD74" s="992"/>
      <c r="AE74" s="992"/>
      <c r="AF74" s="992"/>
      <c r="AG74" s="992"/>
      <c r="AH74" s="992"/>
      <c r="AI74" s="992"/>
      <c r="AJ74" s="992"/>
      <c r="AK74" s="992"/>
      <c r="AL74" s="992"/>
      <c r="AM74" s="992"/>
      <c r="AN74" s="529"/>
      <c r="AO74" s="529"/>
      <c r="AP74" s="529"/>
      <c r="AQ74" s="529"/>
      <c r="AR74" s="529"/>
      <c r="AS74" s="1189"/>
      <c r="AT74" s="1189"/>
      <c r="AU74" s="1189"/>
      <c r="AV74" s="1189"/>
      <c r="AW74" s="1189"/>
      <c r="AX74" s="529"/>
      <c r="AY74" s="529"/>
      <c r="AZ74" s="529"/>
      <c r="BA74" s="529"/>
      <c r="BB74" s="665"/>
    </row>
    <row r="75" spans="1:54" s="11" customFormat="1" ht="12" hidden="1" customHeight="1" thickBot="1" x14ac:dyDescent="0.25">
      <c r="A75" s="1182"/>
      <c r="B75" s="1183"/>
      <c r="C75" s="1183"/>
      <c r="D75" s="1183"/>
      <c r="E75" s="1183"/>
      <c r="F75" s="1183"/>
      <c r="G75" s="1183"/>
      <c r="H75" s="34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27"/>
      <c r="AA75" s="27"/>
      <c r="AB75" s="33"/>
      <c r="AC75" s="992"/>
      <c r="AD75" s="992"/>
      <c r="AE75" s="992"/>
      <c r="AF75" s="992"/>
      <c r="AG75" s="992"/>
      <c r="AH75" s="992"/>
      <c r="AI75" s="992"/>
      <c r="AJ75" s="992"/>
      <c r="AK75" s="992"/>
      <c r="AL75" s="992"/>
      <c r="AM75" s="992"/>
      <c r="AN75" s="529"/>
      <c r="AO75" s="529"/>
      <c r="AP75" s="529"/>
      <c r="AQ75" s="529"/>
      <c r="AR75" s="529"/>
      <c r="AS75" s="1189"/>
      <c r="AT75" s="1189"/>
      <c r="AU75" s="1189"/>
      <c r="AV75" s="1189"/>
      <c r="AW75" s="1189"/>
      <c r="AX75" s="529"/>
      <c r="AY75" s="529"/>
      <c r="AZ75" s="529"/>
      <c r="BA75" s="529"/>
      <c r="BB75" s="665"/>
    </row>
    <row r="76" spans="1:54" s="11" customFormat="1" ht="15.75" hidden="1" customHeight="1" thickBot="1" x14ac:dyDescent="0.25">
      <c r="A76" s="1182"/>
      <c r="B76" s="1183"/>
      <c r="C76" s="1183"/>
      <c r="D76" s="1183"/>
      <c r="E76" s="1183"/>
      <c r="F76" s="1183"/>
      <c r="G76" s="1183"/>
      <c r="H76" s="35" t="s">
        <v>30</v>
      </c>
      <c r="I76" s="1177">
        <v>0.2</v>
      </c>
      <c r="J76" s="1177"/>
      <c r="K76" s="1177"/>
      <c r="L76" s="27" t="s">
        <v>28</v>
      </c>
      <c r="M76" s="1177">
        <v>0.15</v>
      </c>
      <c r="N76" s="1177"/>
      <c r="O76" s="1177"/>
      <c r="P76" s="27" t="s">
        <v>28</v>
      </c>
      <c r="Q76" s="1177">
        <v>0.5</v>
      </c>
      <c r="R76" s="1177"/>
      <c r="S76" s="1177"/>
      <c r="T76" s="27" t="s">
        <v>28</v>
      </c>
      <c r="U76" s="1177">
        <v>0</v>
      </c>
      <c r="V76" s="1177"/>
      <c r="W76" s="1177"/>
      <c r="X76" s="27" t="s">
        <v>31</v>
      </c>
      <c r="Y76" s="27" t="s">
        <v>28</v>
      </c>
      <c r="Z76" s="1176">
        <v>2.6</v>
      </c>
      <c r="AA76" s="1176"/>
      <c r="AB76" s="1186"/>
      <c r="AC76" s="992"/>
      <c r="AD76" s="992"/>
      <c r="AE76" s="992"/>
      <c r="AF76" s="992"/>
      <c r="AG76" s="992"/>
      <c r="AH76" s="992"/>
      <c r="AI76" s="992"/>
      <c r="AJ76" s="992"/>
      <c r="AK76" s="992"/>
      <c r="AL76" s="992"/>
      <c r="AM76" s="992"/>
      <c r="AN76" s="529"/>
      <c r="AO76" s="529"/>
      <c r="AP76" s="529"/>
      <c r="AQ76" s="529"/>
      <c r="AR76" s="529"/>
      <c r="AS76" s="1189"/>
      <c r="AT76" s="1189"/>
      <c r="AU76" s="1189"/>
      <c r="AV76" s="1189"/>
      <c r="AW76" s="1189"/>
      <c r="AX76" s="529"/>
      <c r="AY76" s="529"/>
      <c r="AZ76" s="529"/>
      <c r="BA76" s="529"/>
      <c r="BB76" s="665"/>
    </row>
    <row r="77" spans="1:54" ht="13.5" hidden="1" customHeight="1" thickBot="1" x14ac:dyDescent="0.25">
      <c r="A77" s="1182"/>
      <c r="B77" s="1183"/>
      <c r="C77" s="1183"/>
      <c r="D77" s="1183"/>
      <c r="E77" s="1183"/>
      <c r="F77" s="1183"/>
      <c r="G77" s="1183"/>
      <c r="H77" s="36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132"/>
      <c r="AA77" s="132"/>
      <c r="AB77" s="38"/>
      <c r="AC77" s="992"/>
      <c r="AD77" s="992"/>
      <c r="AE77" s="992"/>
      <c r="AF77" s="992"/>
      <c r="AG77" s="992"/>
      <c r="AH77" s="992"/>
      <c r="AI77" s="992"/>
      <c r="AJ77" s="992"/>
      <c r="AK77" s="992"/>
      <c r="AL77" s="992"/>
      <c r="AM77" s="992"/>
      <c r="AN77" s="529"/>
      <c r="AO77" s="529"/>
      <c r="AP77" s="529"/>
      <c r="AQ77" s="529"/>
      <c r="AR77" s="529"/>
      <c r="AS77" s="1189"/>
      <c r="AT77" s="1189"/>
      <c r="AU77" s="1189"/>
      <c r="AV77" s="1189"/>
      <c r="AW77" s="1189"/>
      <c r="AX77" s="529"/>
      <c r="AY77" s="529"/>
      <c r="AZ77" s="529"/>
      <c r="BA77" s="529"/>
      <c r="BB77" s="665"/>
    </row>
    <row r="78" spans="1:54" s="11" customFormat="1" ht="8.25" hidden="1" customHeight="1" x14ac:dyDescent="0.2">
      <c r="A78" s="1180" t="s">
        <v>86</v>
      </c>
      <c r="B78" s="1181"/>
      <c r="C78" s="1181"/>
      <c r="D78" s="1181"/>
      <c r="E78" s="1181"/>
      <c r="F78" s="1181"/>
      <c r="G78" s="1181"/>
      <c r="H78" s="39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40" t="e">
        <f>#REF!</f>
        <v>#REF!</v>
      </c>
      <c r="AA78" s="27"/>
      <c r="AB78" s="33"/>
      <c r="AC78" s="1184">
        <f>((R79+(R79*U81)+(R79*Q81)+(R79*M81)+(R79*I81))*Z81)*1.15</f>
        <v>0</v>
      </c>
      <c r="AD78" s="1184"/>
      <c r="AE78" s="1184"/>
      <c r="AF78" s="1184"/>
      <c r="AG78" s="1184"/>
      <c r="AH78" s="1185">
        <v>144</v>
      </c>
      <c r="AI78" s="1185"/>
      <c r="AJ78" s="1185"/>
      <c r="AK78" s="1185"/>
      <c r="AL78" s="1185"/>
      <c r="AM78" s="1185"/>
      <c r="AN78" s="601">
        <f>AC78/AH78</f>
        <v>0</v>
      </c>
      <c r="AO78" s="601"/>
      <c r="AP78" s="601"/>
      <c r="AQ78" s="601"/>
      <c r="AR78" s="601"/>
      <c r="AS78" s="1188">
        <v>72</v>
      </c>
      <c r="AT78" s="1188"/>
      <c r="AU78" s="1188"/>
      <c r="AV78" s="1188"/>
      <c r="AW78" s="1188"/>
      <c r="AX78" s="601">
        <f>AN78*AS78</f>
        <v>0</v>
      </c>
      <c r="AY78" s="601"/>
      <c r="AZ78" s="601"/>
      <c r="BA78" s="601"/>
      <c r="BB78" s="655"/>
    </row>
    <row r="79" spans="1:54" s="11" customFormat="1" ht="27" hidden="1" customHeight="1" thickBot="1" x14ac:dyDescent="0.25">
      <c r="A79" s="1182"/>
      <c r="B79" s="1183"/>
      <c r="C79" s="1183"/>
      <c r="D79" s="1183"/>
      <c r="E79" s="1183"/>
      <c r="F79" s="1183"/>
      <c r="G79" s="1183"/>
      <c r="H79" s="1174" t="s">
        <v>26</v>
      </c>
      <c r="I79" s="1175"/>
      <c r="J79" s="1175"/>
      <c r="K79" s="1175"/>
      <c r="L79" s="1175"/>
      <c r="M79" s="1175"/>
      <c r="N79" s="1176">
        <v>0</v>
      </c>
      <c r="O79" s="1176"/>
      <c r="P79" s="1176"/>
      <c r="Q79" s="27" t="s">
        <v>27</v>
      </c>
      <c r="R79" s="1176">
        <f>$AX$19*N79</f>
        <v>0</v>
      </c>
      <c r="S79" s="1176"/>
      <c r="T79" s="1176"/>
      <c r="U79" s="1176"/>
      <c r="V79" s="1176"/>
      <c r="W79" s="27" t="s">
        <v>28</v>
      </c>
      <c r="X79" s="27" t="s">
        <v>29</v>
      </c>
      <c r="Y79" s="27"/>
      <c r="Z79" s="27"/>
      <c r="AA79" s="27"/>
      <c r="AB79" s="33"/>
      <c r="AC79" s="1185"/>
      <c r="AD79" s="1185"/>
      <c r="AE79" s="1185"/>
      <c r="AF79" s="1185"/>
      <c r="AG79" s="1185"/>
      <c r="AH79" s="1185"/>
      <c r="AI79" s="1185"/>
      <c r="AJ79" s="1185"/>
      <c r="AK79" s="1185"/>
      <c r="AL79" s="1185"/>
      <c r="AM79" s="1185"/>
      <c r="AN79" s="601"/>
      <c r="AO79" s="601"/>
      <c r="AP79" s="601"/>
      <c r="AQ79" s="601"/>
      <c r="AR79" s="601"/>
      <c r="AS79" s="1189"/>
      <c r="AT79" s="1189"/>
      <c r="AU79" s="1189"/>
      <c r="AV79" s="1189"/>
      <c r="AW79" s="1189"/>
      <c r="AX79" s="601"/>
      <c r="AY79" s="601"/>
      <c r="AZ79" s="601"/>
      <c r="BA79" s="601"/>
      <c r="BB79" s="655"/>
    </row>
    <row r="80" spans="1:54" s="11" customFormat="1" ht="6.75" hidden="1" customHeight="1" thickBot="1" x14ac:dyDescent="0.25">
      <c r="A80" s="1182"/>
      <c r="B80" s="1183"/>
      <c r="C80" s="1183"/>
      <c r="D80" s="1183"/>
      <c r="E80" s="1183"/>
      <c r="F80" s="1183"/>
      <c r="G80" s="1183"/>
      <c r="H80" s="34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27"/>
      <c r="AA80" s="27"/>
      <c r="AB80" s="33"/>
      <c r="AC80" s="1185"/>
      <c r="AD80" s="1185"/>
      <c r="AE80" s="1185"/>
      <c r="AF80" s="1185"/>
      <c r="AG80" s="1185"/>
      <c r="AH80" s="1185"/>
      <c r="AI80" s="1185"/>
      <c r="AJ80" s="1185"/>
      <c r="AK80" s="1185"/>
      <c r="AL80" s="1185"/>
      <c r="AM80" s="1185"/>
      <c r="AN80" s="601"/>
      <c r="AO80" s="601"/>
      <c r="AP80" s="601"/>
      <c r="AQ80" s="601"/>
      <c r="AR80" s="601"/>
      <c r="AS80" s="1189"/>
      <c r="AT80" s="1189"/>
      <c r="AU80" s="1189"/>
      <c r="AV80" s="1189"/>
      <c r="AW80" s="1189"/>
      <c r="AX80" s="601"/>
      <c r="AY80" s="601"/>
      <c r="AZ80" s="601"/>
      <c r="BA80" s="601"/>
      <c r="BB80" s="655"/>
    </row>
    <row r="81" spans="1:54" ht="12" hidden="1" customHeight="1" thickBot="1" x14ac:dyDescent="0.25">
      <c r="A81" s="1182"/>
      <c r="B81" s="1183"/>
      <c r="C81" s="1183"/>
      <c r="D81" s="1183"/>
      <c r="E81" s="1183"/>
      <c r="F81" s="1183"/>
      <c r="G81" s="1183"/>
      <c r="H81" s="35" t="s">
        <v>30</v>
      </c>
      <c r="I81" s="1177">
        <v>0.2</v>
      </c>
      <c r="J81" s="1177"/>
      <c r="K81" s="1177"/>
      <c r="L81" s="27" t="s">
        <v>28</v>
      </c>
      <c r="M81" s="1177">
        <v>0</v>
      </c>
      <c r="N81" s="1177"/>
      <c r="O81" s="1177"/>
      <c r="P81" s="27" t="s">
        <v>28</v>
      </c>
      <c r="Q81" s="1177">
        <v>0</v>
      </c>
      <c r="R81" s="1177"/>
      <c r="S81" s="1177"/>
      <c r="T81" s="27" t="s">
        <v>28</v>
      </c>
      <c r="U81" s="1177">
        <v>0</v>
      </c>
      <c r="V81" s="1177"/>
      <c r="W81" s="1177"/>
      <c r="X81" s="27" t="s">
        <v>31</v>
      </c>
      <c r="Y81" s="27" t="s">
        <v>28</v>
      </c>
      <c r="Z81" s="1176">
        <v>2.6</v>
      </c>
      <c r="AA81" s="1176"/>
      <c r="AB81" s="1186"/>
      <c r="AC81" s="1185"/>
      <c r="AD81" s="1185"/>
      <c r="AE81" s="1185"/>
      <c r="AF81" s="1185"/>
      <c r="AG81" s="1185"/>
      <c r="AH81" s="1185"/>
      <c r="AI81" s="1185"/>
      <c r="AJ81" s="1185"/>
      <c r="AK81" s="1185"/>
      <c r="AL81" s="1185"/>
      <c r="AM81" s="1185"/>
      <c r="AN81" s="601"/>
      <c r="AO81" s="601"/>
      <c r="AP81" s="601"/>
      <c r="AQ81" s="601"/>
      <c r="AR81" s="601"/>
      <c r="AS81" s="1189"/>
      <c r="AT81" s="1189"/>
      <c r="AU81" s="1189"/>
      <c r="AV81" s="1189"/>
      <c r="AW81" s="1189"/>
      <c r="AX81" s="601"/>
      <c r="AY81" s="601"/>
      <c r="AZ81" s="601"/>
      <c r="BA81" s="601"/>
      <c r="BB81" s="655"/>
    </row>
    <row r="82" spans="1:54" ht="13.5" hidden="1" customHeight="1" thickBot="1" x14ac:dyDescent="0.25">
      <c r="A82" s="1182"/>
      <c r="B82" s="1183"/>
      <c r="C82" s="1183"/>
      <c r="D82" s="1183"/>
      <c r="E82" s="1183"/>
      <c r="F82" s="1183"/>
      <c r="G82" s="1183"/>
      <c r="H82" s="41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3"/>
      <c r="AA82" s="43"/>
      <c r="AB82" s="44"/>
      <c r="AC82" s="1185"/>
      <c r="AD82" s="1185"/>
      <c r="AE82" s="1185"/>
      <c r="AF82" s="1185"/>
      <c r="AG82" s="1185"/>
      <c r="AH82" s="1187"/>
      <c r="AI82" s="1187"/>
      <c r="AJ82" s="1187"/>
      <c r="AK82" s="1187"/>
      <c r="AL82" s="1187"/>
      <c r="AM82" s="1187"/>
      <c r="AN82" s="656"/>
      <c r="AO82" s="656"/>
      <c r="AP82" s="656"/>
      <c r="AQ82" s="656"/>
      <c r="AR82" s="656"/>
      <c r="AS82" s="1189"/>
      <c r="AT82" s="1189"/>
      <c r="AU82" s="1189"/>
      <c r="AV82" s="1189"/>
      <c r="AW82" s="1189"/>
      <c r="AX82" s="656"/>
      <c r="AY82" s="656"/>
      <c r="AZ82" s="656"/>
      <c r="BA82" s="656"/>
      <c r="BB82" s="657"/>
    </row>
    <row r="83" spans="1:54" ht="11.25" customHeight="1" x14ac:dyDescent="0.2">
      <c r="R83" s="16" t="s">
        <v>18</v>
      </c>
      <c r="S83" s="17"/>
      <c r="T83" s="17"/>
      <c r="U83" s="18"/>
      <c r="V83" s="18"/>
      <c r="W83" s="18"/>
      <c r="X83" s="18"/>
      <c r="Y83" s="18"/>
      <c r="Z83" s="18"/>
      <c r="AA83" s="18"/>
      <c r="AB83" s="18"/>
      <c r="AC83" s="18"/>
      <c r="AD83" s="18" t="s">
        <v>19</v>
      </c>
      <c r="AE83" s="18" t="s">
        <v>20</v>
      </c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9"/>
      <c r="AS83" s="1178">
        <f>AX83/U12</f>
        <v>572</v>
      </c>
      <c r="AT83" s="1178"/>
      <c r="AU83" s="1178"/>
      <c r="AV83" s="1178"/>
      <c r="AW83" s="1178"/>
      <c r="AX83" s="1178">
        <f>SUM(AX58:BB82)</f>
        <v>34320</v>
      </c>
      <c r="AY83" s="1178"/>
      <c r="AZ83" s="1178"/>
      <c r="BA83" s="1178"/>
      <c r="BB83" s="1179"/>
    </row>
    <row r="84" spans="1:54" ht="11.25" customHeight="1" thickBot="1" x14ac:dyDescent="0.25">
      <c r="R84" s="20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 t="s">
        <v>19</v>
      </c>
      <c r="AE84" s="21" t="s">
        <v>21</v>
      </c>
      <c r="AF84" s="21"/>
      <c r="AG84" s="21"/>
      <c r="AH84" s="21"/>
      <c r="AI84" s="21"/>
      <c r="AJ84" s="21"/>
      <c r="AK84" s="21"/>
      <c r="AL84" s="21"/>
      <c r="AM84" s="21"/>
      <c r="AN84" s="21"/>
      <c r="AO84" s="1153">
        <v>0.30199999999999999</v>
      </c>
      <c r="AP84" s="997"/>
      <c r="AQ84" s="997"/>
      <c r="AR84" s="998"/>
      <c r="AS84" s="1154">
        <f>AX84/U12</f>
        <v>172.744</v>
      </c>
      <c r="AT84" s="1154"/>
      <c r="AU84" s="1154"/>
      <c r="AV84" s="1154"/>
      <c r="AW84" s="1154"/>
      <c r="AX84" s="1154">
        <f>AX83*AO84</f>
        <v>10364.64</v>
      </c>
      <c r="AY84" s="1154"/>
      <c r="AZ84" s="1154"/>
      <c r="BA84" s="1154"/>
      <c r="BB84" s="1155"/>
    </row>
    <row r="85" spans="1:54" ht="11.25" customHeight="1" thickBot="1" x14ac:dyDescent="0.25">
      <c r="M85" s="10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45"/>
      <c r="AP85" s="136"/>
      <c r="AQ85" s="136"/>
      <c r="AR85" s="136"/>
      <c r="AS85" s="135"/>
      <c r="AT85" s="135"/>
      <c r="AU85" s="135"/>
      <c r="AV85" s="135"/>
      <c r="AW85" s="135"/>
      <c r="AX85" s="135"/>
      <c r="AY85" s="135"/>
      <c r="AZ85" s="135"/>
      <c r="BA85" s="135"/>
      <c r="BB85" s="135"/>
    </row>
    <row r="86" spans="1:54" ht="12" customHeight="1" x14ac:dyDescent="0.2">
      <c r="A86" s="1156" t="s">
        <v>32</v>
      </c>
      <c r="B86" s="1156"/>
      <c r="C86" s="1156"/>
      <c r="D86" s="1156"/>
      <c r="E86" s="1156"/>
      <c r="F86" s="1156"/>
      <c r="G86" s="1156"/>
      <c r="H86" s="1156"/>
      <c r="I86" s="1156"/>
      <c r="J86" s="1156"/>
      <c r="K86" s="1156"/>
      <c r="L86" s="1156"/>
      <c r="M86" s="1156"/>
      <c r="N86" s="1156"/>
      <c r="O86" s="1157" t="s">
        <v>33</v>
      </c>
      <c r="P86" s="1158"/>
      <c r="Q86" s="1158"/>
      <c r="R86" s="1158"/>
      <c r="S86" s="1158"/>
      <c r="T86" s="1158"/>
      <c r="U86" s="1158"/>
      <c r="V86" s="1158"/>
      <c r="W86" s="1158"/>
      <c r="X86" s="1158"/>
      <c r="Y86" s="1158"/>
      <c r="Z86" s="1158"/>
      <c r="AA86" s="1158"/>
      <c r="AB86" s="1158"/>
      <c r="AC86" s="1158"/>
      <c r="AD86" s="1158"/>
      <c r="AE86" s="1158"/>
      <c r="AF86" s="1158"/>
      <c r="AG86" s="1158"/>
      <c r="AH86" s="1158"/>
      <c r="AI86" s="1158"/>
      <c r="AJ86" s="1158"/>
      <c r="AK86" s="1158"/>
      <c r="AL86" s="1158"/>
      <c r="AM86" s="1158"/>
      <c r="AN86" s="1158"/>
      <c r="AO86" s="1159">
        <f>AS34+AS51+AS83</f>
        <v>629.20000000000005</v>
      </c>
      <c r="AP86" s="1159"/>
      <c r="AQ86" s="1159"/>
      <c r="AR86" s="1159"/>
      <c r="AS86" s="1159"/>
      <c r="AT86" s="1159"/>
      <c r="AU86" s="1159"/>
      <c r="AV86" s="1159">
        <f>AX34+AX51+AX83</f>
        <v>37752</v>
      </c>
      <c r="AW86" s="1159"/>
      <c r="AX86" s="1159"/>
      <c r="AY86" s="1159"/>
      <c r="AZ86" s="1159"/>
      <c r="BA86" s="1159"/>
      <c r="BB86" s="1160"/>
    </row>
    <row r="87" spans="1:54" ht="12" customHeight="1" thickBot="1" x14ac:dyDescent="0.25">
      <c r="M87" s="9"/>
      <c r="O87" s="1166" t="s">
        <v>34</v>
      </c>
      <c r="P87" s="1167"/>
      <c r="Q87" s="1167"/>
      <c r="R87" s="1167"/>
      <c r="S87" s="1167"/>
      <c r="T87" s="1167"/>
      <c r="U87" s="1167"/>
      <c r="V87" s="1167"/>
      <c r="W87" s="1167"/>
      <c r="X87" s="1167"/>
      <c r="Y87" s="1167"/>
      <c r="Z87" s="1167"/>
      <c r="AA87" s="1167"/>
      <c r="AB87" s="1167"/>
      <c r="AC87" s="1167"/>
      <c r="AD87" s="1167"/>
      <c r="AE87" s="1167"/>
      <c r="AF87" s="1167"/>
      <c r="AG87" s="1167"/>
      <c r="AH87" s="1167"/>
      <c r="AI87" s="1167"/>
      <c r="AJ87" s="1167"/>
      <c r="AK87" s="1167"/>
      <c r="AL87" s="1167"/>
      <c r="AM87" s="1167"/>
      <c r="AN87" s="1167"/>
      <c r="AO87" s="1168">
        <f>AS35+AS52+AS84</f>
        <v>190.01839999999999</v>
      </c>
      <c r="AP87" s="1168"/>
      <c r="AQ87" s="1168"/>
      <c r="AR87" s="1168"/>
      <c r="AS87" s="1168"/>
      <c r="AT87" s="1168"/>
      <c r="AU87" s="1168"/>
      <c r="AV87" s="1168">
        <f>AX35+AX52+AX84</f>
        <v>11401.103999999999</v>
      </c>
      <c r="AW87" s="1168"/>
      <c r="AX87" s="1168"/>
      <c r="AY87" s="1168"/>
      <c r="AZ87" s="1168"/>
      <c r="BA87" s="1168"/>
      <c r="BB87" s="1169"/>
    </row>
    <row r="88" spans="1:54" ht="12" customHeight="1" thickBot="1" x14ac:dyDescent="0.25">
      <c r="M88" s="46" t="s">
        <v>35</v>
      </c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8"/>
      <c r="AO88" s="1170">
        <f>AO87+AO86</f>
        <v>819.21839999999997</v>
      </c>
      <c r="AP88" s="1171"/>
      <c r="AQ88" s="1171"/>
      <c r="AR88" s="1171"/>
      <c r="AS88" s="1171"/>
      <c r="AT88" s="1171"/>
      <c r="AU88" s="1171"/>
      <c r="AV88" s="1171">
        <f>AV86+AV87</f>
        <v>49153.103999999999</v>
      </c>
      <c r="AW88" s="1171"/>
      <c r="AX88" s="1171"/>
      <c r="AY88" s="1171"/>
      <c r="AZ88" s="1171"/>
      <c r="BA88" s="1171"/>
      <c r="BB88" s="1172"/>
    </row>
    <row r="89" spans="1:54" ht="18" customHeight="1" x14ac:dyDescent="0.2"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</row>
    <row r="90" spans="1:54" s="5" customFormat="1" ht="15" customHeight="1" x14ac:dyDescent="0.2">
      <c r="A90" s="55" t="s">
        <v>36</v>
      </c>
      <c r="B90" s="55"/>
      <c r="C90" s="55" t="s">
        <v>37</v>
      </c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6"/>
      <c r="AY90" s="56"/>
      <c r="AZ90" s="56"/>
      <c r="BA90" s="56"/>
      <c r="BB90" s="56"/>
    </row>
    <row r="91" spans="1:54" ht="21.75" customHeight="1" thickBot="1" x14ac:dyDescent="0.2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</row>
    <row r="92" spans="1:54" s="9" customFormat="1" ht="39" customHeight="1" x14ac:dyDescent="0.2">
      <c r="A92" s="1173" t="s">
        <v>38</v>
      </c>
      <c r="B92" s="1161"/>
      <c r="C92" s="1161"/>
      <c r="D92" s="1161"/>
      <c r="E92" s="1161"/>
      <c r="F92" s="1161"/>
      <c r="G92" s="1161"/>
      <c r="H92" s="1161"/>
      <c r="I92" s="1161"/>
      <c r="J92" s="1161"/>
      <c r="K92" s="1161"/>
      <c r="L92" s="1161"/>
      <c r="M92" s="1161"/>
      <c r="N92" s="1161"/>
      <c r="O92" s="1161"/>
      <c r="P92" s="1161"/>
      <c r="Q92" s="1000" t="s">
        <v>39</v>
      </c>
      <c r="R92" s="1000"/>
      <c r="S92" s="1000"/>
      <c r="T92" s="1000"/>
      <c r="U92" s="1000"/>
      <c r="V92" s="1000"/>
      <c r="W92" s="1000"/>
      <c r="X92" s="1000" t="s">
        <v>40</v>
      </c>
      <c r="Y92" s="1000"/>
      <c r="Z92" s="1000"/>
      <c r="AA92" s="1000"/>
      <c r="AB92" s="1000"/>
      <c r="AC92" s="1000"/>
      <c r="AD92" s="1000"/>
      <c r="AE92" s="1000" t="s">
        <v>41</v>
      </c>
      <c r="AF92" s="1000"/>
      <c r="AG92" s="1000"/>
      <c r="AH92" s="1000"/>
      <c r="AI92" s="1000"/>
      <c r="AJ92" s="1000"/>
      <c r="AK92" s="1000"/>
      <c r="AL92" s="1000"/>
      <c r="AM92" s="1161" t="s">
        <v>42</v>
      </c>
      <c r="AN92" s="1161"/>
      <c r="AO92" s="1161"/>
      <c r="AP92" s="1161"/>
      <c r="AQ92" s="1161"/>
      <c r="AR92" s="1161"/>
      <c r="AS92" s="1161"/>
      <c r="AT92" s="1161"/>
      <c r="AU92" s="1161"/>
      <c r="AV92" s="1161" t="s">
        <v>43</v>
      </c>
      <c r="AW92" s="1161"/>
      <c r="AX92" s="1161"/>
      <c r="AY92" s="1161"/>
      <c r="AZ92" s="1161"/>
      <c r="BA92" s="1161"/>
      <c r="BB92" s="1162"/>
    </row>
    <row r="93" spans="1:54" s="9" customFormat="1" ht="12" customHeight="1" thickBot="1" x14ac:dyDescent="0.25">
      <c r="A93" s="1163">
        <v>1</v>
      </c>
      <c r="B93" s="1164"/>
      <c r="C93" s="1164"/>
      <c r="D93" s="1164"/>
      <c r="E93" s="1164"/>
      <c r="F93" s="1164"/>
      <c r="G93" s="1164"/>
      <c r="H93" s="1164"/>
      <c r="I93" s="1164"/>
      <c r="J93" s="1164"/>
      <c r="K93" s="1164"/>
      <c r="L93" s="1164"/>
      <c r="M93" s="1164"/>
      <c r="N93" s="1164"/>
      <c r="O93" s="1164"/>
      <c r="P93" s="1164"/>
      <c r="Q93" s="1164">
        <v>2</v>
      </c>
      <c r="R93" s="1164"/>
      <c r="S93" s="1164"/>
      <c r="T93" s="1164"/>
      <c r="U93" s="1164"/>
      <c r="V93" s="1164"/>
      <c r="W93" s="1164"/>
      <c r="X93" s="1164">
        <v>3</v>
      </c>
      <c r="Y93" s="1164"/>
      <c r="Z93" s="1164"/>
      <c r="AA93" s="1164"/>
      <c r="AB93" s="1164"/>
      <c r="AC93" s="1164"/>
      <c r="AD93" s="1164"/>
      <c r="AE93" s="1164">
        <v>4</v>
      </c>
      <c r="AF93" s="1164"/>
      <c r="AG93" s="1164"/>
      <c r="AH93" s="1164"/>
      <c r="AI93" s="1164"/>
      <c r="AJ93" s="1164"/>
      <c r="AK93" s="1164"/>
      <c r="AL93" s="1164"/>
      <c r="AM93" s="1164">
        <v>5</v>
      </c>
      <c r="AN93" s="1164"/>
      <c r="AO93" s="1164"/>
      <c r="AP93" s="1164"/>
      <c r="AQ93" s="1164"/>
      <c r="AR93" s="1164"/>
      <c r="AS93" s="1164"/>
      <c r="AT93" s="1164"/>
      <c r="AU93" s="1164"/>
      <c r="AV93" s="1164">
        <v>6</v>
      </c>
      <c r="AW93" s="1164"/>
      <c r="AX93" s="1164"/>
      <c r="AY93" s="1164"/>
      <c r="AZ93" s="1164"/>
      <c r="BA93" s="1164"/>
      <c r="BB93" s="1165"/>
    </row>
    <row r="94" spans="1:54" ht="15" customHeight="1" x14ac:dyDescent="0.2">
      <c r="A94" s="1142" t="s">
        <v>44</v>
      </c>
      <c r="B94" s="1143"/>
      <c r="C94" s="1143"/>
      <c r="D94" s="1143"/>
      <c r="E94" s="1143"/>
      <c r="F94" s="1143"/>
      <c r="G94" s="1143"/>
      <c r="H94" s="1143"/>
      <c r="I94" s="1143"/>
      <c r="J94" s="1143"/>
      <c r="K94" s="1143"/>
      <c r="L94" s="1143"/>
      <c r="M94" s="1143"/>
      <c r="N94" s="1143"/>
      <c r="O94" s="1143"/>
      <c r="P94" s="1143"/>
      <c r="Q94" s="1114">
        <v>5014.7</v>
      </c>
      <c r="R94" s="1115"/>
      <c r="S94" s="1115"/>
      <c r="T94" s="1115"/>
      <c r="U94" s="1115"/>
      <c r="V94" s="1115"/>
      <c r="W94" s="1116"/>
      <c r="X94" s="1114">
        <v>81</v>
      </c>
      <c r="Y94" s="1115"/>
      <c r="Z94" s="1115"/>
      <c r="AA94" s="1115"/>
      <c r="AB94" s="1115"/>
      <c r="AC94" s="1115"/>
      <c r="AD94" s="1116"/>
      <c r="AE94" s="946">
        <v>1221400.24</v>
      </c>
      <c r="AF94" s="946"/>
      <c r="AG94" s="946"/>
      <c r="AH94" s="946"/>
      <c r="AI94" s="946"/>
      <c r="AJ94" s="946"/>
      <c r="AK94" s="946"/>
      <c r="AL94" s="946"/>
      <c r="AM94" s="1144" t="s">
        <v>45</v>
      </c>
      <c r="AN94" s="1145"/>
      <c r="AO94" s="1145"/>
      <c r="AP94" s="1145"/>
      <c r="AQ94" s="1145"/>
      <c r="AR94" s="1145"/>
      <c r="AS94" s="1145"/>
      <c r="AT94" s="1145"/>
      <c r="AU94" s="1146"/>
      <c r="AV94" s="1138">
        <f>AE94/$Q$94*$X$94/($AN$95*$AN$96)</f>
        <v>6.6561003927804476</v>
      </c>
      <c r="AW94" s="1138"/>
      <c r="AX94" s="1138"/>
      <c r="AY94" s="1138"/>
      <c r="AZ94" s="1138"/>
      <c r="BA94" s="1138"/>
      <c r="BB94" s="1139"/>
    </row>
    <row r="95" spans="1:54" ht="15" customHeight="1" x14ac:dyDescent="0.2">
      <c r="A95" s="1142" t="s">
        <v>46</v>
      </c>
      <c r="B95" s="1143"/>
      <c r="C95" s="1143"/>
      <c r="D95" s="1143"/>
      <c r="E95" s="1143"/>
      <c r="F95" s="1143"/>
      <c r="G95" s="1143"/>
      <c r="H95" s="1143"/>
      <c r="I95" s="1143"/>
      <c r="J95" s="1143"/>
      <c r="K95" s="1143"/>
      <c r="L95" s="1143"/>
      <c r="M95" s="1143"/>
      <c r="N95" s="1143"/>
      <c r="O95" s="1143"/>
      <c r="P95" s="1143"/>
      <c r="Q95" s="1114"/>
      <c r="R95" s="1115"/>
      <c r="S95" s="1115"/>
      <c r="T95" s="1115"/>
      <c r="U95" s="1115"/>
      <c r="V95" s="1115"/>
      <c r="W95" s="1116"/>
      <c r="X95" s="1114"/>
      <c r="Y95" s="1115"/>
      <c r="Z95" s="1115"/>
      <c r="AA95" s="1115"/>
      <c r="AB95" s="1115"/>
      <c r="AC95" s="1115"/>
      <c r="AD95" s="1116"/>
      <c r="AE95" s="1401">
        <v>2351731.0299999998</v>
      </c>
      <c r="AF95" s="1401"/>
      <c r="AG95" s="1401"/>
      <c r="AH95" s="1401"/>
      <c r="AI95" s="1401"/>
      <c r="AJ95" s="1401"/>
      <c r="AK95" s="1401"/>
      <c r="AL95" s="1401"/>
      <c r="AM95" s="88"/>
      <c r="AN95" s="1147">
        <v>247</v>
      </c>
      <c r="AO95" s="1147"/>
      <c r="AP95" s="1147"/>
      <c r="AQ95" s="1141" t="s">
        <v>47</v>
      </c>
      <c r="AR95" s="1141"/>
      <c r="AS95" s="1141"/>
      <c r="AT95" s="1141"/>
      <c r="AU95" s="89"/>
      <c r="AV95" s="1138">
        <f>AE95/$Q$94*$X$94/($AN$95*$AN$96)</f>
        <v>12.815911868902996</v>
      </c>
      <c r="AW95" s="1138"/>
      <c r="AX95" s="1138"/>
      <c r="AY95" s="1138"/>
      <c r="AZ95" s="1138"/>
      <c r="BA95" s="1138"/>
      <c r="BB95" s="1139"/>
    </row>
    <row r="96" spans="1:54" ht="15" customHeight="1" x14ac:dyDescent="0.2">
      <c r="A96" s="1120" t="s">
        <v>48</v>
      </c>
      <c r="B96" s="1121"/>
      <c r="C96" s="1121"/>
      <c r="D96" s="1121"/>
      <c r="E96" s="1121"/>
      <c r="F96" s="1121"/>
      <c r="G96" s="1121"/>
      <c r="H96" s="1121"/>
      <c r="I96" s="1121"/>
      <c r="J96" s="1121"/>
      <c r="K96" s="1121"/>
      <c r="L96" s="1121"/>
      <c r="M96" s="1121"/>
      <c r="N96" s="1121"/>
      <c r="O96" s="1121"/>
      <c r="P96" s="1122"/>
      <c r="Q96" s="1114"/>
      <c r="R96" s="1115"/>
      <c r="S96" s="1115"/>
      <c r="T96" s="1115"/>
      <c r="U96" s="1115"/>
      <c r="V96" s="1115"/>
      <c r="W96" s="1116"/>
      <c r="X96" s="1114"/>
      <c r="Y96" s="1115"/>
      <c r="Z96" s="1115"/>
      <c r="AA96" s="1115"/>
      <c r="AB96" s="1115"/>
      <c r="AC96" s="1115"/>
      <c r="AD96" s="1116"/>
      <c r="AE96" s="1401">
        <v>2952072.16</v>
      </c>
      <c r="AF96" s="1401"/>
      <c r="AG96" s="1401"/>
      <c r="AH96" s="1401"/>
      <c r="AI96" s="1401"/>
      <c r="AJ96" s="1401"/>
      <c r="AK96" s="1401"/>
      <c r="AL96" s="1401"/>
      <c r="AM96" s="88"/>
      <c r="AN96" s="1140">
        <v>12</v>
      </c>
      <c r="AO96" s="1140"/>
      <c r="AP96" s="1140"/>
      <c r="AQ96" s="1141" t="s">
        <v>49</v>
      </c>
      <c r="AR96" s="1141"/>
      <c r="AS96" s="1141"/>
      <c r="AT96" s="1141"/>
      <c r="AU96" s="89"/>
      <c r="AV96" s="1138">
        <f>AE96/$Q$94*$X$94/($AN$95*$AN$96)</f>
        <v>16.087510072613238</v>
      </c>
      <c r="AW96" s="1138"/>
      <c r="AX96" s="1138"/>
      <c r="AY96" s="1138"/>
      <c r="AZ96" s="1138"/>
      <c r="BA96" s="1138"/>
      <c r="BB96" s="1139"/>
    </row>
    <row r="97" spans="1:57" ht="15" customHeight="1" thickBot="1" x14ac:dyDescent="0.25">
      <c r="A97" s="1148" t="s">
        <v>50</v>
      </c>
      <c r="B97" s="1149"/>
      <c r="C97" s="1149"/>
      <c r="D97" s="1149"/>
      <c r="E97" s="1149"/>
      <c r="F97" s="1149"/>
      <c r="G97" s="1149"/>
      <c r="H97" s="1149"/>
      <c r="I97" s="1149"/>
      <c r="J97" s="1149"/>
      <c r="K97" s="1149"/>
      <c r="L97" s="1149"/>
      <c r="M97" s="1149"/>
      <c r="N97" s="1149"/>
      <c r="O97" s="1149"/>
      <c r="P97" s="1150"/>
      <c r="Q97" s="1114"/>
      <c r="R97" s="1115"/>
      <c r="S97" s="1115"/>
      <c r="T97" s="1115"/>
      <c r="U97" s="1115"/>
      <c r="V97" s="1115"/>
      <c r="W97" s="1116"/>
      <c r="X97" s="1114"/>
      <c r="Y97" s="1115"/>
      <c r="Z97" s="1115"/>
      <c r="AA97" s="1115"/>
      <c r="AB97" s="1115"/>
      <c r="AC97" s="1115"/>
      <c r="AD97" s="1116"/>
      <c r="AE97" s="1402">
        <v>1175308.21</v>
      </c>
      <c r="AF97" s="1402"/>
      <c r="AG97" s="1402"/>
      <c r="AH97" s="1402"/>
      <c r="AI97" s="1402"/>
      <c r="AJ97" s="1402"/>
      <c r="AK97" s="1402"/>
      <c r="AL97" s="1402"/>
      <c r="AM97" s="88"/>
      <c r="AN97" s="90"/>
      <c r="AO97" s="90"/>
      <c r="AP97" s="90"/>
      <c r="AQ97" s="90"/>
      <c r="AR97" s="90"/>
      <c r="AS97" s="90"/>
      <c r="AT97" s="90"/>
      <c r="AU97" s="89"/>
      <c r="AV97" s="1151">
        <f>AE97/$Q$94*$X$94/($AN$95*$AN$96)</f>
        <v>6.4049188644494501</v>
      </c>
      <c r="AW97" s="1151"/>
      <c r="AX97" s="1151"/>
      <c r="AY97" s="1151"/>
      <c r="AZ97" s="1151"/>
      <c r="BA97" s="1151"/>
      <c r="BB97" s="1152"/>
    </row>
    <row r="98" spans="1:57" s="7" customFormat="1" ht="15" customHeight="1" thickBot="1" x14ac:dyDescent="0.25">
      <c r="A98" s="1128" t="s">
        <v>51</v>
      </c>
      <c r="B98" s="1129"/>
      <c r="C98" s="1129"/>
      <c r="D98" s="1129"/>
      <c r="E98" s="1129"/>
      <c r="F98" s="1129"/>
      <c r="G98" s="1129"/>
      <c r="H98" s="1129"/>
      <c r="I98" s="1129"/>
      <c r="J98" s="1129"/>
      <c r="K98" s="1129"/>
      <c r="L98" s="1129"/>
      <c r="M98" s="1129"/>
      <c r="N98" s="1129"/>
      <c r="O98" s="1129"/>
      <c r="P98" s="1129"/>
      <c r="Q98" s="1130">
        <f>Q94</f>
        <v>5014.7</v>
      </c>
      <c r="R98" s="1065"/>
      <c r="S98" s="1065"/>
      <c r="T98" s="1065"/>
      <c r="U98" s="1065"/>
      <c r="V98" s="1065"/>
      <c r="W98" s="1066"/>
      <c r="X98" s="1130">
        <f>X94</f>
        <v>81</v>
      </c>
      <c r="Y98" s="1065"/>
      <c r="Z98" s="1065"/>
      <c r="AA98" s="1065"/>
      <c r="AB98" s="1065"/>
      <c r="AC98" s="1065"/>
      <c r="AD98" s="1066"/>
      <c r="AE98" s="1590">
        <f>SUM(AE94:AL97)</f>
        <v>7700511.6399999997</v>
      </c>
      <c r="AF98" s="1590"/>
      <c r="AG98" s="1590"/>
      <c r="AH98" s="1590"/>
      <c r="AI98" s="1590"/>
      <c r="AJ98" s="1590"/>
      <c r="AK98" s="1590"/>
      <c r="AL98" s="1590"/>
      <c r="AM98" s="1130" t="s">
        <v>17</v>
      </c>
      <c r="AN98" s="1065"/>
      <c r="AO98" s="1065"/>
      <c r="AP98" s="1065"/>
      <c r="AQ98" s="1065"/>
      <c r="AR98" s="1065"/>
      <c r="AS98" s="1065"/>
      <c r="AT98" s="1065"/>
      <c r="AU98" s="1066"/>
      <c r="AV98" s="1131">
        <f>SUM(AV94:BB97)</f>
        <v>41.96444119874613</v>
      </c>
      <c r="AW98" s="1131"/>
      <c r="AX98" s="1131"/>
      <c r="AY98" s="1131"/>
      <c r="AZ98" s="1131"/>
      <c r="BA98" s="1131"/>
      <c r="BB98" s="1132"/>
    </row>
    <row r="99" spans="1:57" ht="30.75" customHeight="1" x14ac:dyDescent="0.2"/>
    <row r="100" spans="1:57" s="5" customFormat="1" ht="15" customHeight="1" x14ac:dyDescent="0.2">
      <c r="A100" s="55" t="s">
        <v>52</v>
      </c>
      <c r="B100" s="55"/>
      <c r="C100" s="55" t="s">
        <v>53</v>
      </c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6"/>
      <c r="AY100" s="56"/>
      <c r="AZ100" s="56"/>
      <c r="BA100" s="56"/>
      <c r="BB100" s="56"/>
    </row>
    <row r="101" spans="1:57" ht="12" customHeight="1" thickBot="1" x14ac:dyDescent="0.2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</row>
    <row r="102" spans="1:57" ht="39" customHeight="1" x14ac:dyDescent="0.2">
      <c r="A102" s="1133" t="s">
        <v>54</v>
      </c>
      <c r="B102" s="1134"/>
      <c r="C102" s="1134"/>
      <c r="D102" s="1134"/>
      <c r="E102" s="1134"/>
      <c r="F102" s="1134"/>
      <c r="G102" s="1134"/>
      <c r="H102" s="1134"/>
      <c r="I102" s="1134"/>
      <c r="J102" s="1134"/>
      <c r="K102" s="1134"/>
      <c r="L102" s="1134"/>
      <c r="M102" s="1134"/>
      <c r="N102" s="1134"/>
      <c r="O102" s="1134"/>
      <c r="P102" s="1134"/>
      <c r="Q102" s="1134"/>
      <c r="R102" s="1134"/>
      <c r="S102" s="1134"/>
      <c r="T102" s="1134"/>
      <c r="U102" s="1134"/>
      <c r="V102" s="1134"/>
      <c r="W102" s="1134"/>
      <c r="X102" s="1134"/>
      <c r="Y102" s="1134"/>
      <c r="Z102" s="1135"/>
      <c r="AA102" s="1001" t="s">
        <v>55</v>
      </c>
      <c r="AB102" s="1002"/>
      <c r="AC102" s="1002"/>
      <c r="AD102" s="1002"/>
      <c r="AE102" s="1002"/>
      <c r="AF102" s="1003"/>
      <c r="AG102" s="1001" t="s">
        <v>56</v>
      </c>
      <c r="AH102" s="1002"/>
      <c r="AI102" s="1002"/>
      <c r="AJ102" s="1002"/>
      <c r="AK102" s="1002"/>
      <c r="AL102" s="1003"/>
      <c r="AM102" s="1136" t="s">
        <v>57</v>
      </c>
      <c r="AN102" s="1134"/>
      <c r="AO102" s="1134"/>
      <c r="AP102" s="1134"/>
      <c r="AQ102" s="1134"/>
      <c r="AR102" s="1134"/>
      <c r="AS102" s="1134"/>
      <c r="AT102" s="1135"/>
      <c r="AU102" s="1136" t="s">
        <v>43</v>
      </c>
      <c r="AV102" s="1134"/>
      <c r="AW102" s="1134"/>
      <c r="AX102" s="1134"/>
      <c r="AY102" s="1134"/>
      <c r="AZ102" s="1134"/>
      <c r="BA102" s="1134"/>
      <c r="BB102" s="1137"/>
    </row>
    <row r="103" spans="1:57" ht="15.75" customHeight="1" thickBot="1" x14ac:dyDescent="0.25">
      <c r="A103" s="1123">
        <v>1</v>
      </c>
      <c r="B103" s="1124"/>
      <c r="C103" s="1124"/>
      <c r="D103" s="1124"/>
      <c r="E103" s="1124"/>
      <c r="F103" s="1124"/>
      <c r="G103" s="1124"/>
      <c r="H103" s="1124"/>
      <c r="I103" s="1124"/>
      <c r="J103" s="1124"/>
      <c r="K103" s="1124"/>
      <c r="L103" s="1124"/>
      <c r="M103" s="1124"/>
      <c r="N103" s="1124"/>
      <c r="O103" s="1124"/>
      <c r="P103" s="1124"/>
      <c r="Q103" s="1124"/>
      <c r="R103" s="1124"/>
      <c r="S103" s="1124"/>
      <c r="T103" s="1124"/>
      <c r="U103" s="1124"/>
      <c r="V103" s="1124"/>
      <c r="W103" s="1124"/>
      <c r="X103" s="1124"/>
      <c r="Y103" s="1124"/>
      <c r="Z103" s="1125"/>
      <c r="AA103" s="1126">
        <v>2</v>
      </c>
      <c r="AB103" s="1124"/>
      <c r="AC103" s="1124"/>
      <c r="AD103" s="1124"/>
      <c r="AE103" s="1124"/>
      <c r="AF103" s="1125"/>
      <c r="AG103" s="1126">
        <v>3</v>
      </c>
      <c r="AH103" s="1124"/>
      <c r="AI103" s="1124"/>
      <c r="AJ103" s="1124"/>
      <c r="AK103" s="1124"/>
      <c r="AL103" s="1125"/>
      <c r="AM103" s="1126">
        <v>4</v>
      </c>
      <c r="AN103" s="1124"/>
      <c r="AO103" s="1124"/>
      <c r="AP103" s="1124"/>
      <c r="AQ103" s="1124"/>
      <c r="AR103" s="1124"/>
      <c r="AS103" s="1124"/>
      <c r="AT103" s="1125"/>
      <c r="AU103" s="1126">
        <v>5</v>
      </c>
      <c r="AV103" s="1124"/>
      <c r="AW103" s="1124"/>
      <c r="AX103" s="1124"/>
      <c r="AY103" s="1124"/>
      <c r="AZ103" s="1124"/>
      <c r="BA103" s="1124"/>
      <c r="BB103" s="1127"/>
    </row>
    <row r="104" spans="1:57" ht="1.5" hidden="1" customHeight="1" x14ac:dyDescent="0.2">
      <c r="A104" s="1105" t="s">
        <v>77</v>
      </c>
      <c r="B104" s="1106"/>
      <c r="C104" s="1106"/>
      <c r="D104" s="1106"/>
      <c r="E104" s="1106"/>
      <c r="F104" s="1106"/>
      <c r="G104" s="1106"/>
      <c r="H104" s="1106"/>
      <c r="I104" s="1106"/>
      <c r="J104" s="1106"/>
      <c r="K104" s="1106"/>
      <c r="L104" s="1106"/>
      <c r="M104" s="1106"/>
      <c r="N104" s="1106"/>
      <c r="O104" s="1106"/>
      <c r="P104" s="1106"/>
      <c r="Q104" s="1106"/>
      <c r="R104" s="1106"/>
      <c r="S104" s="1106"/>
      <c r="T104" s="1106"/>
      <c r="U104" s="1106"/>
      <c r="V104" s="1106"/>
      <c r="W104" s="1106"/>
      <c r="X104" s="1106"/>
      <c r="Y104" s="1106"/>
      <c r="Z104" s="1107"/>
      <c r="AA104" s="1108"/>
      <c r="AB104" s="1109"/>
      <c r="AC104" s="1109"/>
      <c r="AD104" s="1109"/>
      <c r="AE104" s="1109"/>
      <c r="AF104" s="1110"/>
      <c r="AG104" s="1111">
        <f>U12</f>
        <v>60</v>
      </c>
      <c r="AH104" s="1112"/>
      <c r="AI104" s="1112"/>
      <c r="AJ104" s="1112"/>
      <c r="AK104" s="1112"/>
      <c r="AL104" s="1113"/>
      <c r="AM104" s="1111" t="s">
        <v>58</v>
      </c>
      <c r="AN104" s="1112"/>
      <c r="AO104" s="1112"/>
      <c r="AP104" s="1112"/>
      <c r="AQ104" s="1112"/>
      <c r="AR104" s="1112"/>
      <c r="AS104" s="1112"/>
      <c r="AT104" s="1113"/>
      <c r="AU104" s="1117">
        <f>AA104/AG104</f>
        <v>0</v>
      </c>
      <c r="AV104" s="1118"/>
      <c r="AW104" s="1118"/>
      <c r="AX104" s="1118"/>
      <c r="AY104" s="1118"/>
      <c r="AZ104" s="1118"/>
      <c r="BA104" s="1118"/>
      <c r="BB104" s="1119"/>
    </row>
    <row r="105" spans="1:57" ht="23.25" customHeight="1" x14ac:dyDescent="0.2">
      <c r="A105" s="1120" t="s">
        <v>90</v>
      </c>
      <c r="B105" s="1121"/>
      <c r="C105" s="1121"/>
      <c r="D105" s="1121"/>
      <c r="E105" s="1121"/>
      <c r="F105" s="1121"/>
      <c r="G105" s="1121"/>
      <c r="H105" s="1121"/>
      <c r="I105" s="1121"/>
      <c r="J105" s="1121"/>
      <c r="K105" s="1121"/>
      <c r="L105" s="1121"/>
      <c r="M105" s="1121"/>
      <c r="N105" s="1121"/>
      <c r="O105" s="1121"/>
      <c r="P105" s="1121"/>
      <c r="Q105" s="1121"/>
      <c r="R105" s="1121"/>
      <c r="S105" s="1121"/>
      <c r="T105" s="1121"/>
      <c r="U105" s="1121"/>
      <c r="V105" s="1121"/>
      <c r="W105" s="1121"/>
      <c r="X105" s="1121"/>
      <c r="Y105" s="1121"/>
      <c r="Z105" s="1122"/>
      <c r="AA105" s="1093">
        <v>209.5</v>
      </c>
      <c r="AB105" s="1094"/>
      <c r="AC105" s="1094"/>
      <c r="AD105" s="1094"/>
      <c r="AE105" s="1094"/>
      <c r="AF105" s="1095"/>
      <c r="AG105" s="1114"/>
      <c r="AH105" s="1115"/>
      <c r="AI105" s="1115"/>
      <c r="AJ105" s="1115"/>
      <c r="AK105" s="1115"/>
      <c r="AL105" s="1116"/>
      <c r="AM105" s="1114"/>
      <c r="AN105" s="1115"/>
      <c r="AO105" s="1115"/>
      <c r="AP105" s="1115"/>
      <c r="AQ105" s="1115"/>
      <c r="AR105" s="1115"/>
      <c r="AS105" s="1115"/>
      <c r="AT105" s="1116"/>
      <c r="AU105" s="1096">
        <f>AA105/AG104</f>
        <v>3.4916666666666667</v>
      </c>
      <c r="AV105" s="1097"/>
      <c r="AW105" s="1097"/>
      <c r="AX105" s="1097"/>
      <c r="AY105" s="1097"/>
      <c r="AZ105" s="1097"/>
      <c r="BA105" s="1097"/>
      <c r="BB105" s="1098"/>
    </row>
    <row r="106" spans="1:57" ht="24.75" customHeight="1" x14ac:dyDescent="0.2">
      <c r="A106" s="1090" t="s">
        <v>223</v>
      </c>
      <c r="B106" s="1091"/>
      <c r="C106" s="1091"/>
      <c r="D106" s="1091"/>
      <c r="E106" s="1091"/>
      <c r="F106" s="1091"/>
      <c r="G106" s="1091"/>
      <c r="H106" s="1091"/>
      <c r="I106" s="1091"/>
      <c r="J106" s="1091"/>
      <c r="K106" s="1091"/>
      <c r="L106" s="1091"/>
      <c r="M106" s="1091"/>
      <c r="N106" s="1091"/>
      <c r="O106" s="1091"/>
      <c r="P106" s="1091"/>
      <c r="Q106" s="1091"/>
      <c r="R106" s="1091"/>
      <c r="S106" s="1091"/>
      <c r="T106" s="1091"/>
      <c r="U106" s="1091"/>
      <c r="V106" s="1091"/>
      <c r="W106" s="1091"/>
      <c r="X106" s="1091"/>
      <c r="Y106" s="1091"/>
      <c r="Z106" s="1092"/>
      <c r="AA106" s="1093">
        <v>200</v>
      </c>
      <c r="AB106" s="1094"/>
      <c r="AC106" s="1094"/>
      <c r="AD106" s="1094"/>
      <c r="AE106" s="1094"/>
      <c r="AF106" s="1095"/>
      <c r="AG106" s="1114"/>
      <c r="AH106" s="1115"/>
      <c r="AI106" s="1115"/>
      <c r="AJ106" s="1115"/>
      <c r="AK106" s="1115"/>
      <c r="AL106" s="1116"/>
      <c r="AM106" s="1114"/>
      <c r="AN106" s="1115"/>
      <c r="AO106" s="1115"/>
      <c r="AP106" s="1115"/>
      <c r="AQ106" s="1115"/>
      <c r="AR106" s="1115"/>
      <c r="AS106" s="1115"/>
      <c r="AT106" s="1116"/>
      <c r="AU106" s="1096">
        <f>AA106/AG104</f>
        <v>3.3333333333333335</v>
      </c>
      <c r="AV106" s="1097"/>
      <c r="AW106" s="1097"/>
      <c r="AX106" s="1097"/>
      <c r="AY106" s="1097"/>
      <c r="AZ106" s="1097"/>
      <c r="BA106" s="1097"/>
      <c r="BB106" s="1098"/>
    </row>
    <row r="107" spans="1:57" ht="0.75" customHeight="1" x14ac:dyDescent="0.2">
      <c r="A107" s="1090"/>
      <c r="B107" s="1091"/>
      <c r="C107" s="1091"/>
      <c r="D107" s="1091"/>
      <c r="E107" s="1091"/>
      <c r="F107" s="1091"/>
      <c r="G107" s="1091"/>
      <c r="H107" s="1091"/>
      <c r="I107" s="1091"/>
      <c r="J107" s="1091"/>
      <c r="K107" s="1091"/>
      <c r="L107" s="1091"/>
      <c r="M107" s="1091"/>
      <c r="N107" s="1091"/>
      <c r="O107" s="1091"/>
      <c r="P107" s="1091"/>
      <c r="Q107" s="1091"/>
      <c r="R107" s="1091"/>
      <c r="S107" s="1091"/>
      <c r="T107" s="1091"/>
      <c r="U107" s="1091"/>
      <c r="V107" s="1091"/>
      <c r="W107" s="1091"/>
      <c r="X107" s="1091"/>
      <c r="Y107" s="1091"/>
      <c r="Z107" s="1092"/>
      <c r="AA107" s="1093">
        <v>250</v>
      </c>
      <c r="AB107" s="1094"/>
      <c r="AC107" s="1094"/>
      <c r="AD107" s="1094"/>
      <c r="AE107" s="1094"/>
      <c r="AF107" s="1095"/>
      <c r="AG107" s="1114"/>
      <c r="AH107" s="1115"/>
      <c r="AI107" s="1115"/>
      <c r="AJ107" s="1115"/>
      <c r="AK107" s="1115"/>
      <c r="AL107" s="1116"/>
      <c r="AM107" s="1114"/>
      <c r="AN107" s="1115"/>
      <c r="AO107" s="1115"/>
      <c r="AP107" s="1115"/>
      <c r="AQ107" s="1115"/>
      <c r="AR107" s="1115"/>
      <c r="AS107" s="1115"/>
      <c r="AT107" s="1116"/>
      <c r="AU107" s="1096">
        <f>AA107/AG104</f>
        <v>4.166666666666667</v>
      </c>
      <c r="AV107" s="1097"/>
      <c r="AW107" s="1097"/>
      <c r="AX107" s="1097"/>
      <c r="AY107" s="1097"/>
      <c r="AZ107" s="1097"/>
      <c r="BA107" s="1097"/>
      <c r="BB107" s="1098"/>
      <c r="BE107" s="4">
        <f>AU107*12*4</f>
        <v>200</v>
      </c>
    </row>
    <row r="108" spans="1:57" ht="20.25" customHeight="1" x14ac:dyDescent="0.2">
      <c r="A108" s="1090" t="s">
        <v>331</v>
      </c>
      <c r="B108" s="1091"/>
      <c r="C108" s="1091"/>
      <c r="D108" s="1091"/>
      <c r="E108" s="1091"/>
      <c r="F108" s="1091"/>
      <c r="G108" s="1091"/>
      <c r="H108" s="1091"/>
      <c r="I108" s="1091"/>
      <c r="J108" s="1091"/>
      <c r="K108" s="1091"/>
      <c r="L108" s="1091"/>
      <c r="M108" s="1091"/>
      <c r="N108" s="1091"/>
      <c r="O108" s="1091"/>
      <c r="P108" s="1091"/>
      <c r="Q108" s="1091"/>
      <c r="R108" s="1091"/>
      <c r="S108" s="1091"/>
      <c r="T108" s="1091"/>
      <c r="U108" s="1091"/>
      <c r="V108" s="1091"/>
      <c r="W108" s="1091"/>
      <c r="X108" s="1091"/>
      <c r="Y108" s="1091"/>
      <c r="Z108" s="1092"/>
      <c r="AA108" s="1093">
        <v>400</v>
      </c>
      <c r="AB108" s="1094"/>
      <c r="AC108" s="1094"/>
      <c r="AD108" s="1094"/>
      <c r="AE108" s="1094"/>
      <c r="AF108" s="1095"/>
      <c r="AG108" s="1114"/>
      <c r="AH108" s="1115"/>
      <c r="AI108" s="1115"/>
      <c r="AJ108" s="1115"/>
      <c r="AK108" s="1115"/>
      <c r="AL108" s="1116"/>
      <c r="AM108" s="1114"/>
      <c r="AN108" s="1115"/>
      <c r="AO108" s="1115"/>
      <c r="AP108" s="1115"/>
      <c r="AQ108" s="1115"/>
      <c r="AR108" s="1115"/>
      <c r="AS108" s="1115"/>
      <c r="AT108" s="1116"/>
      <c r="AU108" s="1096">
        <f>AA108/AG104</f>
        <v>6.666666666666667</v>
      </c>
      <c r="AV108" s="1097"/>
      <c r="AW108" s="1097"/>
      <c r="AX108" s="1097"/>
      <c r="AY108" s="1097"/>
      <c r="AZ108" s="1097"/>
      <c r="BA108" s="1097"/>
      <c r="BB108" s="1098"/>
    </row>
    <row r="109" spans="1:57" ht="26.25" hidden="1" customHeight="1" x14ac:dyDescent="0.2">
      <c r="A109" s="1121"/>
      <c r="B109" s="1121"/>
      <c r="C109" s="1121"/>
      <c r="D109" s="1121"/>
      <c r="E109" s="1121"/>
      <c r="F109" s="1121"/>
      <c r="G109" s="1121"/>
      <c r="H109" s="1121"/>
      <c r="I109" s="1121"/>
      <c r="J109" s="1121"/>
      <c r="K109" s="1121"/>
      <c r="L109" s="1121"/>
      <c r="M109" s="1121"/>
      <c r="N109" s="1121"/>
      <c r="O109" s="1121"/>
      <c r="P109" s="1121"/>
      <c r="Q109" s="1121"/>
      <c r="R109" s="1121"/>
      <c r="S109" s="1121"/>
      <c r="T109" s="1121"/>
      <c r="U109" s="1121"/>
      <c r="V109" s="1121"/>
      <c r="W109" s="1121"/>
      <c r="X109" s="1121"/>
      <c r="Y109" s="1121"/>
      <c r="Z109" s="1122"/>
      <c r="AA109" s="1093"/>
      <c r="AB109" s="1094"/>
      <c r="AC109" s="1094"/>
      <c r="AD109" s="1094"/>
      <c r="AE109" s="1094"/>
      <c r="AF109" s="1095"/>
      <c r="AG109" s="1114"/>
      <c r="AH109" s="1115"/>
      <c r="AI109" s="1115"/>
      <c r="AJ109" s="1115"/>
      <c r="AK109" s="1115"/>
      <c r="AL109" s="1116"/>
      <c r="AM109" s="1114"/>
      <c r="AN109" s="1115"/>
      <c r="AO109" s="1115"/>
      <c r="AP109" s="1115"/>
      <c r="AQ109" s="1115"/>
      <c r="AR109" s="1115"/>
      <c r="AS109" s="1115"/>
      <c r="AT109" s="1116"/>
      <c r="AU109" s="1096">
        <f>AA109/AG104</f>
        <v>0</v>
      </c>
      <c r="AV109" s="1097"/>
      <c r="AW109" s="1097"/>
      <c r="AX109" s="1097"/>
      <c r="AY109" s="1097"/>
      <c r="AZ109" s="1097"/>
      <c r="BA109" s="1097"/>
      <c r="BB109" s="1098"/>
    </row>
    <row r="110" spans="1:57" ht="19.5" hidden="1" customHeight="1" x14ac:dyDescent="0.2">
      <c r="A110" s="1588"/>
      <c r="B110" s="1091"/>
      <c r="C110" s="1091"/>
      <c r="D110" s="1091"/>
      <c r="E110" s="1091"/>
      <c r="F110" s="1091"/>
      <c r="G110" s="1091"/>
      <c r="H110" s="1091"/>
      <c r="I110" s="1091"/>
      <c r="J110" s="1091"/>
      <c r="K110" s="1091"/>
      <c r="L110" s="1091"/>
      <c r="M110" s="1091"/>
      <c r="N110" s="1091"/>
      <c r="O110" s="1091"/>
      <c r="P110" s="1091"/>
      <c r="Q110" s="1091"/>
      <c r="R110" s="1091"/>
      <c r="S110" s="1091"/>
      <c r="T110" s="1091"/>
      <c r="U110" s="1091"/>
      <c r="V110" s="1091"/>
      <c r="W110" s="1091"/>
      <c r="X110" s="1091"/>
      <c r="Y110" s="1091"/>
      <c r="Z110" s="1092"/>
      <c r="AA110" s="1093"/>
      <c r="AB110" s="1094"/>
      <c r="AC110" s="1094"/>
      <c r="AD110" s="1094"/>
      <c r="AE110" s="1094"/>
      <c r="AF110" s="1095"/>
      <c r="AG110" s="1114"/>
      <c r="AH110" s="1115"/>
      <c r="AI110" s="1115"/>
      <c r="AJ110" s="1115"/>
      <c r="AK110" s="1115"/>
      <c r="AL110" s="1116"/>
      <c r="AM110" s="1114"/>
      <c r="AN110" s="1115"/>
      <c r="AO110" s="1115"/>
      <c r="AP110" s="1115"/>
      <c r="AQ110" s="1115"/>
      <c r="AR110" s="1115"/>
      <c r="AS110" s="1115"/>
      <c r="AT110" s="1116"/>
      <c r="AU110" s="1096">
        <f>AA110/AG104</f>
        <v>0</v>
      </c>
      <c r="AV110" s="1097"/>
      <c r="AW110" s="1097"/>
      <c r="AX110" s="1097"/>
      <c r="AY110" s="1097"/>
      <c r="AZ110" s="1097"/>
      <c r="BA110" s="1097"/>
      <c r="BB110" s="1589"/>
    </row>
    <row r="111" spans="1:57" ht="0.75" hidden="1" customHeight="1" x14ac:dyDescent="0.2">
      <c r="A111" s="1588"/>
      <c r="B111" s="1091"/>
      <c r="C111" s="1091"/>
      <c r="D111" s="1091"/>
      <c r="E111" s="1091"/>
      <c r="F111" s="1091"/>
      <c r="G111" s="1091"/>
      <c r="H111" s="1091"/>
      <c r="I111" s="1091"/>
      <c r="J111" s="1091"/>
      <c r="K111" s="1091"/>
      <c r="L111" s="1091"/>
      <c r="M111" s="1091"/>
      <c r="N111" s="1091"/>
      <c r="O111" s="1091"/>
      <c r="P111" s="1091"/>
      <c r="Q111" s="1091"/>
      <c r="R111" s="1091"/>
      <c r="S111" s="1091"/>
      <c r="T111" s="1091"/>
      <c r="U111" s="1091"/>
      <c r="V111" s="1091"/>
      <c r="W111" s="1091"/>
      <c r="X111" s="1091"/>
      <c r="Y111" s="1091"/>
      <c r="Z111" s="1092"/>
      <c r="AA111" s="1093"/>
      <c r="AB111" s="1094"/>
      <c r="AC111" s="1094"/>
      <c r="AD111" s="1094"/>
      <c r="AE111" s="1094"/>
      <c r="AF111" s="1095"/>
      <c r="AG111" s="1114"/>
      <c r="AH111" s="1115"/>
      <c r="AI111" s="1115"/>
      <c r="AJ111" s="1115"/>
      <c r="AK111" s="1115"/>
      <c r="AL111" s="1116"/>
      <c r="AM111" s="1114"/>
      <c r="AN111" s="1115"/>
      <c r="AO111" s="1115"/>
      <c r="AP111" s="1115"/>
      <c r="AQ111" s="1115"/>
      <c r="AR111" s="1115"/>
      <c r="AS111" s="1115"/>
      <c r="AT111" s="1116"/>
      <c r="AU111" s="1096">
        <f>AA111/AG104</f>
        <v>0</v>
      </c>
      <c r="AV111" s="1097"/>
      <c r="AW111" s="1097"/>
      <c r="AX111" s="1097"/>
      <c r="AY111" s="1097"/>
      <c r="AZ111" s="1097"/>
      <c r="BA111" s="1097"/>
      <c r="BB111" s="1589"/>
    </row>
    <row r="112" spans="1:57" ht="19.5" hidden="1" customHeight="1" x14ac:dyDescent="0.2">
      <c r="A112" s="1588"/>
      <c r="B112" s="1091"/>
      <c r="C112" s="1091"/>
      <c r="D112" s="1091"/>
      <c r="E112" s="1091"/>
      <c r="F112" s="1091"/>
      <c r="G112" s="1091"/>
      <c r="H112" s="1091"/>
      <c r="I112" s="1091"/>
      <c r="J112" s="1091"/>
      <c r="K112" s="1091"/>
      <c r="L112" s="1091"/>
      <c r="M112" s="1091"/>
      <c r="N112" s="1091"/>
      <c r="O112" s="1091"/>
      <c r="P112" s="1091"/>
      <c r="Q112" s="1091"/>
      <c r="R112" s="1091"/>
      <c r="S112" s="1091"/>
      <c r="T112" s="1091"/>
      <c r="U112" s="1091"/>
      <c r="V112" s="1091"/>
      <c r="W112" s="1091"/>
      <c r="X112" s="1091"/>
      <c r="Y112" s="1091"/>
      <c r="Z112" s="1092"/>
      <c r="AA112" s="1093"/>
      <c r="AB112" s="1094"/>
      <c r="AC112" s="1094"/>
      <c r="AD112" s="1094"/>
      <c r="AE112" s="1094"/>
      <c r="AF112" s="1095"/>
      <c r="AG112" s="1114"/>
      <c r="AH112" s="1115"/>
      <c r="AI112" s="1115"/>
      <c r="AJ112" s="1115"/>
      <c r="AK112" s="1115"/>
      <c r="AL112" s="1116"/>
      <c r="AM112" s="1114"/>
      <c r="AN112" s="1115"/>
      <c r="AO112" s="1115"/>
      <c r="AP112" s="1115"/>
      <c r="AQ112" s="1115"/>
      <c r="AR112" s="1115"/>
      <c r="AS112" s="1115"/>
      <c r="AT112" s="1116"/>
      <c r="AU112" s="1096">
        <f>AA112/AG104</f>
        <v>0</v>
      </c>
      <c r="AV112" s="1097"/>
      <c r="AW112" s="1097"/>
      <c r="AX112" s="1097"/>
      <c r="AY112" s="1097"/>
      <c r="AZ112" s="1097"/>
      <c r="BA112" s="1097"/>
      <c r="BB112" s="1589"/>
    </row>
    <row r="113" spans="1:54" ht="20.25" hidden="1" customHeight="1" x14ac:dyDescent="0.2">
      <c r="A113" s="1588"/>
      <c r="B113" s="1091"/>
      <c r="C113" s="1091"/>
      <c r="D113" s="1091"/>
      <c r="E113" s="1091"/>
      <c r="F113" s="1091"/>
      <c r="G113" s="1091"/>
      <c r="H113" s="1091"/>
      <c r="I113" s="1091"/>
      <c r="J113" s="1091"/>
      <c r="K113" s="1091"/>
      <c r="L113" s="1091"/>
      <c r="M113" s="1091"/>
      <c r="N113" s="1091"/>
      <c r="O113" s="1091"/>
      <c r="P113" s="1091"/>
      <c r="Q113" s="1091"/>
      <c r="R113" s="1091"/>
      <c r="S113" s="1091"/>
      <c r="T113" s="1091"/>
      <c r="U113" s="1091"/>
      <c r="V113" s="1091"/>
      <c r="W113" s="1091"/>
      <c r="X113" s="1091"/>
      <c r="Y113" s="1091"/>
      <c r="Z113" s="1092"/>
      <c r="AA113" s="1093"/>
      <c r="AB113" s="1094"/>
      <c r="AC113" s="1094"/>
      <c r="AD113" s="1094"/>
      <c r="AE113" s="1094"/>
      <c r="AF113" s="1095"/>
      <c r="AG113" s="1114"/>
      <c r="AH113" s="1115"/>
      <c r="AI113" s="1115"/>
      <c r="AJ113" s="1115"/>
      <c r="AK113" s="1115"/>
      <c r="AL113" s="1116"/>
      <c r="AM113" s="1114"/>
      <c r="AN113" s="1115"/>
      <c r="AO113" s="1115"/>
      <c r="AP113" s="1115"/>
      <c r="AQ113" s="1115"/>
      <c r="AR113" s="1115"/>
      <c r="AS113" s="1115"/>
      <c r="AT113" s="1116"/>
      <c r="AU113" s="1096">
        <f>AA113/AG104</f>
        <v>0</v>
      </c>
      <c r="AV113" s="1097"/>
      <c r="AW113" s="1097"/>
      <c r="AX113" s="1097"/>
      <c r="AY113" s="1097"/>
      <c r="AZ113" s="1097"/>
      <c r="BA113" s="1097"/>
      <c r="BB113" s="1589"/>
    </row>
    <row r="114" spans="1:54" ht="16.5" hidden="1" customHeight="1" x14ac:dyDescent="0.2">
      <c r="A114" s="1588"/>
      <c r="B114" s="1091"/>
      <c r="C114" s="1091"/>
      <c r="D114" s="1091"/>
      <c r="E114" s="1091"/>
      <c r="F114" s="1091"/>
      <c r="G114" s="1091"/>
      <c r="H114" s="1091"/>
      <c r="I114" s="1091"/>
      <c r="J114" s="1091"/>
      <c r="K114" s="1091"/>
      <c r="L114" s="1091"/>
      <c r="M114" s="1091"/>
      <c r="N114" s="1091"/>
      <c r="O114" s="1091"/>
      <c r="P114" s="1091"/>
      <c r="Q114" s="1091"/>
      <c r="R114" s="1091"/>
      <c r="S114" s="1091"/>
      <c r="T114" s="1091"/>
      <c r="U114" s="1091"/>
      <c r="V114" s="1091"/>
      <c r="W114" s="1091"/>
      <c r="X114" s="1091"/>
      <c r="Y114" s="1091"/>
      <c r="Z114" s="1092"/>
      <c r="AA114" s="1093"/>
      <c r="AB114" s="1094"/>
      <c r="AC114" s="1094"/>
      <c r="AD114" s="1094"/>
      <c r="AE114" s="1094"/>
      <c r="AF114" s="1095"/>
      <c r="AG114" s="1114"/>
      <c r="AH114" s="1115"/>
      <c r="AI114" s="1115"/>
      <c r="AJ114" s="1115"/>
      <c r="AK114" s="1115"/>
      <c r="AL114" s="1116"/>
      <c r="AM114" s="1114"/>
      <c r="AN114" s="1115"/>
      <c r="AO114" s="1115"/>
      <c r="AP114" s="1115"/>
      <c r="AQ114" s="1115"/>
      <c r="AR114" s="1115"/>
      <c r="AS114" s="1115"/>
      <c r="AT114" s="1116"/>
      <c r="AU114" s="1096">
        <f>AA114/AG104</f>
        <v>0</v>
      </c>
      <c r="AV114" s="1097"/>
      <c r="AW114" s="1097"/>
      <c r="AX114" s="1097"/>
      <c r="AY114" s="1097"/>
      <c r="AZ114" s="1097"/>
      <c r="BA114" s="1097"/>
      <c r="BB114" s="1589"/>
    </row>
    <row r="115" spans="1:54" s="7" customFormat="1" ht="19.5" hidden="1" customHeight="1" x14ac:dyDescent="0.2">
      <c r="A115" s="1588"/>
      <c r="B115" s="1091"/>
      <c r="C115" s="1091"/>
      <c r="D115" s="1091"/>
      <c r="E115" s="1091"/>
      <c r="F115" s="1091"/>
      <c r="G115" s="1091"/>
      <c r="H115" s="1091"/>
      <c r="I115" s="1091"/>
      <c r="J115" s="1091"/>
      <c r="K115" s="1091"/>
      <c r="L115" s="1091"/>
      <c r="M115" s="1091"/>
      <c r="N115" s="1091"/>
      <c r="O115" s="1091"/>
      <c r="P115" s="1091"/>
      <c r="Q115" s="1091"/>
      <c r="R115" s="1091"/>
      <c r="S115" s="1091"/>
      <c r="T115" s="1091"/>
      <c r="U115" s="1091"/>
      <c r="V115" s="1091"/>
      <c r="W115" s="1091"/>
      <c r="X115" s="1091"/>
      <c r="Y115" s="1091"/>
      <c r="Z115" s="1092"/>
      <c r="AA115" s="1093"/>
      <c r="AB115" s="1094"/>
      <c r="AC115" s="1094"/>
      <c r="AD115" s="1094"/>
      <c r="AE115" s="1094"/>
      <c r="AF115" s="1095"/>
      <c r="AG115" s="1114"/>
      <c r="AH115" s="1115"/>
      <c r="AI115" s="1115"/>
      <c r="AJ115" s="1115"/>
      <c r="AK115" s="1115"/>
      <c r="AL115" s="1116"/>
      <c r="AM115" s="1114"/>
      <c r="AN115" s="1115"/>
      <c r="AO115" s="1115"/>
      <c r="AP115" s="1115"/>
      <c r="AQ115" s="1115"/>
      <c r="AR115" s="1115"/>
      <c r="AS115" s="1115"/>
      <c r="AT115" s="1116"/>
      <c r="AU115" s="1096">
        <f>AA115/AG104</f>
        <v>0</v>
      </c>
      <c r="AV115" s="1097"/>
      <c r="AW115" s="1097"/>
      <c r="AX115" s="1097"/>
      <c r="AY115" s="1097"/>
      <c r="AZ115" s="1097"/>
      <c r="BA115" s="1097"/>
      <c r="BB115" s="1589"/>
    </row>
    <row r="116" spans="1:54" ht="1.5" hidden="1" customHeight="1" x14ac:dyDescent="0.2">
      <c r="A116" s="1588"/>
      <c r="B116" s="1091"/>
      <c r="C116" s="1091"/>
      <c r="D116" s="1091"/>
      <c r="E116" s="1091"/>
      <c r="F116" s="1091"/>
      <c r="G116" s="1091"/>
      <c r="H116" s="1091"/>
      <c r="I116" s="1091"/>
      <c r="J116" s="1091"/>
      <c r="K116" s="1091"/>
      <c r="L116" s="1091"/>
      <c r="M116" s="1091"/>
      <c r="N116" s="1091"/>
      <c r="O116" s="1091"/>
      <c r="P116" s="1091"/>
      <c r="Q116" s="1091"/>
      <c r="R116" s="1091"/>
      <c r="S116" s="1091"/>
      <c r="T116" s="1091"/>
      <c r="U116" s="1091"/>
      <c r="V116" s="1091"/>
      <c r="W116" s="1091"/>
      <c r="X116" s="1091"/>
      <c r="Y116" s="1091"/>
      <c r="Z116" s="1092"/>
      <c r="AA116" s="1093"/>
      <c r="AB116" s="1094"/>
      <c r="AC116" s="1094"/>
      <c r="AD116" s="1094"/>
      <c r="AE116" s="1094"/>
      <c r="AF116" s="1095"/>
      <c r="AG116" s="1114"/>
      <c r="AH116" s="1115"/>
      <c r="AI116" s="1115"/>
      <c r="AJ116" s="1115"/>
      <c r="AK116" s="1115"/>
      <c r="AL116" s="1116"/>
      <c r="AM116" s="1114"/>
      <c r="AN116" s="1115"/>
      <c r="AO116" s="1115"/>
      <c r="AP116" s="1115"/>
      <c r="AQ116" s="1115"/>
      <c r="AR116" s="1115"/>
      <c r="AS116" s="1115"/>
      <c r="AT116" s="1116"/>
      <c r="AU116" s="1096">
        <f>AA116/AG104</f>
        <v>0</v>
      </c>
      <c r="AV116" s="1097"/>
      <c r="AW116" s="1097"/>
      <c r="AX116" s="1097"/>
      <c r="AY116" s="1097"/>
      <c r="AZ116" s="1097"/>
      <c r="BA116" s="1097"/>
      <c r="BB116" s="1589"/>
    </row>
    <row r="117" spans="1:54" s="5" customFormat="1" ht="17.25" hidden="1" customHeight="1" x14ac:dyDescent="0.2">
      <c r="A117" s="1588"/>
      <c r="B117" s="1091"/>
      <c r="C117" s="1091"/>
      <c r="D117" s="1091"/>
      <c r="E117" s="1091"/>
      <c r="F117" s="1091"/>
      <c r="G117" s="1091"/>
      <c r="H117" s="1091"/>
      <c r="I117" s="1091"/>
      <c r="J117" s="1091"/>
      <c r="K117" s="1091"/>
      <c r="L117" s="1091"/>
      <c r="M117" s="1091"/>
      <c r="N117" s="1091"/>
      <c r="O117" s="1091"/>
      <c r="P117" s="1091"/>
      <c r="Q117" s="1091"/>
      <c r="R117" s="1091"/>
      <c r="S117" s="1091"/>
      <c r="T117" s="1091"/>
      <c r="U117" s="1091"/>
      <c r="V117" s="1091"/>
      <c r="W117" s="1091"/>
      <c r="X117" s="1091"/>
      <c r="Y117" s="1091"/>
      <c r="Z117" s="1092"/>
      <c r="AA117" s="1093"/>
      <c r="AB117" s="1094"/>
      <c r="AC117" s="1094"/>
      <c r="AD117" s="1094"/>
      <c r="AE117" s="1094"/>
      <c r="AF117" s="1095"/>
      <c r="AG117" s="1114"/>
      <c r="AH117" s="1115"/>
      <c r="AI117" s="1115"/>
      <c r="AJ117" s="1115"/>
      <c r="AK117" s="1115"/>
      <c r="AL117" s="1116"/>
      <c r="AM117" s="1114"/>
      <c r="AN117" s="1115"/>
      <c r="AO117" s="1115"/>
      <c r="AP117" s="1115"/>
      <c r="AQ117" s="1115"/>
      <c r="AR117" s="1115"/>
      <c r="AS117" s="1115"/>
      <c r="AT117" s="1116"/>
      <c r="AU117" s="1096">
        <f>AA117/AG104</f>
        <v>0</v>
      </c>
      <c r="AV117" s="1097"/>
      <c r="AW117" s="1097"/>
      <c r="AX117" s="1097"/>
      <c r="AY117" s="1097"/>
      <c r="AZ117" s="1097"/>
      <c r="BA117" s="1097"/>
      <c r="BB117" s="1589"/>
    </row>
    <row r="118" spans="1:54" ht="17.25" customHeight="1" x14ac:dyDescent="0.2">
      <c r="A118" s="1588" t="s">
        <v>224</v>
      </c>
      <c r="B118" s="1091"/>
      <c r="C118" s="1091"/>
      <c r="D118" s="1091"/>
      <c r="E118" s="1091"/>
      <c r="F118" s="1091"/>
      <c r="G118" s="1091"/>
      <c r="H118" s="1091"/>
      <c r="I118" s="1091"/>
      <c r="J118" s="1091"/>
      <c r="K118" s="1091"/>
      <c r="L118" s="1091"/>
      <c r="M118" s="1091"/>
      <c r="N118" s="1091"/>
      <c r="O118" s="1091"/>
      <c r="P118" s="1091"/>
      <c r="Q118" s="1091"/>
      <c r="R118" s="1091"/>
      <c r="S118" s="1091"/>
      <c r="T118" s="1091"/>
      <c r="U118" s="1091"/>
      <c r="V118" s="1091"/>
      <c r="W118" s="1091"/>
      <c r="X118" s="1091"/>
      <c r="Y118" s="1091"/>
      <c r="Z118" s="1092"/>
      <c r="AA118" s="1093">
        <v>400</v>
      </c>
      <c r="AB118" s="1094"/>
      <c r="AC118" s="1094"/>
      <c r="AD118" s="1094"/>
      <c r="AE118" s="1094"/>
      <c r="AF118" s="1095"/>
      <c r="AG118" s="1114"/>
      <c r="AH118" s="1115"/>
      <c r="AI118" s="1115"/>
      <c r="AJ118" s="1115"/>
      <c r="AK118" s="1115"/>
      <c r="AL118" s="1116"/>
      <c r="AM118" s="1114"/>
      <c r="AN118" s="1115"/>
      <c r="AO118" s="1115"/>
      <c r="AP118" s="1115"/>
      <c r="AQ118" s="1115"/>
      <c r="AR118" s="1115"/>
      <c r="AS118" s="1115"/>
      <c r="AT118" s="1116"/>
      <c r="AU118" s="1096">
        <f>AA118/AG104</f>
        <v>6.666666666666667</v>
      </c>
      <c r="AV118" s="1097"/>
      <c r="AW118" s="1097"/>
      <c r="AX118" s="1097"/>
      <c r="AY118" s="1097"/>
      <c r="AZ118" s="1097"/>
      <c r="BA118" s="1097"/>
      <c r="BB118" s="1589"/>
    </row>
    <row r="119" spans="1:54" ht="24" customHeight="1" thickBot="1" x14ac:dyDescent="0.25">
      <c r="A119" s="1588" t="s">
        <v>225</v>
      </c>
      <c r="B119" s="1091"/>
      <c r="C119" s="1091"/>
      <c r="D119" s="1091"/>
      <c r="E119" s="1091"/>
      <c r="F119" s="1091"/>
      <c r="G119" s="1091"/>
      <c r="H119" s="1091"/>
      <c r="I119" s="1091"/>
      <c r="J119" s="1091"/>
      <c r="K119" s="1091"/>
      <c r="L119" s="1091"/>
      <c r="M119" s="1091"/>
      <c r="N119" s="1091"/>
      <c r="O119" s="1091"/>
      <c r="P119" s="1091"/>
      <c r="Q119" s="1091"/>
      <c r="R119" s="1091"/>
      <c r="S119" s="1091"/>
      <c r="T119" s="1091"/>
      <c r="U119" s="1091"/>
      <c r="V119" s="1091"/>
      <c r="W119" s="1091"/>
      <c r="X119" s="1091"/>
      <c r="Y119" s="1091"/>
      <c r="Z119" s="1092"/>
      <c r="AA119" s="1093">
        <v>400</v>
      </c>
      <c r="AB119" s="1094"/>
      <c r="AC119" s="1094"/>
      <c r="AD119" s="1094"/>
      <c r="AE119" s="1094"/>
      <c r="AF119" s="1095"/>
      <c r="AG119" s="1114"/>
      <c r="AH119" s="1115"/>
      <c r="AI119" s="1115"/>
      <c r="AJ119" s="1115"/>
      <c r="AK119" s="1115"/>
      <c r="AL119" s="1116"/>
      <c r="AM119" s="1114"/>
      <c r="AN119" s="1115"/>
      <c r="AO119" s="1115"/>
      <c r="AP119" s="1115"/>
      <c r="AQ119" s="1115"/>
      <c r="AR119" s="1115"/>
      <c r="AS119" s="1115"/>
      <c r="AT119" s="1116"/>
      <c r="AU119" s="1096">
        <f>AA119/AG104</f>
        <v>6.666666666666667</v>
      </c>
      <c r="AV119" s="1097"/>
      <c r="AW119" s="1097"/>
      <c r="AX119" s="1097"/>
      <c r="AY119" s="1097"/>
      <c r="AZ119" s="1097"/>
      <c r="BA119" s="1097"/>
      <c r="BB119" s="1589"/>
    </row>
    <row r="120" spans="1:54" ht="19.5" hidden="1" customHeight="1" x14ac:dyDescent="0.2">
      <c r="A120" s="1588"/>
      <c r="B120" s="1091"/>
      <c r="C120" s="1091"/>
      <c r="D120" s="1091"/>
      <c r="E120" s="1091"/>
      <c r="F120" s="1091"/>
      <c r="G120" s="1091"/>
      <c r="H120" s="1091"/>
      <c r="I120" s="1091"/>
      <c r="J120" s="1091"/>
      <c r="K120" s="1091"/>
      <c r="L120" s="1091"/>
      <c r="M120" s="1091"/>
      <c r="N120" s="1091"/>
      <c r="O120" s="1091"/>
      <c r="P120" s="1091"/>
      <c r="Q120" s="1091"/>
      <c r="R120" s="1091"/>
      <c r="S120" s="1091"/>
      <c r="T120" s="1091"/>
      <c r="U120" s="1091"/>
      <c r="V120" s="1091"/>
      <c r="W120" s="1091"/>
      <c r="X120" s="1091"/>
      <c r="Y120" s="1091"/>
      <c r="Z120" s="1092"/>
      <c r="AA120" s="1093"/>
      <c r="AB120" s="1094"/>
      <c r="AC120" s="1094"/>
      <c r="AD120" s="1094"/>
      <c r="AE120" s="1094"/>
      <c r="AF120" s="1095"/>
      <c r="AG120" s="1114"/>
      <c r="AH120" s="1115"/>
      <c r="AI120" s="1115"/>
      <c r="AJ120" s="1115"/>
      <c r="AK120" s="1115"/>
      <c r="AL120" s="1116"/>
      <c r="AM120" s="1114"/>
      <c r="AN120" s="1115"/>
      <c r="AO120" s="1115"/>
      <c r="AP120" s="1115"/>
      <c r="AQ120" s="1115"/>
      <c r="AR120" s="1115"/>
      <c r="AS120" s="1115"/>
      <c r="AT120" s="1116"/>
      <c r="AU120" s="1096">
        <f>AA120/AG104</f>
        <v>0</v>
      </c>
      <c r="AV120" s="1097"/>
      <c r="AW120" s="1097"/>
      <c r="AX120" s="1097"/>
      <c r="AY120" s="1097"/>
      <c r="AZ120" s="1097"/>
      <c r="BA120" s="1097"/>
      <c r="BB120" s="1589"/>
    </row>
    <row r="121" spans="1:54" ht="21.75" hidden="1" customHeight="1" x14ac:dyDescent="0.2">
      <c r="A121" s="1588"/>
      <c r="B121" s="1091"/>
      <c r="C121" s="1091"/>
      <c r="D121" s="1091"/>
      <c r="E121" s="1091"/>
      <c r="F121" s="1091"/>
      <c r="G121" s="1091"/>
      <c r="H121" s="1091"/>
      <c r="I121" s="1091"/>
      <c r="J121" s="1091"/>
      <c r="K121" s="1091"/>
      <c r="L121" s="1091"/>
      <c r="M121" s="1091"/>
      <c r="N121" s="1091"/>
      <c r="O121" s="1091"/>
      <c r="P121" s="1091"/>
      <c r="Q121" s="1091"/>
      <c r="R121" s="1091"/>
      <c r="S121" s="1091"/>
      <c r="T121" s="1091"/>
      <c r="U121" s="1091"/>
      <c r="V121" s="1091"/>
      <c r="W121" s="1091"/>
      <c r="X121" s="1091"/>
      <c r="Y121" s="1091"/>
      <c r="Z121" s="1092"/>
      <c r="AA121" s="1093"/>
      <c r="AB121" s="1094"/>
      <c r="AC121" s="1094"/>
      <c r="AD121" s="1094"/>
      <c r="AE121" s="1094"/>
      <c r="AF121" s="1095"/>
      <c r="AG121" s="1114"/>
      <c r="AH121" s="1115"/>
      <c r="AI121" s="1115"/>
      <c r="AJ121" s="1115"/>
      <c r="AK121" s="1115"/>
      <c r="AL121" s="1116"/>
      <c r="AM121" s="1114"/>
      <c r="AN121" s="1115"/>
      <c r="AO121" s="1115"/>
      <c r="AP121" s="1115"/>
      <c r="AQ121" s="1115"/>
      <c r="AR121" s="1115"/>
      <c r="AS121" s="1115"/>
      <c r="AT121" s="1116"/>
      <c r="AU121" s="1096">
        <f>AA121/AG104</f>
        <v>0</v>
      </c>
      <c r="AV121" s="1097"/>
      <c r="AW121" s="1097"/>
      <c r="AX121" s="1097"/>
      <c r="AY121" s="1097"/>
      <c r="AZ121" s="1097"/>
      <c r="BA121" s="1097"/>
      <c r="BB121" s="1589"/>
    </row>
    <row r="122" spans="1:54" ht="23.25" hidden="1" customHeight="1" thickBot="1" x14ac:dyDescent="0.25">
      <c r="A122" s="1588"/>
      <c r="B122" s="1091"/>
      <c r="C122" s="1091"/>
      <c r="D122" s="1091"/>
      <c r="E122" s="1091"/>
      <c r="F122" s="1091"/>
      <c r="G122" s="1091"/>
      <c r="H122" s="1091"/>
      <c r="I122" s="1091"/>
      <c r="J122" s="1091"/>
      <c r="K122" s="1091"/>
      <c r="L122" s="1091"/>
      <c r="M122" s="1091"/>
      <c r="N122" s="1091"/>
      <c r="O122" s="1091"/>
      <c r="P122" s="1091"/>
      <c r="Q122" s="1091"/>
      <c r="R122" s="1091"/>
      <c r="S122" s="1091"/>
      <c r="T122" s="1091"/>
      <c r="U122" s="1091"/>
      <c r="V122" s="1091"/>
      <c r="W122" s="1091"/>
      <c r="X122" s="1091"/>
      <c r="Y122" s="1091"/>
      <c r="Z122" s="1092"/>
      <c r="AA122" s="1093"/>
      <c r="AB122" s="1094"/>
      <c r="AC122" s="1094"/>
      <c r="AD122" s="1094"/>
      <c r="AE122" s="1094"/>
      <c r="AF122" s="1095"/>
      <c r="AG122" s="1114"/>
      <c r="AH122" s="1115"/>
      <c r="AI122" s="1115"/>
      <c r="AJ122" s="1115"/>
      <c r="AK122" s="1115"/>
      <c r="AL122" s="1116"/>
      <c r="AM122" s="1114"/>
      <c r="AN122" s="1115"/>
      <c r="AO122" s="1115"/>
      <c r="AP122" s="1115"/>
      <c r="AQ122" s="1115"/>
      <c r="AR122" s="1115"/>
      <c r="AS122" s="1115"/>
      <c r="AT122" s="1116"/>
      <c r="AU122" s="1096">
        <f>AA122/AG104</f>
        <v>0</v>
      </c>
      <c r="AV122" s="1097"/>
      <c r="AW122" s="1097"/>
      <c r="AX122" s="1097"/>
      <c r="AY122" s="1097"/>
      <c r="AZ122" s="1097"/>
      <c r="BA122" s="1097"/>
      <c r="BB122" s="1589"/>
    </row>
    <row r="123" spans="1:54" ht="1.5" hidden="1" customHeight="1" thickBot="1" x14ac:dyDescent="0.25">
      <c r="A123" s="1081"/>
      <c r="B123" s="1081"/>
      <c r="C123" s="1081"/>
      <c r="D123" s="1081"/>
      <c r="E123" s="1081"/>
      <c r="F123" s="1081"/>
      <c r="G123" s="1081"/>
      <c r="H123" s="1081"/>
      <c r="I123" s="1081"/>
      <c r="J123" s="1081"/>
      <c r="K123" s="1081"/>
      <c r="L123" s="1081"/>
      <c r="M123" s="1081"/>
      <c r="N123" s="1081"/>
      <c r="O123" s="1081"/>
      <c r="P123" s="1081"/>
      <c r="Q123" s="1081"/>
      <c r="R123" s="1081"/>
      <c r="S123" s="1081"/>
      <c r="T123" s="1081"/>
      <c r="U123" s="1081"/>
      <c r="V123" s="1081"/>
      <c r="W123" s="1081"/>
      <c r="X123" s="1081"/>
      <c r="Y123" s="1081"/>
      <c r="Z123" s="1081"/>
      <c r="AA123" s="1082"/>
      <c r="AB123" s="1082"/>
      <c r="AC123" s="1082"/>
      <c r="AD123" s="1082"/>
      <c r="AE123" s="1082"/>
      <c r="AF123" s="1082"/>
      <c r="AG123" s="1114"/>
      <c r="AH123" s="1115"/>
      <c r="AI123" s="1115"/>
      <c r="AJ123" s="1115"/>
      <c r="AK123" s="1115"/>
      <c r="AL123" s="1116"/>
      <c r="AM123" s="1114"/>
      <c r="AN123" s="1115"/>
      <c r="AO123" s="1115"/>
      <c r="AP123" s="1115"/>
      <c r="AQ123" s="1115"/>
      <c r="AR123" s="1115"/>
      <c r="AS123" s="1115"/>
      <c r="AT123" s="1116"/>
      <c r="AU123" s="1083">
        <f>AA123/AG104</f>
        <v>0</v>
      </c>
      <c r="AV123" s="1083"/>
      <c r="AW123" s="1083"/>
      <c r="AX123" s="1083"/>
      <c r="AY123" s="1083"/>
      <c r="AZ123" s="1083"/>
      <c r="BA123" s="1083"/>
      <c r="BB123" s="1083"/>
    </row>
    <row r="124" spans="1:54" ht="27" hidden="1" customHeight="1" thickBot="1" x14ac:dyDescent="0.25">
      <c r="A124" s="1086"/>
      <c r="B124" s="1086"/>
      <c r="C124" s="1086"/>
      <c r="D124" s="1086"/>
      <c r="E124" s="1086"/>
      <c r="F124" s="1086"/>
      <c r="G124" s="1086"/>
      <c r="H124" s="1086"/>
      <c r="I124" s="1086"/>
      <c r="J124" s="1086"/>
      <c r="K124" s="1086"/>
      <c r="L124" s="1086"/>
      <c r="M124" s="1086"/>
      <c r="N124" s="1086"/>
      <c r="O124" s="1086"/>
      <c r="P124" s="1086"/>
      <c r="Q124" s="1086"/>
      <c r="R124" s="1086"/>
      <c r="S124" s="1086"/>
      <c r="T124" s="1086"/>
      <c r="U124" s="1086"/>
      <c r="V124" s="1086"/>
      <c r="W124" s="1086"/>
      <c r="X124" s="1086"/>
      <c r="Y124" s="1086"/>
      <c r="Z124" s="1086"/>
      <c r="AA124" s="1087"/>
      <c r="AB124" s="1087"/>
      <c r="AC124" s="1087"/>
      <c r="AD124" s="1087"/>
      <c r="AE124" s="1087"/>
      <c r="AF124" s="1087"/>
      <c r="AG124" s="1114"/>
      <c r="AH124" s="1115"/>
      <c r="AI124" s="1115"/>
      <c r="AJ124" s="1115"/>
      <c r="AK124" s="1115"/>
      <c r="AL124" s="1116"/>
      <c r="AM124" s="1114"/>
      <c r="AN124" s="1115"/>
      <c r="AO124" s="1115"/>
      <c r="AP124" s="1115"/>
      <c r="AQ124" s="1115"/>
      <c r="AR124" s="1115"/>
      <c r="AS124" s="1115"/>
      <c r="AT124" s="1116"/>
      <c r="AU124" s="1088">
        <f>AA124/AG104</f>
        <v>0</v>
      </c>
      <c r="AV124" s="1088"/>
      <c r="AW124" s="1088"/>
      <c r="AX124" s="1088"/>
      <c r="AY124" s="1088"/>
      <c r="AZ124" s="1088"/>
      <c r="BA124" s="1088"/>
      <c r="BB124" s="1088"/>
    </row>
    <row r="125" spans="1:54" ht="16.5" customHeight="1" thickBot="1" x14ac:dyDescent="0.25">
      <c r="A125" s="1059" t="s">
        <v>51</v>
      </c>
      <c r="B125" s="1060"/>
      <c r="C125" s="1060"/>
      <c r="D125" s="1060"/>
      <c r="E125" s="1060"/>
      <c r="F125" s="1060"/>
      <c r="G125" s="1060"/>
      <c r="H125" s="1060"/>
      <c r="I125" s="1060"/>
      <c r="J125" s="1060"/>
      <c r="K125" s="1060"/>
      <c r="L125" s="1060"/>
      <c r="M125" s="1060"/>
      <c r="N125" s="1060"/>
      <c r="O125" s="1060"/>
      <c r="P125" s="1060"/>
      <c r="Q125" s="1060"/>
      <c r="R125" s="1060"/>
      <c r="S125" s="1060"/>
      <c r="T125" s="1060"/>
      <c r="U125" s="1060"/>
      <c r="V125" s="1060"/>
      <c r="W125" s="1060"/>
      <c r="X125" s="1060"/>
      <c r="Y125" s="1060"/>
      <c r="Z125" s="1061"/>
      <c r="AA125" s="1062">
        <f>SUM(AA104:AF124)</f>
        <v>1859.5</v>
      </c>
      <c r="AB125" s="1063"/>
      <c r="AC125" s="1063"/>
      <c r="AD125" s="1063"/>
      <c r="AE125" s="1063"/>
      <c r="AF125" s="1063"/>
      <c r="AG125" s="1064">
        <f>AG104</f>
        <v>60</v>
      </c>
      <c r="AH125" s="1065"/>
      <c r="AI125" s="1065"/>
      <c r="AJ125" s="1065"/>
      <c r="AK125" s="1065"/>
      <c r="AL125" s="1066"/>
      <c r="AM125" s="1067" t="s">
        <v>17</v>
      </c>
      <c r="AN125" s="1068"/>
      <c r="AO125" s="1068"/>
      <c r="AP125" s="1068"/>
      <c r="AQ125" s="1068"/>
      <c r="AR125" s="1068"/>
      <c r="AS125" s="1068"/>
      <c r="AT125" s="1069"/>
      <c r="AU125" s="1070">
        <f>SUM(AU104:BB124)</f>
        <v>30.991666666666671</v>
      </c>
      <c r="AV125" s="1070"/>
      <c r="AW125" s="1070"/>
      <c r="AX125" s="1070"/>
      <c r="AY125" s="1070"/>
      <c r="AZ125" s="1070"/>
      <c r="BA125" s="1070"/>
      <c r="BB125" s="1071"/>
    </row>
    <row r="126" spans="1:54" ht="52.5" customHeight="1" x14ac:dyDescent="0.2"/>
    <row r="127" spans="1:54" s="7" customFormat="1" ht="42.75" customHeight="1" x14ac:dyDescent="0.2">
      <c r="A127" s="5" t="s">
        <v>59</v>
      </c>
      <c r="B127" s="5"/>
      <c r="C127" s="5" t="s">
        <v>60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6"/>
      <c r="AY127" s="6"/>
      <c r="AZ127" s="6"/>
      <c r="BA127" s="6"/>
      <c r="BB127" s="6"/>
    </row>
    <row r="128" spans="1:54" ht="12" customHeight="1" thickBot="1" x14ac:dyDescent="0.25"/>
    <row r="129" spans="1:54" s="5" customFormat="1" ht="12" customHeight="1" x14ac:dyDescent="0.2">
      <c r="A129" s="1072" t="s">
        <v>54</v>
      </c>
      <c r="B129" s="1073"/>
      <c r="C129" s="1073"/>
      <c r="D129" s="1073"/>
      <c r="E129" s="1073"/>
      <c r="F129" s="1073"/>
      <c r="G129" s="1073"/>
      <c r="H129" s="1073"/>
      <c r="I129" s="1073"/>
      <c r="J129" s="1073"/>
      <c r="K129" s="1073"/>
      <c r="L129" s="1073"/>
      <c r="M129" s="1073"/>
      <c r="N129" s="1073"/>
      <c r="O129" s="1073"/>
      <c r="P129" s="1073"/>
      <c r="Q129" s="1073"/>
      <c r="R129" s="1073"/>
      <c r="S129" s="1073"/>
      <c r="T129" s="1073"/>
      <c r="U129" s="1073"/>
      <c r="V129" s="1073"/>
      <c r="W129" s="1073"/>
      <c r="X129" s="1073"/>
      <c r="Y129" s="1073"/>
      <c r="Z129" s="1074"/>
      <c r="AA129" s="1075" t="s">
        <v>55</v>
      </c>
      <c r="AB129" s="1076"/>
      <c r="AC129" s="1076"/>
      <c r="AD129" s="1076"/>
      <c r="AE129" s="1076"/>
      <c r="AF129" s="1077"/>
      <c r="AG129" s="1075" t="s">
        <v>56</v>
      </c>
      <c r="AH129" s="1076"/>
      <c r="AI129" s="1076"/>
      <c r="AJ129" s="1076"/>
      <c r="AK129" s="1076"/>
      <c r="AL129" s="1077"/>
      <c r="AM129" s="1078" t="s">
        <v>57</v>
      </c>
      <c r="AN129" s="1073"/>
      <c r="AO129" s="1073"/>
      <c r="AP129" s="1073"/>
      <c r="AQ129" s="1073"/>
      <c r="AR129" s="1073"/>
      <c r="AS129" s="1073"/>
      <c r="AT129" s="1074"/>
      <c r="AU129" s="1078" t="s">
        <v>43</v>
      </c>
      <c r="AV129" s="1073"/>
      <c r="AW129" s="1073"/>
      <c r="AX129" s="1073"/>
      <c r="AY129" s="1073"/>
      <c r="AZ129" s="1073"/>
      <c r="BA129" s="1073"/>
      <c r="BB129" s="1079"/>
    </row>
    <row r="130" spans="1:54" ht="11.25" customHeight="1" thickBot="1" x14ac:dyDescent="0.25">
      <c r="A130" s="1038">
        <v>1</v>
      </c>
      <c r="B130" s="1039"/>
      <c r="C130" s="1039"/>
      <c r="D130" s="1039"/>
      <c r="E130" s="1039"/>
      <c r="F130" s="1039"/>
      <c r="G130" s="1039"/>
      <c r="H130" s="1039"/>
      <c r="I130" s="1039"/>
      <c r="J130" s="1039"/>
      <c r="K130" s="1039"/>
      <c r="L130" s="1039"/>
      <c r="M130" s="1039"/>
      <c r="N130" s="1039"/>
      <c r="O130" s="1039"/>
      <c r="P130" s="1039"/>
      <c r="Q130" s="1039"/>
      <c r="R130" s="1039"/>
      <c r="S130" s="1039"/>
      <c r="T130" s="1039"/>
      <c r="U130" s="1039"/>
      <c r="V130" s="1039"/>
      <c r="W130" s="1039"/>
      <c r="X130" s="1039"/>
      <c r="Y130" s="1039"/>
      <c r="Z130" s="1040"/>
      <c r="AA130" s="1041">
        <v>2</v>
      </c>
      <c r="AB130" s="1039"/>
      <c r="AC130" s="1039"/>
      <c r="AD130" s="1039"/>
      <c r="AE130" s="1039"/>
      <c r="AF130" s="1040"/>
      <c r="AG130" s="1041">
        <v>3</v>
      </c>
      <c r="AH130" s="1039"/>
      <c r="AI130" s="1039"/>
      <c r="AJ130" s="1039"/>
      <c r="AK130" s="1039"/>
      <c r="AL130" s="1040"/>
      <c r="AM130" s="1041">
        <v>4</v>
      </c>
      <c r="AN130" s="1039"/>
      <c r="AO130" s="1039"/>
      <c r="AP130" s="1039"/>
      <c r="AQ130" s="1039"/>
      <c r="AR130" s="1039"/>
      <c r="AS130" s="1039"/>
      <c r="AT130" s="1040"/>
      <c r="AU130" s="1041">
        <v>5</v>
      </c>
      <c r="AV130" s="1039"/>
      <c r="AW130" s="1039"/>
      <c r="AX130" s="1039"/>
      <c r="AY130" s="1039"/>
      <c r="AZ130" s="1039"/>
      <c r="BA130" s="1039"/>
      <c r="BB130" s="1042"/>
    </row>
    <row r="131" spans="1:54" ht="31.5" hidden="1" customHeight="1" x14ac:dyDescent="0.2">
      <c r="A131" s="1043"/>
      <c r="B131" s="1044"/>
      <c r="C131" s="1044"/>
      <c r="D131" s="1044"/>
      <c r="E131" s="1044"/>
      <c r="F131" s="1044"/>
      <c r="G131" s="1044"/>
      <c r="H131" s="1044"/>
      <c r="I131" s="1044"/>
      <c r="J131" s="1044"/>
      <c r="K131" s="1044"/>
      <c r="L131" s="1044"/>
      <c r="M131" s="1044"/>
      <c r="N131" s="1044"/>
      <c r="O131" s="1044"/>
      <c r="P131" s="1044"/>
      <c r="Q131" s="1044"/>
      <c r="R131" s="1044"/>
      <c r="S131" s="1044"/>
      <c r="T131" s="1044"/>
      <c r="U131" s="1044"/>
      <c r="V131" s="1044"/>
      <c r="W131" s="1044"/>
      <c r="X131" s="1044"/>
      <c r="Y131" s="1044"/>
      <c r="Z131" s="1045"/>
      <c r="AA131" s="1046">
        <v>0</v>
      </c>
      <c r="AB131" s="1047"/>
      <c r="AC131" s="1047"/>
      <c r="AD131" s="1047"/>
      <c r="AE131" s="1047"/>
      <c r="AF131" s="1048"/>
      <c r="AG131" s="1046">
        <f>U12</f>
        <v>60</v>
      </c>
      <c r="AH131" s="1047"/>
      <c r="AI131" s="1047"/>
      <c r="AJ131" s="1047"/>
      <c r="AK131" s="1047"/>
      <c r="AL131" s="1048"/>
      <c r="AM131" s="1046" t="s">
        <v>61</v>
      </c>
      <c r="AN131" s="1047"/>
      <c r="AO131" s="1047"/>
      <c r="AP131" s="1047"/>
      <c r="AQ131" s="1047"/>
      <c r="AR131" s="1047"/>
      <c r="AS131" s="1047"/>
      <c r="AT131" s="1048"/>
      <c r="AU131" s="1030">
        <f>AA131/AG131</f>
        <v>0</v>
      </c>
      <c r="AV131" s="1031"/>
      <c r="AW131" s="1031"/>
      <c r="AX131" s="1031"/>
      <c r="AY131" s="1031"/>
      <c r="AZ131" s="1031"/>
      <c r="BA131" s="1031"/>
      <c r="BB131" s="1032"/>
    </row>
    <row r="132" spans="1:54" ht="4.5" hidden="1" customHeight="1" x14ac:dyDescent="0.2">
      <c r="A132" s="1034"/>
      <c r="B132" s="1035"/>
      <c r="C132" s="1035"/>
      <c r="D132" s="1035"/>
      <c r="E132" s="1035"/>
      <c r="F132" s="1035"/>
      <c r="G132" s="1035"/>
      <c r="H132" s="1035"/>
      <c r="I132" s="1035"/>
      <c r="J132" s="1035"/>
      <c r="K132" s="1035"/>
      <c r="L132" s="1035"/>
      <c r="M132" s="1035"/>
      <c r="N132" s="1035"/>
      <c r="O132" s="1035"/>
      <c r="P132" s="1035"/>
      <c r="Q132" s="1035"/>
      <c r="R132" s="1035"/>
      <c r="S132" s="1035"/>
      <c r="T132" s="1035"/>
      <c r="U132" s="1035"/>
      <c r="V132" s="1035"/>
      <c r="W132" s="1035"/>
      <c r="X132" s="1035"/>
      <c r="Y132" s="1035"/>
      <c r="Z132" s="1036"/>
      <c r="AA132" s="981"/>
      <c r="AB132" s="981"/>
      <c r="AC132" s="981"/>
      <c r="AD132" s="981"/>
      <c r="AE132" s="981"/>
      <c r="AF132" s="981"/>
      <c r="AG132" s="1049"/>
      <c r="AH132" s="1050"/>
      <c r="AI132" s="1050"/>
      <c r="AJ132" s="1050"/>
      <c r="AK132" s="1050"/>
      <c r="AL132" s="1051"/>
      <c r="AM132" s="1049"/>
      <c r="AN132" s="1050"/>
      <c r="AO132" s="1050"/>
      <c r="AP132" s="1050"/>
      <c r="AQ132" s="1050"/>
      <c r="AR132" s="1050"/>
      <c r="AS132" s="1050"/>
      <c r="AT132" s="1051"/>
      <c r="AU132" s="1030">
        <f>AA132/AG131</f>
        <v>0</v>
      </c>
      <c r="AV132" s="1031"/>
      <c r="AW132" s="1031"/>
      <c r="AX132" s="1031"/>
      <c r="AY132" s="1031"/>
      <c r="AZ132" s="1031"/>
      <c r="BA132" s="1031"/>
      <c r="BB132" s="1032"/>
    </row>
    <row r="133" spans="1:54" ht="21" customHeight="1" x14ac:dyDescent="0.2">
      <c r="A133" s="1026"/>
      <c r="B133" s="1027"/>
      <c r="C133" s="1027"/>
      <c r="D133" s="1027"/>
      <c r="E133" s="1027"/>
      <c r="F133" s="1027"/>
      <c r="G133" s="1027"/>
      <c r="H133" s="1027"/>
      <c r="I133" s="1027"/>
      <c r="J133" s="1027"/>
      <c r="K133" s="1027"/>
      <c r="L133" s="1027"/>
      <c r="M133" s="1027"/>
      <c r="N133" s="1027"/>
      <c r="O133" s="1027"/>
      <c r="P133" s="1027"/>
      <c r="Q133" s="1027"/>
      <c r="R133" s="1027"/>
      <c r="S133" s="1027"/>
      <c r="T133" s="1027"/>
      <c r="U133" s="1027"/>
      <c r="V133" s="1027"/>
      <c r="W133" s="1027"/>
      <c r="X133" s="1027"/>
      <c r="Y133" s="1027"/>
      <c r="Z133" s="1028"/>
      <c r="AA133" s="1037"/>
      <c r="AB133" s="1037"/>
      <c r="AC133" s="1037"/>
      <c r="AD133" s="1037"/>
      <c r="AE133" s="1037"/>
      <c r="AF133" s="1037"/>
      <c r="AG133" s="1049"/>
      <c r="AH133" s="1050"/>
      <c r="AI133" s="1050"/>
      <c r="AJ133" s="1050"/>
      <c r="AK133" s="1050"/>
      <c r="AL133" s="1051"/>
      <c r="AM133" s="1049"/>
      <c r="AN133" s="1050"/>
      <c r="AO133" s="1050"/>
      <c r="AP133" s="1050"/>
      <c r="AQ133" s="1050"/>
      <c r="AR133" s="1050"/>
      <c r="AS133" s="1050"/>
      <c r="AT133" s="1051"/>
      <c r="AU133" s="1030">
        <f>AA133/AG131</f>
        <v>0</v>
      </c>
      <c r="AV133" s="1031"/>
      <c r="AW133" s="1031"/>
      <c r="AX133" s="1031"/>
      <c r="AY133" s="1031"/>
      <c r="AZ133" s="1031"/>
      <c r="BA133" s="1031"/>
      <c r="BB133" s="1032"/>
    </row>
    <row r="134" spans="1:54" ht="21" customHeight="1" x14ac:dyDescent="0.2">
      <c r="A134" s="1026"/>
      <c r="B134" s="1027"/>
      <c r="C134" s="1027"/>
      <c r="D134" s="1027"/>
      <c r="E134" s="1027"/>
      <c r="F134" s="1027"/>
      <c r="G134" s="1027"/>
      <c r="H134" s="1027"/>
      <c r="I134" s="1027"/>
      <c r="J134" s="1027"/>
      <c r="K134" s="1027"/>
      <c r="L134" s="1027"/>
      <c r="M134" s="1027"/>
      <c r="N134" s="1027"/>
      <c r="O134" s="1027"/>
      <c r="P134" s="1027"/>
      <c r="Q134" s="1027"/>
      <c r="R134" s="1027"/>
      <c r="S134" s="1027"/>
      <c r="T134" s="1027"/>
      <c r="U134" s="1027"/>
      <c r="V134" s="1027"/>
      <c r="W134" s="1027"/>
      <c r="X134" s="1027"/>
      <c r="Y134" s="1027"/>
      <c r="Z134" s="1028"/>
      <c r="AA134" s="1029"/>
      <c r="AB134" s="1029"/>
      <c r="AC134" s="1029"/>
      <c r="AD134" s="1029"/>
      <c r="AE134" s="1029"/>
      <c r="AF134" s="1029"/>
      <c r="AG134" s="1049"/>
      <c r="AH134" s="1050"/>
      <c r="AI134" s="1050"/>
      <c r="AJ134" s="1050"/>
      <c r="AK134" s="1050"/>
      <c r="AL134" s="1051"/>
      <c r="AM134" s="1049"/>
      <c r="AN134" s="1050"/>
      <c r="AO134" s="1050"/>
      <c r="AP134" s="1050"/>
      <c r="AQ134" s="1050"/>
      <c r="AR134" s="1050"/>
      <c r="AS134" s="1050"/>
      <c r="AT134" s="1051"/>
      <c r="AU134" s="1030">
        <f>AA134/AG131</f>
        <v>0</v>
      </c>
      <c r="AV134" s="1031"/>
      <c r="AW134" s="1031"/>
      <c r="AX134" s="1031"/>
      <c r="AY134" s="1031"/>
      <c r="AZ134" s="1031"/>
      <c r="BA134" s="1031"/>
      <c r="BB134" s="1032"/>
    </row>
    <row r="135" spans="1:54" ht="6" hidden="1" customHeight="1" x14ac:dyDescent="0.2">
      <c r="A135" s="1026"/>
      <c r="B135" s="1027"/>
      <c r="C135" s="1027"/>
      <c r="D135" s="1027"/>
      <c r="E135" s="1027"/>
      <c r="F135" s="1027"/>
      <c r="G135" s="1027"/>
      <c r="H135" s="1027"/>
      <c r="I135" s="1027"/>
      <c r="J135" s="1027"/>
      <c r="K135" s="1027"/>
      <c r="L135" s="1027"/>
      <c r="M135" s="1027"/>
      <c r="N135" s="1027"/>
      <c r="O135" s="1027"/>
      <c r="P135" s="1027"/>
      <c r="Q135" s="1027"/>
      <c r="R135" s="1027"/>
      <c r="S135" s="1027"/>
      <c r="T135" s="1027"/>
      <c r="U135" s="1027"/>
      <c r="V135" s="1027"/>
      <c r="W135" s="1027"/>
      <c r="X135" s="1027"/>
      <c r="Y135" s="1027"/>
      <c r="Z135" s="1028"/>
      <c r="AA135" s="1033"/>
      <c r="AB135" s="1033"/>
      <c r="AC135" s="1033"/>
      <c r="AD135" s="1033"/>
      <c r="AE135" s="1033"/>
      <c r="AF135" s="1033"/>
      <c r="AG135" s="1049"/>
      <c r="AH135" s="1050"/>
      <c r="AI135" s="1050"/>
      <c r="AJ135" s="1050"/>
      <c r="AK135" s="1050"/>
      <c r="AL135" s="1051"/>
      <c r="AM135" s="1049"/>
      <c r="AN135" s="1050"/>
      <c r="AO135" s="1050"/>
      <c r="AP135" s="1050"/>
      <c r="AQ135" s="1050"/>
      <c r="AR135" s="1050"/>
      <c r="AS135" s="1050"/>
      <c r="AT135" s="1051"/>
      <c r="AU135" s="1030">
        <f>AA135/AG131</f>
        <v>0</v>
      </c>
      <c r="AV135" s="1031"/>
      <c r="AW135" s="1031"/>
      <c r="AX135" s="1031"/>
      <c r="AY135" s="1031"/>
      <c r="AZ135" s="1031"/>
      <c r="BA135" s="1031"/>
      <c r="BB135" s="1032"/>
    </row>
    <row r="136" spans="1:54" ht="0.75" customHeight="1" thickBot="1" x14ac:dyDescent="0.25">
      <c r="A136" s="1052"/>
      <c r="B136" s="1053"/>
      <c r="C136" s="1053"/>
      <c r="D136" s="1053"/>
      <c r="E136" s="1053"/>
      <c r="F136" s="1053"/>
      <c r="G136" s="1053"/>
      <c r="H136" s="1053"/>
      <c r="I136" s="1053"/>
      <c r="J136" s="1053"/>
      <c r="K136" s="1053"/>
      <c r="L136" s="1053"/>
      <c r="M136" s="1053"/>
      <c r="N136" s="1053"/>
      <c r="O136" s="1053"/>
      <c r="P136" s="1053"/>
      <c r="Q136" s="1053"/>
      <c r="R136" s="1053"/>
      <c r="S136" s="1053"/>
      <c r="T136" s="1053"/>
      <c r="U136" s="1053"/>
      <c r="V136" s="1053"/>
      <c r="W136" s="1053"/>
      <c r="X136" s="1053"/>
      <c r="Y136" s="1053"/>
      <c r="Z136" s="1054"/>
      <c r="AA136" s="1055">
        <v>0</v>
      </c>
      <c r="AB136" s="1055"/>
      <c r="AC136" s="1055"/>
      <c r="AD136" s="1055"/>
      <c r="AE136" s="1055"/>
      <c r="AF136" s="1055"/>
      <c r="AG136" s="1049"/>
      <c r="AH136" s="1050"/>
      <c r="AI136" s="1050"/>
      <c r="AJ136" s="1050"/>
      <c r="AK136" s="1050"/>
      <c r="AL136" s="1051"/>
      <c r="AM136" s="1049"/>
      <c r="AN136" s="1050"/>
      <c r="AO136" s="1050"/>
      <c r="AP136" s="1050"/>
      <c r="AQ136" s="1050"/>
      <c r="AR136" s="1050"/>
      <c r="AS136" s="1050"/>
      <c r="AT136" s="1051"/>
      <c r="AU136" s="1056">
        <f>AA136/AG131</f>
        <v>0</v>
      </c>
      <c r="AV136" s="1057"/>
      <c r="AW136" s="1057"/>
      <c r="AX136" s="1057"/>
      <c r="AY136" s="1057"/>
      <c r="AZ136" s="1057"/>
      <c r="BA136" s="1057"/>
      <c r="BB136" s="1058"/>
    </row>
    <row r="137" spans="1:54" ht="15" customHeight="1" thickBot="1" x14ac:dyDescent="0.25">
      <c r="A137" s="1011" t="s">
        <v>51</v>
      </c>
      <c r="B137" s="1012"/>
      <c r="C137" s="1012"/>
      <c r="D137" s="1012"/>
      <c r="E137" s="1012"/>
      <c r="F137" s="1012"/>
      <c r="G137" s="1012"/>
      <c r="H137" s="1012"/>
      <c r="I137" s="1012"/>
      <c r="J137" s="1012"/>
      <c r="K137" s="1012"/>
      <c r="L137" s="1012"/>
      <c r="M137" s="1012"/>
      <c r="N137" s="1012"/>
      <c r="O137" s="1012"/>
      <c r="P137" s="1012"/>
      <c r="Q137" s="1012"/>
      <c r="R137" s="1012"/>
      <c r="S137" s="1012"/>
      <c r="T137" s="1012"/>
      <c r="U137" s="1012"/>
      <c r="V137" s="1012"/>
      <c r="W137" s="1012"/>
      <c r="X137" s="1012"/>
      <c r="Y137" s="1012"/>
      <c r="Z137" s="1013"/>
      <c r="AA137" s="1014">
        <f>SUM(AA131:AF134)</f>
        <v>0</v>
      </c>
      <c r="AB137" s="1015"/>
      <c r="AC137" s="1015"/>
      <c r="AD137" s="1015"/>
      <c r="AE137" s="1015"/>
      <c r="AF137" s="1016"/>
      <c r="AG137" s="1017">
        <f>AG131</f>
        <v>60</v>
      </c>
      <c r="AH137" s="1018"/>
      <c r="AI137" s="1018"/>
      <c r="AJ137" s="1018"/>
      <c r="AK137" s="1018"/>
      <c r="AL137" s="1019"/>
      <c r="AM137" s="1020" t="s">
        <v>17</v>
      </c>
      <c r="AN137" s="1021"/>
      <c r="AO137" s="1021"/>
      <c r="AP137" s="1021"/>
      <c r="AQ137" s="1021"/>
      <c r="AR137" s="1021"/>
      <c r="AS137" s="1021"/>
      <c r="AT137" s="1022"/>
      <c r="AU137" s="1023">
        <f>SUM(AU131:BB136)</f>
        <v>0</v>
      </c>
      <c r="AV137" s="1024"/>
      <c r="AW137" s="1024"/>
      <c r="AX137" s="1024"/>
      <c r="AY137" s="1024"/>
      <c r="AZ137" s="1024"/>
      <c r="BA137" s="1024"/>
      <c r="BB137" s="1025"/>
    </row>
    <row r="138" spans="1:54" s="7" customFormat="1" ht="1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</row>
    <row r="139" spans="1:54" ht="27" customHeight="1" x14ac:dyDescent="0.2">
      <c r="A139" s="5" t="s">
        <v>62</v>
      </c>
      <c r="B139" s="5"/>
      <c r="C139" s="5" t="s">
        <v>63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6"/>
      <c r="AY139" s="6"/>
      <c r="AZ139" s="6"/>
      <c r="BA139" s="6"/>
      <c r="BB139" s="6"/>
    </row>
    <row r="140" spans="1:54" ht="21.75" customHeight="1" thickBot="1" x14ac:dyDescent="0.25"/>
    <row r="141" spans="1:54" ht="63" customHeight="1" x14ac:dyDescent="0.2">
      <c r="A141" s="961" t="s">
        <v>54</v>
      </c>
      <c r="B141" s="962"/>
      <c r="C141" s="962"/>
      <c r="D141" s="962"/>
      <c r="E141" s="962"/>
      <c r="F141" s="962"/>
      <c r="G141" s="962"/>
      <c r="H141" s="801" t="s">
        <v>64</v>
      </c>
      <c r="I141" s="801"/>
      <c r="J141" s="801"/>
      <c r="K141" s="801"/>
      <c r="L141" s="801"/>
      <c r="M141" s="1579" t="s">
        <v>94</v>
      </c>
      <c r="N141" s="1579"/>
      <c r="O141" s="1579"/>
      <c r="P141" s="1579"/>
      <c r="Q141" s="1579"/>
      <c r="R141" s="535" t="s">
        <v>82</v>
      </c>
      <c r="S141" s="535"/>
      <c r="T141" s="535"/>
      <c r="U141" s="535"/>
      <c r="V141" s="535" t="s">
        <v>65</v>
      </c>
      <c r="W141" s="535"/>
      <c r="X141" s="535"/>
      <c r="Y141" s="535"/>
      <c r="Z141" s="999" t="s">
        <v>66</v>
      </c>
      <c r="AA141" s="999"/>
      <c r="AB141" s="999"/>
      <c r="AC141" s="999"/>
      <c r="AD141" s="999" t="s">
        <v>67</v>
      </c>
      <c r="AE141" s="999"/>
      <c r="AF141" s="999"/>
      <c r="AG141" s="999"/>
      <c r="AH141" s="999"/>
      <c r="AI141" s="999"/>
      <c r="AJ141" s="999"/>
      <c r="AK141" s="999"/>
      <c r="AL141" s="999"/>
      <c r="AM141" s="999"/>
      <c r="AN141" s="999"/>
      <c r="AO141" s="999"/>
      <c r="AP141" s="999"/>
      <c r="AQ141" s="1579" t="s">
        <v>93</v>
      </c>
      <c r="AR141" s="1579"/>
      <c r="AS141" s="1579"/>
      <c r="AT141" s="1579"/>
      <c r="AU141" s="1580" t="s">
        <v>228</v>
      </c>
      <c r="AV141" s="1581"/>
      <c r="AW141" s="1581"/>
      <c r="AX141" s="1582"/>
      <c r="AY141" s="1580" t="s">
        <v>87</v>
      </c>
      <c r="AZ141" s="1581"/>
      <c r="BA141" s="1581"/>
      <c r="BB141" s="1582"/>
    </row>
    <row r="142" spans="1:54" ht="71.25" customHeight="1" thickBot="1" x14ac:dyDescent="0.25">
      <c r="A142" s="1564"/>
      <c r="B142" s="1565"/>
      <c r="C142" s="1565"/>
      <c r="D142" s="1565"/>
      <c r="E142" s="1565"/>
      <c r="F142" s="1565"/>
      <c r="G142" s="1565"/>
      <c r="H142" s="801" t="s">
        <v>68</v>
      </c>
      <c r="I142" s="801"/>
      <c r="J142" s="801"/>
      <c r="K142" s="801"/>
      <c r="L142" s="801"/>
      <c r="M142" s="801" t="s">
        <v>68</v>
      </c>
      <c r="N142" s="801"/>
      <c r="O142" s="801"/>
      <c r="P142" s="801"/>
      <c r="Q142" s="801"/>
      <c r="R142" s="801"/>
      <c r="S142" s="801"/>
      <c r="T142" s="801"/>
      <c r="U142" s="801"/>
      <c r="V142" s="801"/>
      <c r="W142" s="801"/>
      <c r="X142" s="801"/>
      <c r="Y142" s="801"/>
      <c r="Z142" s="1587"/>
      <c r="AA142" s="1587"/>
      <c r="AB142" s="1587"/>
      <c r="AC142" s="1587"/>
      <c r="AD142" s="1583" t="s">
        <v>68</v>
      </c>
      <c r="AE142" s="1583"/>
      <c r="AF142" s="1583"/>
      <c r="AG142" s="1583"/>
      <c r="AH142" s="1583"/>
      <c r="AI142" s="1583"/>
      <c r="AJ142" s="1584" t="s">
        <v>69</v>
      </c>
      <c r="AK142" s="1585"/>
      <c r="AL142" s="1585"/>
      <c r="AM142" s="1585"/>
      <c r="AN142" s="1585"/>
      <c r="AO142" s="1585"/>
      <c r="AP142" s="1586"/>
      <c r="AQ142" s="1579" t="s">
        <v>68</v>
      </c>
      <c r="AR142" s="1579"/>
      <c r="AS142" s="1579"/>
      <c r="AT142" s="1579"/>
      <c r="AU142" s="1579" t="s">
        <v>68</v>
      </c>
      <c r="AV142" s="1579"/>
      <c r="AW142" s="1579"/>
      <c r="AX142" s="1579"/>
      <c r="AY142" s="1579" t="s">
        <v>68</v>
      </c>
      <c r="AZ142" s="1579"/>
      <c r="BA142" s="1579"/>
      <c r="BB142" s="1579"/>
    </row>
    <row r="143" spans="1:54" ht="22.5" customHeight="1" thickBot="1" x14ac:dyDescent="0.25">
      <c r="A143" s="1576">
        <v>1</v>
      </c>
      <c r="B143" s="1577"/>
      <c r="C143" s="1577"/>
      <c r="D143" s="1577"/>
      <c r="E143" s="1577"/>
      <c r="F143" s="1577"/>
      <c r="G143" s="1577"/>
      <c r="H143" s="1577">
        <v>2</v>
      </c>
      <c r="I143" s="1577"/>
      <c r="J143" s="1577"/>
      <c r="K143" s="1577"/>
      <c r="L143" s="1577"/>
      <c r="M143" s="1577">
        <v>3</v>
      </c>
      <c r="N143" s="1577"/>
      <c r="O143" s="1577"/>
      <c r="P143" s="1577"/>
      <c r="Q143" s="1577"/>
      <c r="R143" s="641">
        <v>4</v>
      </c>
      <c r="S143" s="641"/>
      <c r="T143" s="641"/>
      <c r="U143" s="641"/>
      <c r="V143" s="1577">
        <v>5</v>
      </c>
      <c r="W143" s="1577"/>
      <c r="X143" s="1577"/>
      <c r="Y143" s="1577"/>
      <c r="Z143" s="1577">
        <v>6</v>
      </c>
      <c r="AA143" s="1577"/>
      <c r="AB143" s="1577"/>
      <c r="AC143" s="1041"/>
      <c r="AD143" s="1578">
        <v>7</v>
      </c>
      <c r="AE143" s="996"/>
      <c r="AF143" s="996"/>
      <c r="AG143" s="996"/>
      <c r="AH143" s="996"/>
      <c r="AI143" s="1017"/>
      <c r="AJ143" s="1274">
        <v>8</v>
      </c>
      <c r="AK143" s="1018"/>
      <c r="AL143" s="1018"/>
      <c r="AM143" s="1018"/>
      <c r="AN143" s="1018"/>
      <c r="AO143" s="1018"/>
      <c r="AP143" s="1019"/>
      <c r="AQ143" s="1164">
        <v>9</v>
      </c>
      <c r="AR143" s="1164"/>
      <c r="AS143" s="1164"/>
      <c r="AT143" s="1164"/>
      <c r="AU143" s="1164">
        <v>10</v>
      </c>
      <c r="AV143" s="1164"/>
      <c r="AW143" s="1164"/>
      <c r="AX143" s="1164"/>
      <c r="AY143" s="1164">
        <v>11</v>
      </c>
      <c r="AZ143" s="1164"/>
      <c r="BA143" s="1164"/>
      <c r="BB143" s="1164"/>
    </row>
    <row r="144" spans="1:54" ht="24.75" customHeight="1" x14ac:dyDescent="0.2">
      <c r="A144" s="1566" t="s">
        <v>70</v>
      </c>
      <c r="B144" s="1567"/>
      <c r="C144" s="1567"/>
      <c r="D144" s="1567"/>
      <c r="E144" s="1567"/>
      <c r="F144" s="1567"/>
      <c r="G144" s="1567"/>
      <c r="H144" s="946">
        <f>AO88/V144</f>
        <v>102.4023</v>
      </c>
      <c r="I144" s="946"/>
      <c r="J144" s="946"/>
      <c r="K144" s="946"/>
      <c r="L144" s="946"/>
      <c r="M144" s="942">
        <f>H144</f>
        <v>102.4023</v>
      </c>
      <c r="N144" s="942"/>
      <c r="O144" s="942"/>
      <c r="P144" s="942"/>
      <c r="Q144" s="942"/>
      <c r="R144" s="971">
        <f>U12</f>
        <v>60</v>
      </c>
      <c r="S144" s="972"/>
      <c r="T144" s="972"/>
      <c r="U144" s="973"/>
      <c r="V144" s="1568">
        <f>Y16</f>
        <v>8</v>
      </c>
      <c r="W144" s="1568"/>
      <c r="X144" s="1568"/>
      <c r="Y144" s="1568"/>
      <c r="Z144" s="1568">
        <f>U16</f>
        <v>1</v>
      </c>
      <c r="AA144" s="1568"/>
      <c r="AB144" s="1568"/>
      <c r="AC144" s="1568"/>
      <c r="AD144" s="1570" t="s">
        <v>71</v>
      </c>
      <c r="AE144" s="1571"/>
      <c r="AF144" s="1571"/>
      <c r="AG144" s="1571"/>
      <c r="AH144" s="1571"/>
      <c r="AI144" s="1572"/>
      <c r="AJ144" s="1573"/>
      <c r="AK144" s="1574"/>
      <c r="AL144" s="1574"/>
      <c r="AM144" s="1574"/>
      <c r="AN144" s="1574"/>
      <c r="AO144" s="1574"/>
      <c r="AP144" s="1575"/>
      <c r="AQ144" s="946">
        <f>H144*8</f>
        <v>819.21839999999997</v>
      </c>
      <c r="AR144" s="946"/>
      <c r="AS144" s="946"/>
      <c r="AT144" s="946"/>
      <c r="AU144" s="946">
        <f>M144*2</f>
        <v>204.80459999999999</v>
      </c>
      <c r="AV144" s="946"/>
      <c r="AW144" s="946"/>
      <c r="AX144" s="946"/>
      <c r="AY144" s="946">
        <f>H144*R144</f>
        <v>6144.1379999999999</v>
      </c>
      <c r="AZ144" s="946"/>
      <c r="BA144" s="946"/>
      <c r="BB144" s="946"/>
    </row>
    <row r="145" spans="1:79" ht="29.25" customHeight="1" x14ac:dyDescent="0.2">
      <c r="A145" s="990" t="s">
        <v>72</v>
      </c>
      <c r="B145" s="991"/>
      <c r="C145" s="991"/>
      <c r="D145" s="991"/>
      <c r="E145" s="991"/>
      <c r="F145" s="991"/>
      <c r="G145" s="991"/>
      <c r="H145" s="992">
        <f>AV98</f>
        <v>41.96444119874613</v>
      </c>
      <c r="I145" s="992"/>
      <c r="J145" s="992"/>
      <c r="K145" s="992"/>
      <c r="L145" s="992"/>
      <c r="M145" s="942">
        <f t="shared" ref="M145:M147" si="3">H145</f>
        <v>41.96444119874613</v>
      </c>
      <c r="N145" s="942"/>
      <c r="O145" s="942"/>
      <c r="P145" s="942"/>
      <c r="Q145" s="942"/>
      <c r="R145" s="974"/>
      <c r="S145" s="975"/>
      <c r="T145" s="975"/>
      <c r="U145" s="976"/>
      <c r="V145" s="981"/>
      <c r="W145" s="981"/>
      <c r="X145" s="981"/>
      <c r="Y145" s="981"/>
      <c r="Z145" s="981"/>
      <c r="AA145" s="981"/>
      <c r="AB145" s="981"/>
      <c r="AC145" s="981"/>
      <c r="AD145" s="942" t="s">
        <v>71</v>
      </c>
      <c r="AE145" s="942"/>
      <c r="AF145" s="942"/>
      <c r="AG145" s="942"/>
      <c r="AH145" s="942"/>
      <c r="AI145" s="942"/>
      <c r="AJ145" s="943"/>
      <c r="AK145" s="944"/>
      <c r="AL145" s="944"/>
      <c r="AM145" s="944"/>
      <c r="AN145" s="944"/>
      <c r="AO145" s="944"/>
      <c r="AP145" s="945"/>
      <c r="AQ145" s="946">
        <f>H145*8</f>
        <v>335.71552958996904</v>
      </c>
      <c r="AR145" s="946"/>
      <c r="AS145" s="946"/>
      <c r="AT145" s="946"/>
      <c r="AU145" s="946">
        <f>M145*2</f>
        <v>83.928882397492259</v>
      </c>
      <c r="AV145" s="946"/>
      <c r="AW145" s="946"/>
      <c r="AX145" s="946"/>
      <c r="AY145" s="946">
        <f>H145*R144</f>
        <v>2517.8664719247677</v>
      </c>
      <c r="AZ145" s="946"/>
      <c r="BA145" s="946"/>
      <c r="BB145" s="946"/>
    </row>
    <row r="146" spans="1:79" ht="15" customHeight="1" x14ac:dyDescent="0.2">
      <c r="A146" s="990" t="s">
        <v>73</v>
      </c>
      <c r="B146" s="991"/>
      <c r="C146" s="991"/>
      <c r="D146" s="991"/>
      <c r="E146" s="991"/>
      <c r="F146" s="991"/>
      <c r="G146" s="991"/>
      <c r="H146" s="992">
        <f>AU125</f>
        <v>30.991666666666671</v>
      </c>
      <c r="I146" s="992"/>
      <c r="J146" s="992"/>
      <c r="K146" s="992"/>
      <c r="L146" s="992"/>
      <c r="M146" s="942">
        <f t="shared" si="3"/>
        <v>30.991666666666671</v>
      </c>
      <c r="N146" s="942"/>
      <c r="O146" s="942"/>
      <c r="P146" s="942"/>
      <c r="Q146" s="942"/>
      <c r="R146" s="974"/>
      <c r="S146" s="975"/>
      <c r="T146" s="975"/>
      <c r="U146" s="976"/>
      <c r="V146" s="981"/>
      <c r="W146" s="981"/>
      <c r="X146" s="981"/>
      <c r="Y146" s="981"/>
      <c r="Z146" s="981"/>
      <c r="AA146" s="981"/>
      <c r="AB146" s="981"/>
      <c r="AC146" s="981"/>
      <c r="AD146" s="942" t="s">
        <v>71</v>
      </c>
      <c r="AE146" s="942"/>
      <c r="AF146" s="942"/>
      <c r="AG146" s="942"/>
      <c r="AH146" s="942"/>
      <c r="AI146" s="942"/>
      <c r="AJ146" s="943"/>
      <c r="AK146" s="944"/>
      <c r="AL146" s="944"/>
      <c r="AM146" s="944"/>
      <c r="AN146" s="944"/>
      <c r="AO146" s="944"/>
      <c r="AP146" s="945"/>
      <c r="AQ146" s="946">
        <f>H146*8</f>
        <v>247.93333333333337</v>
      </c>
      <c r="AR146" s="946"/>
      <c r="AS146" s="946"/>
      <c r="AT146" s="946"/>
      <c r="AU146" s="946">
        <f>M146*2</f>
        <v>61.983333333333341</v>
      </c>
      <c r="AV146" s="946"/>
      <c r="AW146" s="946"/>
      <c r="AX146" s="946"/>
      <c r="AY146" s="946">
        <f>H146*R144</f>
        <v>1859.5000000000002</v>
      </c>
      <c r="AZ146" s="946"/>
      <c r="BA146" s="946"/>
      <c r="BB146" s="946"/>
    </row>
    <row r="147" spans="1:79" ht="26.25" customHeight="1" thickBot="1" x14ac:dyDescent="0.25">
      <c r="A147" s="1561" t="s">
        <v>74</v>
      </c>
      <c r="B147" s="1562"/>
      <c r="C147" s="1562"/>
      <c r="D147" s="1562"/>
      <c r="E147" s="1562"/>
      <c r="F147" s="1562"/>
      <c r="G147" s="1562"/>
      <c r="H147" s="1563">
        <f>AU137</f>
        <v>0</v>
      </c>
      <c r="I147" s="1563"/>
      <c r="J147" s="1563"/>
      <c r="K147" s="1563"/>
      <c r="L147" s="1563"/>
      <c r="M147" s="942">
        <f t="shared" si="3"/>
        <v>0</v>
      </c>
      <c r="N147" s="942"/>
      <c r="O147" s="942"/>
      <c r="P147" s="942"/>
      <c r="Q147" s="942"/>
      <c r="R147" s="977"/>
      <c r="S147" s="978"/>
      <c r="T147" s="978"/>
      <c r="U147" s="979"/>
      <c r="V147" s="1569"/>
      <c r="W147" s="1569"/>
      <c r="X147" s="1569"/>
      <c r="Y147" s="1569"/>
      <c r="Z147" s="1569"/>
      <c r="AA147" s="1569"/>
      <c r="AB147" s="1569"/>
      <c r="AC147" s="1569"/>
      <c r="AD147" s="942" t="s">
        <v>71</v>
      </c>
      <c r="AE147" s="942"/>
      <c r="AF147" s="942"/>
      <c r="AG147" s="942"/>
      <c r="AH147" s="942"/>
      <c r="AI147" s="942"/>
      <c r="AJ147" s="496" t="s">
        <v>17</v>
      </c>
      <c r="AK147" s="497"/>
      <c r="AL147" s="497"/>
      <c r="AM147" s="497"/>
      <c r="AN147" s="497"/>
      <c r="AO147" s="497"/>
      <c r="AP147" s="498"/>
      <c r="AQ147" s="946">
        <f>H147*8</f>
        <v>0</v>
      </c>
      <c r="AR147" s="946"/>
      <c r="AS147" s="946"/>
      <c r="AT147" s="946"/>
      <c r="AU147" s="946">
        <f>M147*2</f>
        <v>0</v>
      </c>
      <c r="AV147" s="946"/>
      <c r="AW147" s="946"/>
      <c r="AX147" s="946"/>
      <c r="AY147" s="949">
        <f>H147*R144</f>
        <v>0</v>
      </c>
      <c r="AZ147" s="949"/>
      <c r="BA147" s="949"/>
      <c r="BB147" s="949"/>
    </row>
    <row r="148" spans="1:79" ht="25.5" customHeight="1" x14ac:dyDescent="0.2">
      <c r="A148" s="951" t="s">
        <v>80</v>
      </c>
      <c r="B148" s="952"/>
      <c r="C148" s="952"/>
      <c r="D148" s="952"/>
      <c r="E148" s="952"/>
      <c r="F148" s="952"/>
      <c r="G148" s="953"/>
      <c r="H148" s="954">
        <f>SUM(H144:L147)</f>
        <v>175.3584078654128</v>
      </c>
      <c r="I148" s="954"/>
      <c r="J148" s="954"/>
      <c r="K148" s="954"/>
      <c r="L148" s="954"/>
      <c r="M148" s="954">
        <f>SUM(M144:Q147)</f>
        <v>175.3584078654128</v>
      </c>
      <c r="N148" s="954"/>
      <c r="O148" s="954"/>
      <c r="P148" s="954"/>
      <c r="Q148" s="954"/>
      <c r="R148" s="955">
        <f>R144</f>
        <v>60</v>
      </c>
      <c r="S148" s="955"/>
      <c r="T148" s="955"/>
      <c r="U148" s="955"/>
      <c r="V148" s="956">
        <f>V144</f>
        <v>8</v>
      </c>
      <c r="W148" s="956"/>
      <c r="X148" s="956"/>
      <c r="Y148" s="956"/>
      <c r="Z148" s="956">
        <f>Z144</f>
        <v>1</v>
      </c>
      <c r="AA148" s="956"/>
      <c r="AB148" s="956"/>
      <c r="AC148" s="956"/>
      <c r="AD148" s="488" t="s">
        <v>17</v>
      </c>
      <c r="AE148" s="488"/>
      <c r="AF148" s="488"/>
      <c r="AG148" s="488"/>
      <c r="AH148" s="488"/>
      <c r="AI148" s="488"/>
      <c r="AJ148" s="491" t="s">
        <v>17</v>
      </c>
      <c r="AK148" s="492"/>
      <c r="AL148" s="492"/>
      <c r="AM148" s="492"/>
      <c r="AN148" s="492"/>
      <c r="AO148" s="492"/>
      <c r="AP148" s="493"/>
      <c r="AQ148" s="1557">
        <f>SUM(AQ144:AT147)</f>
        <v>1402.8672629233024</v>
      </c>
      <c r="AR148" s="1557"/>
      <c r="AS148" s="1557"/>
      <c r="AT148" s="1557"/>
      <c r="AU148" s="1557">
        <f>SUM(AU144:AX147)</f>
        <v>350.7168157308256</v>
      </c>
      <c r="AV148" s="1557"/>
      <c r="AW148" s="1557"/>
      <c r="AX148" s="1557"/>
      <c r="AY148" s="1557">
        <f>SUM(AY144:BB147)</f>
        <v>10521.504471924767</v>
      </c>
      <c r="AZ148" s="1557"/>
      <c r="BA148" s="1557"/>
      <c r="BB148" s="1557"/>
      <c r="BH148" s="4">
        <f>2213.35+364.98+506.91</f>
        <v>3085.24</v>
      </c>
    </row>
    <row r="149" spans="1:79" ht="30.75" customHeight="1" x14ac:dyDescent="0.2">
      <c r="A149" s="1558" t="s">
        <v>75</v>
      </c>
      <c r="B149" s="927"/>
      <c r="C149" s="927"/>
      <c r="D149" s="927"/>
      <c r="E149" s="927"/>
      <c r="F149" s="927"/>
      <c r="G149" s="80">
        <v>0.42568</v>
      </c>
      <c r="H149" s="928">
        <f>H148*G149</f>
        <v>74.646567060148925</v>
      </c>
      <c r="I149" s="928"/>
      <c r="J149" s="928"/>
      <c r="K149" s="928"/>
      <c r="L149" s="928"/>
      <c r="M149" s="928">
        <f>M148*G149</f>
        <v>74.646567060148925</v>
      </c>
      <c r="N149" s="928"/>
      <c r="O149" s="928"/>
      <c r="P149" s="928"/>
      <c r="Q149" s="928"/>
      <c r="R149" s="929">
        <f>R144</f>
        <v>60</v>
      </c>
      <c r="S149" s="930"/>
      <c r="T149" s="930"/>
      <c r="U149" s="931"/>
      <c r="V149" s="932">
        <f>V144</f>
        <v>8</v>
      </c>
      <c r="W149" s="930"/>
      <c r="X149" s="930"/>
      <c r="Y149" s="931"/>
      <c r="Z149" s="932">
        <f>Z144</f>
        <v>1</v>
      </c>
      <c r="AA149" s="930"/>
      <c r="AB149" s="930"/>
      <c r="AC149" s="931"/>
      <c r="AD149" s="462" t="s">
        <v>17</v>
      </c>
      <c r="AE149" s="462"/>
      <c r="AF149" s="462"/>
      <c r="AG149" s="462"/>
      <c r="AH149" s="462"/>
      <c r="AI149" s="462"/>
      <c r="AJ149" s="462" t="s">
        <v>17</v>
      </c>
      <c r="AK149" s="462"/>
      <c r="AL149" s="462"/>
      <c r="AM149" s="462"/>
      <c r="AN149" s="462"/>
      <c r="AO149" s="462"/>
      <c r="AP149" s="462"/>
      <c r="AQ149" s="923">
        <f>AQ148*G149-0.03</f>
        <v>597.14253648119143</v>
      </c>
      <c r="AR149" s="923"/>
      <c r="AS149" s="923"/>
      <c r="AT149" s="923"/>
      <c r="AU149" s="923">
        <f>AU148*G149-0.01</f>
        <v>149.28313412029786</v>
      </c>
      <c r="AV149" s="923"/>
      <c r="AW149" s="923"/>
      <c r="AX149" s="923"/>
      <c r="AY149" s="923">
        <f>AY148*G149-0.22</f>
        <v>4478.574023608935</v>
      </c>
      <c r="AZ149" s="923"/>
      <c r="BA149" s="923"/>
      <c r="BB149" s="923"/>
    </row>
    <row r="150" spans="1:79" ht="30.75" customHeight="1" thickBot="1" x14ac:dyDescent="0.25">
      <c r="A150" s="1559" t="s">
        <v>81</v>
      </c>
      <c r="B150" s="934"/>
      <c r="C150" s="934"/>
      <c r="D150" s="934"/>
      <c r="E150" s="934"/>
      <c r="F150" s="934"/>
      <c r="G150" s="935"/>
      <c r="H150" s="1560">
        <f>H148+H149</f>
        <v>250.00497492556173</v>
      </c>
      <c r="I150" s="1560"/>
      <c r="J150" s="1560"/>
      <c r="K150" s="1560"/>
      <c r="L150" s="1560"/>
      <c r="M150" s="1395">
        <f>M148+M149</f>
        <v>250.00497492556173</v>
      </c>
      <c r="N150" s="1396"/>
      <c r="O150" s="1396"/>
      <c r="P150" s="1396"/>
      <c r="Q150" s="1397"/>
      <c r="R150" s="936">
        <f>R144</f>
        <v>60</v>
      </c>
      <c r="S150" s="937"/>
      <c r="T150" s="937"/>
      <c r="U150" s="938"/>
      <c r="V150" s="939">
        <f>V144</f>
        <v>8</v>
      </c>
      <c r="W150" s="940"/>
      <c r="X150" s="940"/>
      <c r="Y150" s="941"/>
      <c r="Z150" s="939">
        <f>Z144</f>
        <v>1</v>
      </c>
      <c r="AA150" s="940"/>
      <c r="AB150" s="940"/>
      <c r="AC150" s="941"/>
      <c r="AD150" s="463" t="s">
        <v>17</v>
      </c>
      <c r="AE150" s="463"/>
      <c r="AF150" s="463"/>
      <c r="AG150" s="463"/>
      <c r="AH150" s="463"/>
      <c r="AI150" s="463"/>
      <c r="AJ150" s="463" t="s">
        <v>17</v>
      </c>
      <c r="AK150" s="463"/>
      <c r="AL150" s="463"/>
      <c r="AM150" s="463"/>
      <c r="AN150" s="463"/>
      <c r="AO150" s="463"/>
      <c r="AP150" s="463"/>
      <c r="AQ150" s="1556">
        <f>AQ148+AQ149</f>
        <v>2000.0097994044938</v>
      </c>
      <c r="AR150" s="1556"/>
      <c r="AS150" s="1556"/>
      <c r="AT150" s="1556"/>
      <c r="AU150" s="1556">
        <f>AU148+AU149</f>
        <v>499.99994985112346</v>
      </c>
      <c r="AV150" s="1556"/>
      <c r="AW150" s="1556"/>
      <c r="AX150" s="1556"/>
      <c r="AY150" s="1556">
        <f>AY148+AY149</f>
        <v>15000.078495533702</v>
      </c>
      <c r="AZ150" s="1556"/>
      <c r="BA150" s="1556"/>
      <c r="BB150" s="1556"/>
      <c r="BE150" s="432"/>
      <c r="BF150" s="432"/>
      <c r="BG150" s="432"/>
      <c r="BH150" s="432"/>
      <c r="BI150" s="432"/>
      <c r="BJ150" s="432"/>
      <c r="BK150" s="432"/>
      <c r="BL150" s="432"/>
      <c r="BM150" s="432"/>
      <c r="BN150" s="432"/>
      <c r="BO150" s="432"/>
      <c r="BP150" s="432"/>
      <c r="BQ150" s="432"/>
      <c r="BR150" s="432"/>
      <c r="BS150" s="432"/>
      <c r="BT150" s="432"/>
      <c r="BU150" s="432"/>
      <c r="BV150" s="432"/>
      <c r="BW150" s="432"/>
      <c r="BX150" s="432"/>
      <c r="BY150" s="432"/>
      <c r="BZ150" s="432"/>
      <c r="CA150" s="432"/>
    </row>
    <row r="151" spans="1:79" ht="16.5" customHeight="1" x14ac:dyDescent="0.2">
      <c r="BC151" s="909"/>
      <c r="BD151" s="909"/>
      <c r="BE151" s="432"/>
      <c r="BF151" s="432"/>
      <c r="BG151" s="432"/>
      <c r="BH151" s="433"/>
      <c r="BI151" s="433"/>
      <c r="BJ151" s="433"/>
      <c r="BK151" s="433"/>
      <c r="BL151" s="433"/>
      <c r="BM151" s="249"/>
      <c r="BN151" s="249"/>
      <c r="BO151" s="249"/>
      <c r="BP151" s="249"/>
      <c r="BQ151" s="249"/>
      <c r="BR151" s="249"/>
      <c r="BS151" s="249"/>
      <c r="BT151" s="249"/>
      <c r="BU151" s="117"/>
      <c r="BV151" s="117"/>
      <c r="BW151" s="117"/>
      <c r="BX151" s="117"/>
      <c r="BY151" s="117"/>
      <c r="BZ151" s="117"/>
      <c r="CA151" s="117"/>
    </row>
    <row r="152" spans="1:79" ht="12" customHeight="1" x14ac:dyDescent="0.2">
      <c r="BC152" s="909"/>
      <c r="BD152" s="909"/>
      <c r="BE152" s="434"/>
      <c r="BF152" s="432"/>
      <c r="BG152" s="432"/>
      <c r="BH152" s="216"/>
      <c r="BI152" s="432"/>
      <c r="BJ152" s="432"/>
      <c r="BK152" s="432"/>
      <c r="BL152" s="432"/>
      <c r="BM152" s="432"/>
      <c r="BN152" s="432"/>
      <c r="BO152" s="432"/>
      <c r="BP152" s="432"/>
      <c r="BQ152" s="432"/>
      <c r="BR152" s="432"/>
      <c r="BS152" s="432"/>
      <c r="BT152" s="432"/>
      <c r="BU152" s="117"/>
      <c r="BV152" s="117"/>
      <c r="BW152" s="117"/>
      <c r="BX152" s="117"/>
      <c r="BY152" s="117"/>
      <c r="BZ152" s="117"/>
      <c r="CA152" s="117"/>
    </row>
    <row r="153" spans="1:79" ht="14.25" customHeight="1" x14ac:dyDescent="0.25">
      <c r="B153" s="920" t="s">
        <v>221</v>
      </c>
      <c r="C153" s="920"/>
      <c r="D153" s="920"/>
      <c r="E153" s="920"/>
      <c r="F153" s="920"/>
      <c r="G153" s="920"/>
      <c r="H153" s="920"/>
      <c r="I153" s="920"/>
      <c r="J153" s="920"/>
      <c r="K153" s="920"/>
      <c r="L153" s="920"/>
      <c r="M153" s="920"/>
      <c r="N153" s="920"/>
      <c r="O153" s="920"/>
      <c r="P153" s="920"/>
      <c r="Q153" s="920"/>
      <c r="R153" s="920"/>
      <c r="S153" s="920"/>
      <c r="U153" s="10"/>
      <c r="V153" s="10"/>
      <c r="W153" s="10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T153" s="1"/>
      <c r="AU153" s="91" t="s">
        <v>222</v>
      </c>
      <c r="AV153" s="91"/>
      <c r="AW153" s="91"/>
      <c r="AX153" s="91"/>
      <c r="AY153" s="91"/>
      <c r="AZ153" s="91"/>
      <c r="BC153" s="909"/>
      <c r="BD153" s="909"/>
      <c r="BE153" s="432"/>
      <c r="BF153" s="432"/>
      <c r="BG153" s="432"/>
      <c r="BH153" s="216"/>
      <c r="BI153" s="435"/>
      <c r="BJ153" s="435"/>
      <c r="BK153" s="435"/>
      <c r="BL153" s="435"/>
      <c r="BM153" s="435"/>
      <c r="BN153" s="435"/>
      <c r="BO153" s="432"/>
      <c r="BP153" s="432"/>
      <c r="BQ153" s="432"/>
      <c r="BR153" s="432"/>
      <c r="BS153" s="432"/>
      <c r="BT153" s="432"/>
      <c r="BU153" s="117"/>
      <c r="BV153" s="117"/>
      <c r="BW153" s="117"/>
      <c r="BX153" s="117"/>
      <c r="BY153" s="117"/>
      <c r="BZ153" s="117"/>
      <c r="CA153" s="117"/>
    </row>
    <row r="154" spans="1:79" ht="15.75" customHeight="1" x14ac:dyDescent="0.2">
      <c r="B154" s="920" t="s">
        <v>78</v>
      </c>
      <c r="C154" s="920"/>
      <c r="D154" s="920"/>
      <c r="E154" s="920"/>
      <c r="F154" s="920"/>
      <c r="G154" s="920"/>
      <c r="H154" s="920"/>
      <c r="I154" s="920"/>
      <c r="J154" s="920"/>
      <c r="K154" s="920"/>
      <c r="L154" s="920"/>
      <c r="M154" s="920"/>
      <c r="N154" s="920"/>
      <c r="O154" s="920"/>
      <c r="P154" s="920"/>
      <c r="Q154" s="920"/>
      <c r="R154" s="920"/>
      <c r="S154" s="920"/>
      <c r="AM154" s="1555" t="s">
        <v>355</v>
      </c>
      <c r="AN154" s="1555"/>
      <c r="AO154" s="1555"/>
      <c r="AP154" s="1555"/>
      <c r="AQ154" s="1555"/>
      <c r="AR154" s="1555"/>
      <c r="AS154" s="1555"/>
      <c r="AT154" s="1555"/>
      <c r="AU154" s="1555"/>
      <c r="AV154" s="1555"/>
      <c r="AW154" s="1555"/>
      <c r="AX154" s="1555"/>
      <c r="AY154" s="1555"/>
      <c r="AZ154" s="1555"/>
      <c r="BA154" s="1555"/>
      <c r="BB154" s="1555"/>
      <c r="BC154" s="1555"/>
      <c r="BE154" s="432"/>
      <c r="BF154" s="432"/>
      <c r="BG154" s="432"/>
      <c r="BH154" s="216"/>
      <c r="BI154" s="435"/>
      <c r="BJ154" s="435"/>
      <c r="BK154" s="435"/>
      <c r="BL154" s="435"/>
      <c r="BM154" s="435"/>
      <c r="BN154" s="435"/>
      <c r="BO154" s="435"/>
      <c r="BP154" s="435"/>
      <c r="BQ154" s="435"/>
      <c r="BR154" s="435"/>
      <c r="BS154" s="435"/>
      <c r="BT154" s="435"/>
      <c r="BU154" s="117"/>
      <c r="BV154" s="117"/>
      <c r="BW154" s="117"/>
      <c r="BX154" s="117"/>
      <c r="BY154" s="117"/>
      <c r="BZ154" s="117"/>
      <c r="CA154" s="117"/>
    </row>
    <row r="155" spans="1:79" ht="19.5" customHeight="1" x14ac:dyDescent="0.2">
      <c r="B155" s="920"/>
      <c r="C155" s="920"/>
      <c r="D155" s="920"/>
      <c r="E155" s="920"/>
      <c r="F155" s="920"/>
      <c r="G155" s="920"/>
      <c r="H155" s="920"/>
      <c r="I155" s="920"/>
      <c r="J155" s="920"/>
      <c r="K155" s="920"/>
      <c r="L155" s="920"/>
      <c r="M155" s="920"/>
      <c r="N155" s="920"/>
      <c r="O155" s="920"/>
      <c r="P155" s="920"/>
      <c r="Q155" s="920"/>
      <c r="R155" s="920"/>
      <c r="S155" s="920"/>
      <c r="U155" s="10"/>
      <c r="V155" s="10"/>
      <c r="W155" s="10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M155" s="1555"/>
      <c r="AN155" s="1555"/>
      <c r="AO155" s="1555"/>
      <c r="AP155" s="1555"/>
      <c r="AQ155" s="1555"/>
      <c r="AR155" s="1555"/>
      <c r="AS155" s="1555"/>
      <c r="AT155" s="1555"/>
      <c r="AU155" s="1555"/>
      <c r="AV155" s="1555"/>
      <c r="AW155" s="1555"/>
      <c r="AX155" s="1555"/>
      <c r="AY155" s="1555"/>
      <c r="AZ155" s="1555"/>
      <c r="BA155" s="1555"/>
      <c r="BB155" s="1555"/>
      <c r="BC155" s="1555"/>
      <c r="BE155" s="117"/>
      <c r="BF155" s="117"/>
      <c r="BG155" s="216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117"/>
      <c r="BV155" s="117"/>
      <c r="BW155" s="117"/>
      <c r="BX155" s="117"/>
      <c r="BY155" s="117"/>
      <c r="BZ155" s="117"/>
      <c r="CA155" s="117"/>
    </row>
    <row r="156" spans="1:79" ht="15.75" customHeight="1" x14ac:dyDescent="0.2"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117"/>
      <c r="BV156" s="117"/>
      <c r="BW156" s="117"/>
      <c r="BX156" s="117"/>
      <c r="BY156" s="117"/>
      <c r="BZ156" s="117"/>
      <c r="CA156" s="117"/>
    </row>
    <row r="157" spans="1:79" ht="12" hidden="1" customHeight="1" x14ac:dyDescent="0.2">
      <c r="A157" s="54" t="s">
        <v>125</v>
      </c>
      <c r="B157" s="54"/>
      <c r="C157" s="54"/>
      <c r="D157" s="54"/>
      <c r="BG157" s="87"/>
    </row>
    <row r="158" spans="1:79" ht="21.75" hidden="1" customHeight="1" x14ac:dyDescent="0.2">
      <c r="A158" s="53"/>
      <c r="B158" s="53"/>
      <c r="C158" s="53"/>
      <c r="D158" s="53"/>
      <c r="E158" s="53"/>
      <c r="F158" s="53"/>
      <c r="G158" s="53">
        <v>250</v>
      </c>
      <c r="H158" s="53"/>
      <c r="I158" s="53"/>
      <c r="J158" s="53"/>
      <c r="K158" s="53"/>
      <c r="L158" s="53"/>
      <c r="M158" s="53"/>
      <c r="N158" s="53"/>
      <c r="BE158" s="1549" t="s">
        <v>248</v>
      </c>
      <c r="BF158" s="1549"/>
      <c r="BG158" s="1549"/>
      <c r="BH158" s="1549"/>
      <c r="BI158" s="1549"/>
      <c r="BJ158" s="1549"/>
      <c r="BK158" s="1549"/>
      <c r="BL158" s="1549"/>
      <c r="BM158" s="1549"/>
      <c r="BN158" s="1549"/>
      <c r="BO158" s="1549"/>
      <c r="BP158" s="1549"/>
      <c r="BQ158" s="1549"/>
      <c r="BR158" s="1549"/>
      <c r="BS158" s="1549"/>
      <c r="BT158" s="1549"/>
      <c r="BU158" s="1549"/>
      <c r="BV158" s="1549"/>
      <c r="BW158" s="1549"/>
      <c r="BX158" s="1549"/>
      <c r="BY158" s="1549"/>
      <c r="BZ158" s="1549"/>
      <c r="CA158" s="1549"/>
    </row>
    <row r="159" spans="1:79" ht="18" hidden="1" customHeight="1" x14ac:dyDescent="0.25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BE159" s="1549" t="s">
        <v>126</v>
      </c>
      <c r="BF159" s="1549"/>
      <c r="BG159" s="1549"/>
      <c r="BH159" s="1551">
        <f>250*71</f>
        <v>17750</v>
      </c>
      <c r="BI159" s="1551"/>
      <c r="BJ159" s="1551"/>
      <c r="BK159" s="1551"/>
      <c r="BL159" s="1551"/>
      <c r="BM159" s="141" t="s">
        <v>127</v>
      </c>
      <c r="BN159" s="141"/>
      <c r="BO159" s="141"/>
      <c r="BP159" s="141"/>
      <c r="BQ159" s="141"/>
      <c r="BR159" s="141"/>
      <c r="BS159" s="141"/>
      <c r="BT159" s="141"/>
      <c r="BU159" s="142"/>
      <c r="BV159" s="142"/>
      <c r="BW159" s="142"/>
      <c r="BX159" s="142"/>
      <c r="BY159" s="142"/>
      <c r="BZ159" s="142"/>
      <c r="CA159" s="142"/>
    </row>
    <row r="160" spans="1:79" ht="18" hidden="1" customHeight="1" x14ac:dyDescent="0.2">
      <c r="BE160" s="1552">
        <v>0.6</v>
      </c>
      <c r="BF160" s="1549"/>
      <c r="BG160" s="1549"/>
      <c r="BH160" s="143">
        <f>BH159*BE160</f>
        <v>10650</v>
      </c>
      <c r="BI160" s="1549" t="s">
        <v>128</v>
      </c>
      <c r="BJ160" s="1549"/>
      <c r="BK160" s="1549"/>
      <c r="BL160" s="1549"/>
      <c r="BM160" s="1549"/>
      <c r="BN160" s="1549" t="s">
        <v>129</v>
      </c>
      <c r="BO160" s="1549"/>
      <c r="BP160" s="1549"/>
      <c r="BQ160" s="1549"/>
      <c r="BR160" s="1549"/>
      <c r="BS160" s="1549"/>
      <c r="BT160" s="1549"/>
      <c r="BU160" s="142"/>
      <c r="BV160" s="142"/>
      <c r="BW160" s="142"/>
      <c r="BX160" s="142"/>
      <c r="BY160" s="142"/>
      <c r="BZ160" s="142"/>
      <c r="CA160" s="142"/>
    </row>
    <row r="161" spans="26:79" ht="15" hidden="1" customHeight="1" x14ac:dyDescent="0.2">
      <c r="BE161" s="1549">
        <v>211</v>
      </c>
      <c r="BF161" s="1549"/>
      <c r="BG161" s="1549"/>
      <c r="BH161" s="143">
        <f>BH160-BH162</f>
        <v>8179.7235023041467</v>
      </c>
      <c r="BI161" s="1550">
        <f>BH161*0.1</f>
        <v>817.97235023041469</v>
      </c>
      <c r="BJ161" s="1550"/>
      <c r="BK161" s="1550"/>
      <c r="BL161" s="1550"/>
      <c r="BM161" s="1550"/>
      <c r="BN161" s="436">
        <f>BH161-BI161</f>
        <v>7361.7511520737316</v>
      </c>
      <c r="BO161" s="445"/>
      <c r="BP161" s="445"/>
      <c r="BQ161" s="445"/>
      <c r="BR161" s="445"/>
      <c r="BS161" s="445"/>
      <c r="BT161" s="445"/>
      <c r="BU161" s="142"/>
      <c r="BV161" s="142"/>
      <c r="BW161" s="142"/>
      <c r="BX161" s="142"/>
      <c r="BY161" s="142"/>
      <c r="BZ161" s="142"/>
      <c r="CA161" s="142"/>
    </row>
    <row r="162" spans="26:79" ht="15.75" hidden="1" customHeight="1" x14ac:dyDescent="0.2">
      <c r="BE162" s="1549">
        <v>213</v>
      </c>
      <c r="BF162" s="1549"/>
      <c r="BG162" s="1549"/>
      <c r="BH162" s="143">
        <f>BH160*30.2/130.2</f>
        <v>2470.2764976958529</v>
      </c>
      <c r="BI162" s="1550">
        <f>BI161*30.2%</f>
        <v>247.02764976958522</v>
      </c>
      <c r="BJ162" s="1550"/>
      <c r="BK162" s="1550"/>
      <c r="BL162" s="1550"/>
      <c r="BM162" s="1550"/>
      <c r="BN162" s="1550">
        <f>BN161*30.2%</f>
        <v>2223.248847926267</v>
      </c>
      <c r="BO162" s="1550"/>
      <c r="BP162" s="1550"/>
      <c r="BQ162" s="1550"/>
      <c r="BR162" s="1550"/>
      <c r="BS162" s="1550"/>
      <c r="BT162" s="1550"/>
      <c r="BU162" s="142"/>
      <c r="BV162" s="142"/>
      <c r="BW162" s="142"/>
      <c r="BX162" s="142"/>
      <c r="BY162" s="142"/>
      <c r="BZ162" s="142"/>
      <c r="CA162" s="142"/>
    </row>
    <row r="163" spans="26:79" ht="8.25" hidden="1" customHeight="1" x14ac:dyDescent="0.2">
      <c r="Z163" s="52"/>
      <c r="AA163" s="52"/>
      <c r="AB163" s="52"/>
      <c r="AC163" s="52"/>
      <c r="AD163" s="52"/>
      <c r="AE163" s="52"/>
      <c r="AF163" s="52"/>
      <c r="AG163" s="52"/>
      <c r="BE163" s="142"/>
      <c r="BF163" s="142"/>
      <c r="BG163" s="143"/>
      <c r="BH163" s="142"/>
      <c r="BI163" s="142"/>
      <c r="BJ163" s="142"/>
      <c r="BK163" s="142"/>
      <c r="BL163" s="142"/>
      <c r="BM163" s="142"/>
      <c r="BN163" s="142"/>
      <c r="BO163" s="142"/>
      <c r="BP163" s="142"/>
      <c r="BQ163" s="142"/>
      <c r="BR163" s="142"/>
      <c r="BS163" s="142"/>
      <c r="BT163" s="142"/>
      <c r="BU163" s="142"/>
      <c r="BV163" s="142"/>
      <c r="BW163" s="142"/>
      <c r="BX163" s="142"/>
      <c r="BY163" s="142"/>
      <c r="BZ163" s="142"/>
      <c r="CA163" s="142"/>
    </row>
    <row r="164" spans="26:79" ht="8.25" hidden="1" customHeight="1" x14ac:dyDescent="0.2">
      <c r="BE164" s="142"/>
      <c r="BF164" s="142"/>
      <c r="BG164" s="142"/>
      <c r="BH164" s="142"/>
      <c r="BI164" s="142"/>
      <c r="BJ164" s="142"/>
      <c r="BK164" s="142"/>
      <c r="BL164" s="142"/>
      <c r="BM164" s="142"/>
      <c r="BN164" s="142"/>
      <c r="BO164" s="142"/>
      <c r="BP164" s="142"/>
      <c r="BQ164" s="142"/>
      <c r="BR164" s="142"/>
      <c r="BS164" s="142"/>
      <c r="BT164" s="142"/>
      <c r="BU164" s="142"/>
      <c r="BV164" s="142"/>
      <c r="BW164" s="142"/>
      <c r="BX164" s="142"/>
      <c r="BY164" s="142"/>
      <c r="BZ164" s="142"/>
      <c r="CA164" s="142"/>
    </row>
    <row r="165" spans="26:79" ht="8.25" hidden="1" customHeight="1" x14ac:dyDescent="0.2"/>
    <row r="166" spans="26:79" ht="16.5" hidden="1" customHeight="1" x14ac:dyDescent="0.2">
      <c r="BE166" s="911"/>
      <c r="BF166" s="911"/>
      <c r="BG166" s="911"/>
      <c r="BH166" s="911"/>
      <c r="BI166" s="911"/>
      <c r="BJ166" s="911"/>
      <c r="BK166" s="911"/>
      <c r="BL166" s="911"/>
      <c r="BM166" s="911"/>
      <c r="BN166" s="911"/>
      <c r="BO166" s="911"/>
      <c r="BP166" s="911"/>
      <c r="BQ166" s="911"/>
      <c r="BR166" s="911"/>
      <c r="BS166" s="911"/>
      <c r="BT166" s="911"/>
      <c r="BU166" s="911"/>
      <c r="BV166" s="911"/>
      <c r="BW166" s="911"/>
      <c r="BX166" s="911"/>
      <c r="BY166" s="911"/>
      <c r="BZ166" s="911"/>
      <c r="CA166" s="911"/>
    </row>
    <row r="167" spans="26:79" ht="15.75" hidden="1" customHeight="1" x14ac:dyDescent="0.2">
      <c r="BE167" s="1549" t="s">
        <v>248</v>
      </c>
      <c r="BF167" s="1549"/>
      <c r="BG167" s="1549"/>
      <c r="BH167" s="1549"/>
      <c r="BI167" s="1549"/>
      <c r="BJ167" s="1549"/>
      <c r="BK167" s="1549"/>
      <c r="BL167" s="1549"/>
      <c r="BM167" s="1549"/>
      <c r="BN167" s="1549"/>
      <c r="BO167" s="1549"/>
      <c r="BP167" s="1549"/>
      <c r="BQ167" s="1549"/>
      <c r="BR167" s="1549"/>
      <c r="BS167" s="1549"/>
      <c r="BT167" s="1549"/>
      <c r="BU167" s="1549"/>
      <c r="BV167" s="1549"/>
      <c r="BW167" s="1549"/>
      <c r="BX167" s="1549"/>
      <c r="BY167" s="1549"/>
      <c r="BZ167" s="1549"/>
      <c r="CA167" s="1549"/>
    </row>
    <row r="168" spans="26:79" ht="15" hidden="1" customHeight="1" x14ac:dyDescent="0.2">
      <c r="BE168" s="1549" t="s">
        <v>126</v>
      </c>
      <c r="BF168" s="1549"/>
      <c r="BG168" s="1549"/>
      <c r="BH168" s="1551">
        <f>250*38</f>
        <v>9500</v>
      </c>
      <c r="BI168" s="1551"/>
      <c r="BJ168" s="1551"/>
      <c r="BK168" s="1551"/>
      <c r="BL168" s="1551"/>
      <c r="BM168" s="141" t="s">
        <v>127</v>
      </c>
      <c r="BN168" s="141"/>
      <c r="BO168" s="141"/>
      <c r="BP168" s="141"/>
      <c r="BQ168" s="141"/>
      <c r="BR168" s="141"/>
      <c r="BS168" s="141"/>
      <c r="BT168" s="141"/>
      <c r="BU168" s="142"/>
      <c r="BV168" s="142"/>
      <c r="BW168" s="142"/>
      <c r="BX168" s="142"/>
      <c r="BY168" s="142"/>
      <c r="BZ168" s="142"/>
      <c r="CA168" s="142"/>
    </row>
    <row r="169" spans="26:79" ht="14.25" hidden="1" customHeight="1" x14ac:dyDescent="0.2">
      <c r="BE169" s="1552">
        <v>0.6</v>
      </c>
      <c r="BF169" s="1549"/>
      <c r="BG169" s="1549"/>
      <c r="BH169" s="143">
        <f>BH168*BE169</f>
        <v>5700</v>
      </c>
      <c r="BI169" s="1549" t="s">
        <v>128</v>
      </c>
      <c r="BJ169" s="1549"/>
      <c r="BK169" s="1549"/>
      <c r="BL169" s="1549"/>
      <c r="BM169" s="1549"/>
      <c r="BN169" s="1549" t="s">
        <v>129</v>
      </c>
      <c r="BO169" s="1549"/>
      <c r="BP169" s="1549"/>
      <c r="BQ169" s="1549"/>
      <c r="BR169" s="1549"/>
      <c r="BS169" s="1549"/>
      <c r="BT169" s="1549"/>
      <c r="BU169" s="142"/>
      <c r="BV169" s="142"/>
      <c r="BW169" s="142"/>
      <c r="BX169" s="142"/>
      <c r="BY169" s="142"/>
      <c r="BZ169" s="142"/>
      <c r="CA169" s="142"/>
    </row>
    <row r="170" spans="26:79" ht="14.25" hidden="1" customHeight="1" x14ac:dyDescent="0.2">
      <c r="BE170" s="1549">
        <v>211</v>
      </c>
      <c r="BF170" s="1549"/>
      <c r="BG170" s="1549"/>
      <c r="BH170" s="143">
        <f>BH169-BH171</f>
        <v>4377.880184331797</v>
      </c>
      <c r="BI170" s="1550">
        <f>BH170*0.1</f>
        <v>437.78801843317973</v>
      </c>
      <c r="BJ170" s="1550"/>
      <c r="BK170" s="1550"/>
      <c r="BL170" s="1550"/>
      <c r="BM170" s="1550"/>
      <c r="BN170" s="436">
        <f>BH170-BI170</f>
        <v>3940.0921658986172</v>
      </c>
      <c r="BO170" s="445"/>
      <c r="BP170" s="445"/>
      <c r="BQ170" s="445"/>
      <c r="BR170" s="445"/>
      <c r="BS170" s="445"/>
      <c r="BT170" s="445"/>
      <c r="BU170" s="142"/>
      <c r="BV170" s="142"/>
      <c r="BW170" s="142"/>
      <c r="BX170" s="142"/>
      <c r="BY170" s="142"/>
      <c r="BZ170" s="142"/>
      <c r="CA170" s="142"/>
    </row>
    <row r="171" spans="26:79" ht="16.5" hidden="1" customHeight="1" x14ac:dyDescent="0.2">
      <c r="BE171" s="1549">
        <v>213</v>
      </c>
      <c r="BF171" s="1549"/>
      <c r="BG171" s="1549"/>
      <c r="BH171" s="143">
        <f>BH169*30.2/130.2</f>
        <v>1322.1198156682028</v>
      </c>
      <c r="BI171" s="1550">
        <f>BI170*30.2%</f>
        <v>132.21198156682027</v>
      </c>
      <c r="BJ171" s="1550"/>
      <c r="BK171" s="1550"/>
      <c r="BL171" s="1550"/>
      <c r="BM171" s="1550"/>
      <c r="BN171" s="1550">
        <f>BN170*30.2%</f>
        <v>1189.9078341013824</v>
      </c>
      <c r="BO171" s="1550"/>
      <c r="BP171" s="1550"/>
      <c r="BQ171" s="1550"/>
      <c r="BR171" s="1550"/>
      <c r="BS171" s="1550"/>
      <c r="BT171" s="1550"/>
      <c r="BU171" s="142"/>
      <c r="BV171" s="142"/>
      <c r="BW171" s="142"/>
      <c r="BX171" s="142"/>
      <c r="BY171" s="142"/>
      <c r="BZ171" s="142"/>
      <c r="CA171" s="142"/>
    </row>
    <row r="172" spans="26:79" ht="8.25" hidden="1" customHeight="1" x14ac:dyDescent="0.2">
      <c r="BE172" s="142"/>
      <c r="BF172" s="142"/>
      <c r="BG172" s="143"/>
      <c r="BH172" s="142"/>
      <c r="BI172" s="142"/>
      <c r="BJ172" s="142"/>
      <c r="BK172" s="142"/>
      <c r="BL172" s="142"/>
      <c r="BM172" s="142"/>
      <c r="BN172" s="142"/>
      <c r="BO172" s="142"/>
      <c r="BP172" s="142"/>
      <c r="BQ172" s="142"/>
      <c r="BR172" s="142"/>
      <c r="BS172" s="142"/>
      <c r="BT172" s="142"/>
      <c r="BU172" s="142"/>
      <c r="BV172" s="142"/>
      <c r="BW172" s="142"/>
      <c r="BX172" s="142"/>
      <c r="BY172" s="142"/>
      <c r="BZ172" s="142"/>
      <c r="CA172" s="142"/>
    </row>
    <row r="173" spans="26:79" ht="6.75" hidden="1" customHeight="1" x14ac:dyDescent="0.2">
      <c r="BE173" s="142"/>
      <c r="BF173" s="142"/>
      <c r="BG173" s="142"/>
      <c r="BH173" s="142"/>
      <c r="BI173" s="142"/>
      <c r="BJ173" s="142"/>
      <c r="BK173" s="142"/>
      <c r="BL173" s="142"/>
      <c r="BM173" s="142"/>
      <c r="BN173" s="142"/>
      <c r="BO173" s="142"/>
      <c r="BP173" s="142"/>
      <c r="BQ173" s="142"/>
      <c r="BR173" s="142"/>
      <c r="BS173" s="142"/>
      <c r="BT173" s="142"/>
      <c r="BU173" s="142"/>
      <c r="BV173" s="142"/>
      <c r="BW173" s="142"/>
      <c r="BX173" s="142"/>
      <c r="BY173" s="142"/>
      <c r="BZ173" s="142"/>
      <c r="CA173" s="142"/>
    </row>
    <row r="174" spans="26:79" ht="15" hidden="1" customHeight="1" x14ac:dyDescent="0.2">
      <c r="BE174" s="911" t="s">
        <v>169</v>
      </c>
      <c r="BF174" s="911"/>
      <c r="BG174" s="911"/>
      <c r="BH174" s="911"/>
      <c r="BI174" s="911"/>
      <c r="BJ174" s="911"/>
      <c r="BK174" s="911"/>
      <c r="BL174" s="911"/>
      <c r="BM174" s="911"/>
      <c r="BN174" s="911"/>
      <c r="BO174" s="911"/>
      <c r="BP174" s="911"/>
      <c r="BQ174" s="911"/>
      <c r="BR174" s="911"/>
      <c r="BS174" s="911"/>
      <c r="BT174" s="911"/>
      <c r="BU174" s="911"/>
      <c r="BV174" s="911"/>
      <c r="BW174" s="911"/>
      <c r="BX174" s="911"/>
      <c r="BY174" s="911"/>
      <c r="BZ174" s="911"/>
      <c r="CA174" s="911"/>
    </row>
    <row r="175" spans="26:79" ht="12.75" hidden="1" customHeight="1" x14ac:dyDescent="0.2">
      <c r="BE175" s="909" t="s">
        <v>126</v>
      </c>
      <c r="BF175" s="909"/>
      <c r="BG175" s="909"/>
      <c r="BH175" s="912">
        <f>280*17</f>
        <v>4760</v>
      </c>
      <c r="BI175" s="912"/>
      <c r="BJ175" s="912"/>
      <c r="BK175" s="912"/>
      <c r="BL175" s="912"/>
      <c r="BM175" s="106" t="s">
        <v>127</v>
      </c>
      <c r="BN175" s="106"/>
      <c r="BO175" s="106"/>
      <c r="BP175" s="106"/>
      <c r="BQ175" s="106"/>
      <c r="BR175" s="106"/>
      <c r="BS175" s="106"/>
      <c r="BT175" s="106"/>
    </row>
    <row r="176" spans="26:79" ht="15.75" hidden="1" customHeight="1" x14ac:dyDescent="0.2">
      <c r="BE176" s="913">
        <v>0.6</v>
      </c>
      <c r="BF176" s="909"/>
      <c r="BG176" s="909"/>
      <c r="BH176" s="87">
        <f>BH175*BE176</f>
        <v>2856</v>
      </c>
      <c r="BI176" s="914" t="s">
        <v>128</v>
      </c>
      <c r="BJ176" s="914"/>
      <c r="BK176" s="914"/>
      <c r="BL176" s="914"/>
      <c r="BM176" s="914"/>
      <c r="BN176" s="909" t="s">
        <v>129</v>
      </c>
      <c r="BO176" s="909"/>
      <c r="BP176" s="909"/>
      <c r="BQ176" s="909"/>
      <c r="BR176" s="909"/>
      <c r="BS176" s="909"/>
      <c r="BT176" s="909"/>
    </row>
    <row r="177" spans="57:79" ht="12.75" hidden="1" customHeight="1" x14ac:dyDescent="0.2">
      <c r="BE177" s="909">
        <v>211</v>
      </c>
      <c r="BF177" s="909"/>
      <c r="BG177" s="909"/>
      <c r="BH177" s="87">
        <f>BH176-BH178</f>
        <v>2193.5483870967741</v>
      </c>
      <c r="BI177" s="910">
        <f>BH177*0.1</f>
        <v>219.35483870967744</v>
      </c>
      <c r="BJ177" s="910"/>
      <c r="BK177" s="910"/>
      <c r="BL177" s="910"/>
      <c r="BM177" s="910"/>
      <c r="BN177" s="436">
        <f>BH177-BI177</f>
        <v>1974.1935483870966</v>
      </c>
      <c r="BO177" s="445"/>
      <c r="BP177" s="445"/>
      <c r="BQ177" s="445"/>
      <c r="BR177" s="445"/>
      <c r="BS177" s="445"/>
      <c r="BT177" s="445"/>
    </row>
    <row r="178" spans="57:79" ht="12.75" hidden="1" customHeight="1" x14ac:dyDescent="0.2">
      <c r="BE178" s="909">
        <v>213</v>
      </c>
      <c r="BF178" s="909"/>
      <c r="BG178" s="909"/>
      <c r="BH178" s="87">
        <f>BH176*30.2/130.2</f>
        <v>662.45161290322585</v>
      </c>
      <c r="BI178" s="910">
        <f>BI177*30.2%</f>
        <v>66.245161290322585</v>
      </c>
      <c r="BJ178" s="910"/>
      <c r="BK178" s="910"/>
      <c r="BL178" s="910"/>
      <c r="BM178" s="910"/>
      <c r="BN178" s="436">
        <f>BN177*30.2%</f>
        <v>596.20645161290315</v>
      </c>
      <c r="BO178" s="436"/>
      <c r="BP178" s="436"/>
      <c r="BQ178" s="436"/>
      <c r="BR178" s="436"/>
      <c r="BS178" s="436"/>
      <c r="BT178" s="436"/>
    </row>
    <row r="179" spans="57:79" ht="8.25" hidden="1" customHeight="1" x14ac:dyDescent="0.2"/>
    <row r="180" spans="57:79" ht="8.25" hidden="1" customHeight="1" x14ac:dyDescent="0.2"/>
    <row r="181" spans="57:79" ht="8.25" hidden="1" customHeight="1" x14ac:dyDescent="0.2"/>
    <row r="182" spans="57:79" ht="15.75" hidden="1" customHeight="1" x14ac:dyDescent="0.2">
      <c r="BE182" s="911" t="s">
        <v>175</v>
      </c>
      <c r="BF182" s="911"/>
      <c r="BG182" s="911"/>
      <c r="BH182" s="911"/>
      <c r="BI182" s="911"/>
      <c r="BJ182" s="911"/>
      <c r="BK182" s="911"/>
      <c r="BL182" s="911"/>
      <c r="BM182" s="911"/>
      <c r="BN182" s="911"/>
      <c r="BO182" s="911"/>
      <c r="BP182" s="911"/>
      <c r="BQ182" s="911"/>
      <c r="BR182" s="911"/>
      <c r="BS182" s="911"/>
      <c r="BT182" s="911"/>
      <c r="BU182" s="911"/>
      <c r="BV182" s="911"/>
      <c r="BW182" s="911"/>
      <c r="BX182" s="911"/>
      <c r="BY182" s="911"/>
      <c r="BZ182" s="911"/>
      <c r="CA182" s="911"/>
    </row>
    <row r="183" spans="57:79" ht="15" hidden="1" customHeight="1" x14ac:dyDescent="0.2">
      <c r="BE183" s="909" t="s">
        <v>126</v>
      </c>
      <c r="BF183" s="909"/>
      <c r="BG183" s="909"/>
      <c r="BH183" s="912">
        <f>280*55</f>
        <v>15400</v>
      </c>
      <c r="BI183" s="912"/>
      <c r="BJ183" s="912"/>
      <c r="BK183" s="912"/>
      <c r="BL183" s="912"/>
      <c r="BM183" s="106" t="s">
        <v>127</v>
      </c>
      <c r="BN183" s="106"/>
      <c r="BO183" s="106"/>
      <c r="BP183" s="106"/>
      <c r="BQ183" s="106"/>
      <c r="BR183" s="106"/>
      <c r="BS183" s="106"/>
      <c r="BT183" s="106"/>
    </row>
    <row r="184" spans="57:79" ht="11.25" hidden="1" customHeight="1" x14ac:dyDescent="0.2">
      <c r="BE184" s="913">
        <v>0.6</v>
      </c>
      <c r="BF184" s="909"/>
      <c r="BG184" s="909"/>
      <c r="BH184" s="87">
        <f>BH183*BE184</f>
        <v>9240</v>
      </c>
      <c r="BI184" s="914" t="s">
        <v>128</v>
      </c>
      <c r="BJ184" s="914"/>
      <c r="BK184" s="914"/>
      <c r="BL184" s="914"/>
      <c r="BM184" s="914"/>
      <c r="BN184" s="909" t="s">
        <v>129</v>
      </c>
      <c r="BO184" s="909"/>
      <c r="BP184" s="909"/>
      <c r="BQ184" s="909"/>
      <c r="BR184" s="909"/>
      <c r="BS184" s="909"/>
      <c r="BT184" s="909"/>
    </row>
    <row r="185" spans="57:79" ht="15.75" hidden="1" customHeight="1" x14ac:dyDescent="0.2">
      <c r="BE185" s="909">
        <v>211</v>
      </c>
      <c r="BF185" s="909"/>
      <c r="BG185" s="909"/>
      <c r="BH185" s="87">
        <f>BH184-BH186</f>
        <v>7096.7741935483864</v>
      </c>
      <c r="BI185" s="910">
        <f>BH185*0.1</f>
        <v>709.67741935483866</v>
      </c>
      <c r="BJ185" s="910"/>
      <c r="BK185" s="910"/>
      <c r="BL185" s="910"/>
      <c r="BM185" s="910"/>
      <c r="BN185" s="436">
        <f>BH185-BI185</f>
        <v>6387.0967741935474</v>
      </c>
      <c r="BO185" s="445"/>
      <c r="BP185" s="445"/>
      <c r="BQ185" s="445"/>
      <c r="BR185" s="445"/>
      <c r="BS185" s="445"/>
      <c r="BT185" s="445"/>
    </row>
    <row r="186" spans="57:79" ht="12.75" hidden="1" customHeight="1" x14ac:dyDescent="0.2">
      <c r="BE186" s="909">
        <v>213</v>
      </c>
      <c r="BF186" s="909"/>
      <c r="BG186" s="909"/>
      <c r="BH186" s="87">
        <f>BH184*30.2/130.2</f>
        <v>2143.2258064516132</v>
      </c>
      <c r="BI186" s="910">
        <f>BI185*30.2%</f>
        <v>214.32258064516128</v>
      </c>
      <c r="BJ186" s="910"/>
      <c r="BK186" s="910"/>
      <c r="BL186" s="910"/>
      <c r="BM186" s="910"/>
      <c r="BN186" s="436">
        <f>BN185*30.2%</f>
        <v>1928.9032258064512</v>
      </c>
      <c r="BO186" s="436"/>
      <c r="BP186" s="436"/>
      <c r="BQ186" s="436"/>
      <c r="BR186" s="436"/>
      <c r="BS186" s="436"/>
      <c r="BT186" s="436"/>
    </row>
    <row r="187" spans="57:79" ht="8.25" hidden="1" customHeight="1" x14ac:dyDescent="0.2"/>
    <row r="188" spans="57:79" ht="8.25" hidden="1" customHeight="1" x14ac:dyDescent="0.2"/>
    <row r="189" spans="57:79" ht="16.5" hidden="1" customHeight="1" x14ac:dyDescent="0.2">
      <c r="BE189" s="917" t="s">
        <v>185</v>
      </c>
      <c r="BF189" s="917"/>
      <c r="BG189" s="917"/>
      <c r="BH189" s="917"/>
      <c r="BI189" s="917"/>
      <c r="BJ189" s="917"/>
      <c r="BK189" s="917"/>
      <c r="BL189" s="917"/>
      <c r="BM189" s="917"/>
      <c r="BN189" s="917"/>
      <c r="BO189" s="917"/>
      <c r="BP189" s="917"/>
      <c r="BQ189" s="917"/>
      <c r="BR189" s="917"/>
      <c r="BS189" s="917"/>
      <c r="BT189" s="917"/>
      <c r="BU189" s="917"/>
      <c r="BV189" s="917"/>
      <c r="BW189" s="917"/>
      <c r="BX189" s="917"/>
      <c r="BY189" s="917"/>
      <c r="BZ189" s="917"/>
      <c r="CA189" s="917"/>
    </row>
    <row r="190" spans="57:79" ht="15" hidden="1" customHeight="1" x14ac:dyDescent="0.2">
      <c r="BE190" s="909" t="s">
        <v>126</v>
      </c>
      <c r="BF190" s="909"/>
      <c r="BG190" s="909"/>
      <c r="BH190" s="912">
        <f>280*23</f>
        <v>6440</v>
      </c>
      <c r="BI190" s="912"/>
      <c r="BJ190" s="912"/>
      <c r="BK190" s="912"/>
      <c r="BL190" s="912"/>
      <c r="BM190" s="106" t="s">
        <v>127</v>
      </c>
      <c r="BN190" s="106"/>
      <c r="BO190" s="106"/>
      <c r="BP190" s="106"/>
      <c r="BQ190" s="106"/>
      <c r="BR190" s="106"/>
      <c r="BS190" s="106"/>
      <c r="BT190" s="106"/>
    </row>
    <row r="191" spans="57:79" ht="17.25" hidden="1" customHeight="1" x14ac:dyDescent="0.2">
      <c r="BE191" s="913">
        <v>0.6</v>
      </c>
      <c r="BF191" s="909"/>
      <c r="BG191" s="909"/>
      <c r="BH191" s="87">
        <f>BH190*BE191</f>
        <v>3864</v>
      </c>
      <c r="BI191" s="914" t="s">
        <v>128</v>
      </c>
      <c r="BJ191" s="914"/>
      <c r="BK191" s="914"/>
      <c r="BL191" s="914"/>
      <c r="BM191" s="914"/>
      <c r="BN191" s="909" t="s">
        <v>129</v>
      </c>
      <c r="BO191" s="909"/>
      <c r="BP191" s="909"/>
      <c r="BQ191" s="909"/>
      <c r="BR191" s="909"/>
      <c r="BS191" s="909"/>
      <c r="BT191" s="909"/>
    </row>
    <row r="192" spans="57:79" ht="17.25" hidden="1" customHeight="1" x14ac:dyDescent="0.2">
      <c r="BE192" s="909">
        <v>211</v>
      </c>
      <c r="BF192" s="909"/>
      <c r="BG192" s="909"/>
      <c r="BH192" s="87">
        <f>BH191-BH193</f>
        <v>2967.7419354838707</v>
      </c>
      <c r="BI192" s="910">
        <f>BH192*0.1</f>
        <v>296.77419354838707</v>
      </c>
      <c r="BJ192" s="910"/>
      <c r="BK192" s="910"/>
      <c r="BL192" s="910"/>
      <c r="BM192" s="910"/>
      <c r="BN192" s="436">
        <f>BH192-BI192</f>
        <v>2670.9677419354839</v>
      </c>
      <c r="BO192" s="445"/>
      <c r="BP192" s="445"/>
      <c r="BQ192" s="445"/>
      <c r="BR192" s="445"/>
      <c r="BS192" s="445"/>
      <c r="BT192" s="445"/>
    </row>
    <row r="193" spans="57:103" ht="15.75" hidden="1" customHeight="1" x14ac:dyDescent="0.2">
      <c r="BE193" s="909">
        <v>213</v>
      </c>
      <c r="BF193" s="909"/>
      <c r="BG193" s="909"/>
      <c r="BH193" s="87">
        <f>BH191*30.2/130.2</f>
        <v>896.25806451612914</v>
      </c>
      <c r="BI193" s="910">
        <f>BI192*30.2%</f>
        <v>89.625806451612888</v>
      </c>
      <c r="BJ193" s="910"/>
      <c r="BK193" s="910"/>
      <c r="BL193" s="910"/>
      <c r="BM193" s="910"/>
      <c r="BN193" s="436">
        <f>BN192*30.2%</f>
        <v>806.63225806451612</v>
      </c>
      <c r="BO193" s="436"/>
      <c r="BP193" s="436"/>
      <c r="BQ193" s="436"/>
      <c r="BR193" s="436"/>
      <c r="BS193" s="436"/>
      <c r="BT193" s="436"/>
    </row>
    <row r="194" spans="57:103" ht="7.5" hidden="1" customHeight="1" x14ac:dyDescent="0.2"/>
    <row r="195" spans="57:103" ht="8.25" hidden="1" customHeight="1" x14ac:dyDescent="0.2"/>
    <row r="196" spans="57:103" ht="15" hidden="1" customHeight="1" x14ac:dyDescent="0.2">
      <c r="BE196" s="1549" t="s">
        <v>270</v>
      </c>
      <c r="BF196" s="1549"/>
      <c r="BG196" s="1549"/>
      <c r="BH196" s="1549"/>
      <c r="BI196" s="1549"/>
      <c r="BJ196" s="1549"/>
      <c r="BK196" s="1549"/>
      <c r="BL196" s="1549"/>
      <c r="BM196" s="1549"/>
      <c r="BN196" s="1549"/>
      <c r="BO196" s="1549"/>
      <c r="BP196" s="1549"/>
      <c r="BQ196" s="1549"/>
      <c r="BR196" s="1549"/>
      <c r="BS196" s="1549"/>
      <c r="BT196" s="1549"/>
      <c r="BU196" s="1549"/>
      <c r="BV196" s="1549"/>
      <c r="BW196" s="1549"/>
      <c r="BX196" s="1549"/>
      <c r="BY196" s="1549"/>
      <c r="BZ196" s="1549"/>
      <c r="CA196" s="1549"/>
      <c r="CC196" s="1549" t="s">
        <v>270</v>
      </c>
      <c r="CD196" s="1549"/>
      <c r="CE196" s="1549"/>
      <c r="CF196" s="1549"/>
      <c r="CG196" s="1549"/>
      <c r="CH196" s="1549"/>
      <c r="CI196" s="1549"/>
      <c r="CJ196" s="1549"/>
      <c r="CK196" s="1549"/>
      <c r="CL196" s="1549"/>
      <c r="CM196" s="1549"/>
      <c r="CN196" s="1549"/>
      <c r="CO196" s="1549"/>
      <c r="CP196" s="1549"/>
      <c r="CQ196" s="1549"/>
      <c r="CR196" s="1549"/>
      <c r="CS196" s="1549"/>
      <c r="CT196" s="1549"/>
      <c r="CU196" s="1549"/>
      <c r="CV196" s="1549"/>
      <c r="CW196" s="1549"/>
      <c r="CX196" s="1549"/>
      <c r="CY196" s="1549"/>
    </row>
    <row r="197" spans="57:103" ht="15.75" hidden="1" customHeight="1" x14ac:dyDescent="0.2">
      <c r="BE197" s="1549" t="s">
        <v>126</v>
      </c>
      <c r="BF197" s="1549"/>
      <c r="BG197" s="1549"/>
      <c r="BH197" s="1551">
        <f>250*(36+49)</f>
        <v>21250</v>
      </c>
      <c r="BI197" s="1551"/>
      <c r="BJ197" s="1551"/>
      <c r="BK197" s="1551"/>
      <c r="BL197" s="1551"/>
      <c r="BM197" s="141" t="s">
        <v>127</v>
      </c>
      <c r="BN197" s="141"/>
      <c r="BO197" s="141"/>
      <c r="BP197" s="141"/>
      <c r="BQ197" s="141"/>
      <c r="BR197" s="141"/>
      <c r="BS197" s="141"/>
      <c r="BT197" s="141"/>
      <c r="BU197" s="142"/>
      <c r="BV197" s="142"/>
      <c r="BW197" s="142"/>
      <c r="BX197" s="142"/>
      <c r="BY197" s="142"/>
      <c r="BZ197" s="142"/>
      <c r="CA197" s="142"/>
      <c r="CC197" s="1549" t="s">
        <v>126</v>
      </c>
      <c r="CD197" s="1549"/>
      <c r="CE197" s="1549"/>
      <c r="CF197" s="1551">
        <f>250*49</f>
        <v>12250</v>
      </c>
      <c r="CG197" s="1551"/>
      <c r="CH197" s="1551"/>
      <c r="CI197" s="1551"/>
      <c r="CJ197" s="1551"/>
      <c r="CK197" s="141" t="s">
        <v>127</v>
      </c>
      <c r="CL197" s="141"/>
      <c r="CM197" s="141"/>
      <c r="CN197" s="141"/>
      <c r="CO197" s="141"/>
      <c r="CP197" s="141"/>
      <c r="CQ197" s="141"/>
      <c r="CR197" s="141"/>
      <c r="CS197" s="142"/>
      <c r="CT197" s="142"/>
      <c r="CU197" s="142"/>
      <c r="CV197" s="142"/>
      <c r="CW197" s="142"/>
      <c r="CX197" s="142"/>
      <c r="CY197" s="142"/>
    </row>
    <row r="198" spans="57:103" ht="15" hidden="1" customHeight="1" x14ac:dyDescent="0.2">
      <c r="BE198" s="1552">
        <v>0.6</v>
      </c>
      <c r="BF198" s="1549"/>
      <c r="BG198" s="1549"/>
      <c r="BH198" s="143">
        <f>BH197*BE198</f>
        <v>12750</v>
      </c>
      <c r="BI198" s="1549" t="s">
        <v>128</v>
      </c>
      <c r="BJ198" s="1549"/>
      <c r="BK198" s="1549"/>
      <c r="BL198" s="1549"/>
      <c r="BM198" s="1549"/>
      <c r="BN198" s="1549" t="s">
        <v>129</v>
      </c>
      <c r="BO198" s="1549"/>
      <c r="BP198" s="1549"/>
      <c r="BQ198" s="1549"/>
      <c r="BR198" s="1549"/>
      <c r="BS198" s="1549"/>
      <c r="BT198" s="1549"/>
      <c r="BU198" s="142"/>
      <c r="BV198" s="142"/>
      <c r="BW198" s="142"/>
      <c r="BX198" s="142"/>
      <c r="BY198" s="142"/>
      <c r="BZ198" s="142"/>
      <c r="CA198" s="142"/>
      <c r="CC198" s="1552">
        <v>0.6</v>
      </c>
      <c r="CD198" s="1549"/>
      <c r="CE198" s="1549"/>
      <c r="CF198" s="143">
        <f>CF197*CC198</f>
        <v>7350</v>
      </c>
      <c r="CG198" s="1549" t="s">
        <v>128</v>
      </c>
      <c r="CH198" s="1549"/>
      <c r="CI198" s="1549"/>
      <c r="CJ198" s="1549"/>
      <c r="CK198" s="1549"/>
      <c r="CL198" s="1549" t="s">
        <v>129</v>
      </c>
      <c r="CM198" s="1549"/>
      <c r="CN198" s="1549"/>
      <c r="CO198" s="1549"/>
      <c r="CP198" s="1549"/>
      <c r="CQ198" s="1549"/>
      <c r="CR198" s="1549"/>
      <c r="CS198" s="142"/>
      <c r="CT198" s="142"/>
      <c r="CU198" s="142"/>
      <c r="CV198" s="142"/>
      <c r="CW198" s="142"/>
      <c r="CX198" s="142"/>
      <c r="CY198" s="142"/>
    </row>
    <row r="199" spans="57:103" ht="15.75" hidden="1" customHeight="1" x14ac:dyDescent="0.2">
      <c r="BE199" s="1549">
        <v>211</v>
      </c>
      <c r="BF199" s="1549"/>
      <c r="BG199" s="1549"/>
      <c r="BH199" s="143">
        <f>BH198-BH200</f>
        <v>9792.6267281105993</v>
      </c>
      <c r="BI199" s="436">
        <f>BH199*0.1</f>
        <v>979.26267281105993</v>
      </c>
      <c r="BJ199" s="436"/>
      <c r="BK199" s="436"/>
      <c r="BL199" s="436"/>
      <c r="BM199" s="436"/>
      <c r="BN199" s="436">
        <f>BH199-BI199</f>
        <v>8813.3640552995384</v>
      </c>
      <c r="BO199" s="445"/>
      <c r="BP199" s="445"/>
      <c r="BQ199" s="445"/>
      <c r="BR199" s="445"/>
      <c r="BS199" s="445"/>
      <c r="BT199" s="445"/>
      <c r="BU199" s="142"/>
      <c r="BV199" s="142"/>
      <c r="BW199" s="142"/>
      <c r="BX199" s="142"/>
      <c r="BY199" s="142"/>
      <c r="BZ199" s="142"/>
      <c r="CA199" s="142"/>
      <c r="CC199" s="1549">
        <v>211</v>
      </c>
      <c r="CD199" s="1549"/>
      <c r="CE199" s="1549"/>
      <c r="CF199" s="143">
        <f>CF198-CF200</f>
        <v>5645.1612903225805</v>
      </c>
      <c r="CG199" s="1550">
        <f>CF199*0.1</f>
        <v>564.51612903225805</v>
      </c>
      <c r="CH199" s="1550"/>
      <c r="CI199" s="1550"/>
      <c r="CJ199" s="1550"/>
      <c r="CK199" s="1550"/>
      <c r="CL199" s="436">
        <f>CF199-CG199</f>
        <v>5080.645161290322</v>
      </c>
      <c r="CM199" s="445"/>
      <c r="CN199" s="445"/>
      <c r="CO199" s="445"/>
      <c r="CP199" s="445"/>
      <c r="CQ199" s="445"/>
      <c r="CR199" s="445"/>
      <c r="CS199" s="142"/>
      <c r="CT199" s="142"/>
      <c r="CU199" s="142"/>
      <c r="CV199" s="142"/>
      <c r="CW199" s="142"/>
      <c r="CX199" s="142"/>
      <c r="CY199" s="142"/>
    </row>
    <row r="200" spans="57:103" ht="14.25" hidden="1" customHeight="1" x14ac:dyDescent="0.2">
      <c r="BE200" s="1549">
        <v>213</v>
      </c>
      <c r="BF200" s="1549"/>
      <c r="BG200" s="1549"/>
      <c r="BH200" s="143">
        <f>BH198*30.2/130.2</f>
        <v>2957.3732718894012</v>
      </c>
      <c r="BI200" s="1550">
        <f>BI199*30.2%</f>
        <v>295.73732718894007</v>
      </c>
      <c r="BJ200" s="1550"/>
      <c r="BK200" s="1550"/>
      <c r="BL200" s="1550"/>
      <c r="BM200" s="1550"/>
      <c r="BN200" s="1550">
        <f>BN199*30.2%</f>
        <v>2661.6359447004606</v>
      </c>
      <c r="BO200" s="1550"/>
      <c r="BP200" s="1550"/>
      <c r="BQ200" s="1550"/>
      <c r="BR200" s="1550"/>
      <c r="BS200" s="1550"/>
      <c r="BT200" s="1550"/>
      <c r="BU200" s="142"/>
      <c r="BV200" s="142"/>
      <c r="BW200" s="142"/>
      <c r="BX200" s="142"/>
      <c r="BY200" s="142"/>
      <c r="BZ200" s="142"/>
      <c r="CA200" s="142"/>
      <c r="CC200" s="1549">
        <v>213</v>
      </c>
      <c r="CD200" s="1549"/>
      <c r="CE200" s="1549"/>
      <c r="CF200" s="143">
        <f>CF198*30.2/130.2</f>
        <v>1704.8387096774195</v>
      </c>
      <c r="CG200" s="1550">
        <f>CG199*30.2%</f>
        <v>170.48387096774192</v>
      </c>
      <c r="CH200" s="1550"/>
      <c r="CI200" s="1550"/>
      <c r="CJ200" s="1550"/>
      <c r="CK200" s="1550"/>
      <c r="CL200" s="1550">
        <f>CL199*30.2%</f>
        <v>1534.3548387096771</v>
      </c>
      <c r="CM200" s="1550"/>
      <c r="CN200" s="1550"/>
      <c r="CO200" s="1550"/>
      <c r="CP200" s="1550"/>
      <c r="CQ200" s="1550"/>
      <c r="CR200" s="1550"/>
      <c r="CS200" s="142"/>
      <c r="CT200" s="142"/>
      <c r="CU200" s="142"/>
      <c r="CV200" s="142"/>
      <c r="CW200" s="142"/>
      <c r="CX200" s="142"/>
      <c r="CY200" s="142"/>
    </row>
    <row r="201" spans="57:103" ht="15.75" hidden="1" customHeight="1" x14ac:dyDescent="0.2">
      <c r="BE201" s="142"/>
      <c r="BF201" s="142"/>
      <c r="BG201" s="143"/>
      <c r="BH201" s="142"/>
      <c r="BI201" s="142"/>
      <c r="BJ201" s="142"/>
      <c r="BK201" s="142"/>
      <c r="BL201" s="142"/>
      <c r="BM201" s="142"/>
      <c r="BN201" s="142"/>
      <c r="BO201" s="142"/>
      <c r="BP201" s="142"/>
      <c r="BQ201" s="142"/>
      <c r="BR201" s="142"/>
      <c r="BS201" s="142"/>
      <c r="BT201" s="142"/>
      <c r="BU201" s="142"/>
      <c r="BV201" s="142"/>
      <c r="BW201" s="142"/>
      <c r="BX201" s="142"/>
      <c r="BY201" s="142"/>
      <c r="BZ201" s="142"/>
      <c r="CA201" s="142"/>
      <c r="CC201" s="142"/>
      <c r="CD201" s="142"/>
      <c r="CE201" s="143"/>
      <c r="CF201" s="142"/>
      <c r="CG201" s="142"/>
      <c r="CH201" s="142"/>
      <c r="CI201" s="142"/>
      <c r="CJ201" s="142"/>
      <c r="CK201" s="142"/>
      <c r="CL201" s="142"/>
      <c r="CM201" s="142"/>
      <c r="CN201" s="142"/>
      <c r="CO201" s="142"/>
      <c r="CP201" s="142"/>
      <c r="CQ201" s="142"/>
      <c r="CR201" s="142"/>
      <c r="CS201" s="142"/>
      <c r="CT201" s="142"/>
      <c r="CU201" s="142"/>
      <c r="CV201" s="142"/>
      <c r="CW201" s="142"/>
      <c r="CX201" s="142"/>
      <c r="CY201" s="142"/>
    </row>
    <row r="202" spans="57:103" ht="18" hidden="1" customHeight="1" x14ac:dyDescent="0.2">
      <c r="BE202" s="142"/>
      <c r="BF202" s="142"/>
      <c r="BG202" s="142"/>
      <c r="BH202" s="142"/>
      <c r="BI202" s="142"/>
      <c r="BJ202" s="142"/>
      <c r="BK202" s="142"/>
      <c r="BL202" s="142"/>
      <c r="BM202" s="142"/>
      <c r="BN202" s="142"/>
      <c r="BO202" s="142"/>
      <c r="BP202" s="142"/>
      <c r="BQ202" s="142"/>
      <c r="BR202" s="142"/>
      <c r="BS202" s="142"/>
      <c r="BT202" s="142"/>
      <c r="BU202" s="142"/>
      <c r="BV202" s="142"/>
      <c r="BW202" s="142"/>
      <c r="BX202" s="142"/>
      <c r="BY202" s="142"/>
      <c r="BZ202" s="142"/>
      <c r="CA202" s="142"/>
      <c r="CC202" s="142"/>
      <c r="CD202" s="142"/>
      <c r="CE202" s="142"/>
      <c r="CF202" s="142"/>
      <c r="CG202" s="142"/>
      <c r="CH202" s="142"/>
      <c r="CI202" s="142"/>
      <c r="CJ202" s="142"/>
      <c r="CK202" s="142"/>
      <c r="CL202" s="142"/>
      <c r="CM202" s="142"/>
      <c r="CN202" s="142"/>
      <c r="CO202" s="142"/>
      <c r="CP202" s="142"/>
      <c r="CQ202" s="142"/>
      <c r="CR202" s="142"/>
      <c r="CS202" s="142"/>
      <c r="CT202" s="142"/>
      <c r="CU202" s="142"/>
      <c r="CV202" s="142"/>
      <c r="CW202" s="142"/>
      <c r="CX202" s="142"/>
      <c r="CY202" s="142"/>
    </row>
    <row r="203" spans="57:103" ht="8.25" hidden="1" customHeight="1" x14ac:dyDescent="0.2"/>
    <row r="204" spans="57:103" ht="15" hidden="1" customHeight="1" x14ac:dyDescent="0.2">
      <c r="BE204" s="1549" t="s">
        <v>286</v>
      </c>
      <c r="BF204" s="1549"/>
      <c r="BG204" s="1549"/>
      <c r="BH204" s="1549"/>
      <c r="BI204" s="1549"/>
      <c r="BJ204" s="1549"/>
      <c r="BK204" s="1549"/>
      <c r="BL204" s="1549"/>
      <c r="BM204" s="1549"/>
      <c r="BN204" s="1549"/>
      <c r="BO204" s="1549"/>
      <c r="BP204" s="1549"/>
      <c r="BQ204" s="1549"/>
      <c r="BR204" s="1549"/>
      <c r="BS204" s="1549"/>
      <c r="BT204" s="1549"/>
      <c r="BU204" s="1549"/>
      <c r="BV204" s="1549"/>
      <c r="BW204" s="1549"/>
      <c r="BX204" s="1549"/>
      <c r="BY204" s="1549"/>
      <c r="BZ204" s="1549"/>
      <c r="CA204" s="1549"/>
    </row>
    <row r="205" spans="57:103" ht="15" hidden="1" customHeight="1" x14ac:dyDescent="0.2">
      <c r="BE205" s="1549" t="s">
        <v>126</v>
      </c>
      <c r="BF205" s="1549"/>
      <c r="BG205" s="1549"/>
      <c r="BH205" s="1551">
        <f>250*(69+39)</f>
        <v>27000</v>
      </c>
      <c r="BI205" s="1551"/>
      <c r="BJ205" s="1551"/>
      <c r="BK205" s="1551"/>
      <c r="BL205" s="1551"/>
      <c r="BM205" s="141" t="s">
        <v>127</v>
      </c>
      <c r="BN205" s="141"/>
      <c r="BO205" s="141"/>
      <c r="BP205" s="141"/>
      <c r="BQ205" s="141"/>
      <c r="BR205" s="141"/>
      <c r="BS205" s="141"/>
      <c r="BT205" s="141"/>
      <c r="BU205" s="142"/>
      <c r="BV205" s="142"/>
      <c r="BW205" s="142"/>
      <c r="BX205" s="142"/>
      <c r="BY205" s="142"/>
      <c r="BZ205" s="142"/>
      <c r="CA205" s="142"/>
    </row>
    <row r="206" spans="57:103" ht="15" hidden="1" customHeight="1" x14ac:dyDescent="0.2">
      <c r="BE206" s="1552">
        <v>0.6</v>
      </c>
      <c r="BF206" s="1549"/>
      <c r="BG206" s="1549"/>
      <c r="BH206" s="143">
        <f>BH205*BE206</f>
        <v>16200</v>
      </c>
      <c r="BI206" s="1549" t="s">
        <v>128</v>
      </c>
      <c r="BJ206" s="1549"/>
      <c r="BK206" s="1549"/>
      <c r="BL206" s="1549"/>
      <c r="BM206" s="1549"/>
      <c r="BN206" s="1549" t="s">
        <v>129</v>
      </c>
      <c r="BO206" s="1549"/>
      <c r="BP206" s="1549"/>
      <c r="BQ206" s="1549"/>
      <c r="BR206" s="1549"/>
      <c r="BS206" s="1549"/>
      <c r="BT206" s="1549"/>
      <c r="BU206" s="142"/>
      <c r="BV206" s="142"/>
      <c r="BW206" s="142"/>
      <c r="BX206" s="142"/>
      <c r="BY206" s="142"/>
      <c r="BZ206" s="142"/>
      <c r="CA206" s="142"/>
    </row>
    <row r="207" spans="57:103" ht="15" hidden="1" customHeight="1" x14ac:dyDescent="0.2">
      <c r="BE207" s="1549">
        <v>211</v>
      </c>
      <c r="BF207" s="1549"/>
      <c r="BG207" s="1549"/>
      <c r="BH207" s="143">
        <f>BH206-BH208</f>
        <v>12442.396313364055</v>
      </c>
      <c r="BI207" s="436">
        <f>BH207*0.1</f>
        <v>1244.2396313364056</v>
      </c>
      <c r="BJ207" s="436"/>
      <c r="BK207" s="436"/>
      <c r="BL207" s="436"/>
      <c r="BM207" s="436"/>
      <c r="BN207" s="436">
        <f>BH207-BI207</f>
        <v>11198.156682027649</v>
      </c>
      <c r="BO207" s="445"/>
      <c r="BP207" s="445"/>
      <c r="BQ207" s="445"/>
      <c r="BR207" s="445"/>
      <c r="BS207" s="445"/>
      <c r="BT207" s="445"/>
      <c r="BU207" s="142"/>
      <c r="BV207" s="142"/>
      <c r="BW207" s="142"/>
      <c r="BX207" s="142"/>
      <c r="BY207" s="142"/>
      <c r="BZ207" s="142"/>
      <c r="CA207" s="142"/>
    </row>
    <row r="208" spans="57:103" ht="15" hidden="1" customHeight="1" x14ac:dyDescent="0.2">
      <c r="BE208" s="1549">
        <v>213</v>
      </c>
      <c r="BF208" s="1549"/>
      <c r="BG208" s="1549"/>
      <c r="BH208" s="143">
        <f>BH206*30.2/130.2</f>
        <v>3757.603686635945</v>
      </c>
      <c r="BI208" s="1550">
        <f>BI207*30.2%</f>
        <v>375.76036866359448</v>
      </c>
      <c r="BJ208" s="1550"/>
      <c r="BK208" s="1550"/>
      <c r="BL208" s="1550"/>
      <c r="BM208" s="1550"/>
      <c r="BN208" s="1550">
        <f>BN207*30.2%</f>
        <v>3381.8433179723502</v>
      </c>
      <c r="BO208" s="1550"/>
      <c r="BP208" s="1550"/>
      <c r="BQ208" s="1550"/>
      <c r="BR208" s="1550"/>
      <c r="BS208" s="1550"/>
      <c r="BT208" s="1550"/>
      <c r="BU208" s="142"/>
      <c r="BV208" s="142"/>
      <c r="BW208" s="142"/>
      <c r="BX208" s="142"/>
      <c r="BY208" s="142"/>
      <c r="BZ208" s="142"/>
      <c r="CA208" s="142"/>
    </row>
    <row r="209" spans="57:79" ht="15" hidden="1" customHeight="1" x14ac:dyDescent="0.2">
      <c r="BE209" s="142"/>
      <c r="BF209" s="142"/>
      <c r="BG209" s="143"/>
      <c r="BH209" s="142"/>
      <c r="BI209" s="142"/>
      <c r="BJ209" s="142"/>
      <c r="BK209" s="142"/>
      <c r="BL209" s="142"/>
      <c r="BM209" s="142"/>
      <c r="BN209" s="142"/>
      <c r="BO209" s="142"/>
      <c r="BP209" s="142"/>
      <c r="BQ209" s="142"/>
      <c r="BR209" s="142"/>
      <c r="BS209" s="142"/>
      <c r="BT209" s="142"/>
      <c r="BU209" s="142"/>
      <c r="BV209" s="142"/>
      <c r="BW209" s="142"/>
      <c r="BX209" s="142"/>
      <c r="BY209" s="142"/>
      <c r="BZ209" s="142"/>
      <c r="CA209" s="142"/>
    </row>
    <row r="210" spans="57:79" ht="15" hidden="1" customHeight="1" x14ac:dyDescent="0.2">
      <c r="BE210" s="142"/>
      <c r="BF210" s="142"/>
      <c r="BG210" s="142"/>
      <c r="BH210" s="142"/>
      <c r="BI210" s="142"/>
      <c r="BJ210" s="142"/>
      <c r="BK210" s="142"/>
      <c r="BL210" s="142"/>
      <c r="BM210" s="142"/>
      <c r="BN210" s="142"/>
      <c r="BO210" s="142"/>
      <c r="BP210" s="142"/>
      <c r="BQ210" s="142"/>
      <c r="BR210" s="142"/>
      <c r="BS210" s="142"/>
      <c r="BT210" s="142"/>
      <c r="BU210" s="142"/>
      <c r="BV210" s="142"/>
      <c r="BW210" s="142"/>
      <c r="BX210" s="142"/>
      <c r="BY210" s="142"/>
      <c r="BZ210" s="142"/>
      <c r="CA210" s="142"/>
    </row>
    <row r="211" spans="57:79" ht="8.25" hidden="1" customHeight="1" x14ac:dyDescent="0.2"/>
    <row r="212" spans="57:79" ht="15" hidden="1" customHeight="1" x14ac:dyDescent="0.2">
      <c r="BE212" s="1549" t="s">
        <v>285</v>
      </c>
      <c r="BF212" s="1549"/>
      <c r="BG212" s="1549"/>
      <c r="BH212" s="1549"/>
      <c r="BI212" s="1549"/>
      <c r="BJ212" s="1549"/>
      <c r="BK212" s="1549"/>
      <c r="BL212" s="1549"/>
      <c r="BM212" s="1549"/>
      <c r="BN212" s="1549"/>
      <c r="BO212" s="1549"/>
      <c r="BP212" s="1549"/>
      <c r="BQ212" s="1549"/>
      <c r="BR212" s="1549"/>
      <c r="BS212" s="1549"/>
      <c r="BT212" s="1549"/>
      <c r="BU212" s="1549"/>
      <c r="BV212" s="1549"/>
      <c r="BW212" s="1549"/>
      <c r="BX212" s="1549"/>
      <c r="BY212" s="1549"/>
      <c r="BZ212" s="1549"/>
      <c r="CA212" s="1549"/>
    </row>
    <row r="213" spans="57:79" ht="15" hidden="1" customHeight="1" x14ac:dyDescent="0.2">
      <c r="BE213" s="1549" t="s">
        <v>126</v>
      </c>
      <c r="BF213" s="1549"/>
      <c r="BG213" s="1549"/>
      <c r="BH213" s="1551">
        <f>250*(35+21)</f>
        <v>14000</v>
      </c>
      <c r="BI213" s="1551"/>
      <c r="BJ213" s="1551"/>
      <c r="BK213" s="1551"/>
      <c r="BL213" s="1551"/>
      <c r="BM213" s="141" t="s">
        <v>127</v>
      </c>
      <c r="BN213" s="141"/>
      <c r="BO213" s="141"/>
      <c r="BP213" s="141"/>
      <c r="BQ213" s="141"/>
      <c r="BR213" s="141"/>
      <c r="BS213" s="141"/>
      <c r="BT213" s="141"/>
      <c r="BU213" s="142"/>
      <c r="BV213" s="142"/>
      <c r="BW213" s="142"/>
      <c r="BX213" s="142"/>
      <c r="BY213" s="142"/>
      <c r="BZ213" s="142"/>
      <c r="CA213" s="142"/>
    </row>
    <row r="214" spans="57:79" ht="15" hidden="1" customHeight="1" x14ac:dyDescent="0.2">
      <c r="BE214" s="1552">
        <v>0.6</v>
      </c>
      <c r="BF214" s="1549"/>
      <c r="BG214" s="1549"/>
      <c r="BH214" s="143">
        <f>BH213*BE214</f>
        <v>8400</v>
      </c>
      <c r="BI214" s="1549" t="s">
        <v>128</v>
      </c>
      <c r="BJ214" s="1549"/>
      <c r="BK214" s="1549"/>
      <c r="BL214" s="1549"/>
      <c r="BM214" s="1549"/>
      <c r="BN214" s="1549" t="s">
        <v>129</v>
      </c>
      <c r="BO214" s="1549"/>
      <c r="BP214" s="1549"/>
      <c r="BQ214" s="1549"/>
      <c r="BR214" s="1549"/>
      <c r="BS214" s="1549"/>
      <c r="BT214" s="1549"/>
      <c r="BU214" s="142"/>
      <c r="BV214" s="142"/>
      <c r="BW214" s="142"/>
      <c r="BX214" s="142"/>
      <c r="BY214" s="142"/>
      <c r="BZ214" s="142"/>
      <c r="CA214" s="142"/>
    </row>
    <row r="215" spans="57:79" ht="15" hidden="1" customHeight="1" x14ac:dyDescent="0.2">
      <c r="BE215" s="1549">
        <v>211</v>
      </c>
      <c r="BF215" s="1549"/>
      <c r="BG215" s="1549"/>
      <c r="BH215" s="143">
        <f>BH214-BH216</f>
        <v>6451.6129032258068</v>
      </c>
      <c r="BI215" s="436">
        <f>BH215*0.1</f>
        <v>645.16129032258073</v>
      </c>
      <c r="BJ215" s="436"/>
      <c r="BK215" s="436"/>
      <c r="BL215" s="436"/>
      <c r="BM215" s="436"/>
      <c r="BN215" s="436">
        <f>BH215-BI215</f>
        <v>5806.4516129032263</v>
      </c>
      <c r="BO215" s="445"/>
      <c r="BP215" s="445"/>
      <c r="BQ215" s="445"/>
      <c r="BR215" s="445"/>
      <c r="BS215" s="445"/>
      <c r="BT215" s="445"/>
      <c r="BU215" s="142"/>
      <c r="BV215" s="142"/>
      <c r="BW215" s="142"/>
      <c r="BX215" s="142"/>
      <c r="BY215" s="142"/>
      <c r="BZ215" s="142"/>
      <c r="CA215" s="142"/>
    </row>
    <row r="216" spans="57:79" ht="15" hidden="1" customHeight="1" x14ac:dyDescent="0.2">
      <c r="BE216" s="1549">
        <v>213</v>
      </c>
      <c r="BF216" s="1549"/>
      <c r="BG216" s="1549"/>
      <c r="BH216" s="143">
        <f>BH214*30.2/130.2</f>
        <v>1948.3870967741937</v>
      </c>
      <c r="BI216" s="1550">
        <f>BI215*30.2%</f>
        <v>194.83870967741936</v>
      </c>
      <c r="BJ216" s="1550"/>
      <c r="BK216" s="1550"/>
      <c r="BL216" s="1550"/>
      <c r="BM216" s="1550"/>
      <c r="BN216" s="1550">
        <f>BN215*30.2%</f>
        <v>1753.5483870967744</v>
      </c>
      <c r="BO216" s="1550"/>
      <c r="BP216" s="1550"/>
      <c r="BQ216" s="1550"/>
      <c r="BR216" s="1550"/>
      <c r="BS216" s="1550"/>
      <c r="BT216" s="1550"/>
      <c r="BU216" s="142"/>
      <c r="BV216" s="142"/>
      <c r="BW216" s="142"/>
      <c r="BX216" s="142"/>
      <c r="BY216" s="142"/>
      <c r="BZ216" s="142"/>
      <c r="CA216" s="142"/>
    </row>
    <row r="217" spans="57:79" ht="15" hidden="1" customHeight="1" x14ac:dyDescent="0.2">
      <c r="BE217" s="142"/>
      <c r="BF217" s="142"/>
      <c r="BG217" s="143"/>
      <c r="BH217" s="142"/>
      <c r="BI217" s="142"/>
      <c r="BJ217" s="142"/>
      <c r="BK217" s="142"/>
      <c r="BL217" s="142"/>
      <c r="BM217" s="142"/>
      <c r="BN217" s="142"/>
      <c r="BO217" s="142"/>
      <c r="BP217" s="142"/>
      <c r="BQ217" s="142"/>
      <c r="BR217" s="142"/>
      <c r="BS217" s="142"/>
      <c r="BT217" s="142"/>
      <c r="BU217" s="142"/>
      <c r="BV217" s="142"/>
      <c r="BW217" s="142"/>
      <c r="BX217" s="142"/>
      <c r="BY217" s="142"/>
      <c r="BZ217" s="142"/>
      <c r="CA217" s="142"/>
    </row>
    <row r="218" spans="57:79" ht="15" hidden="1" customHeight="1" x14ac:dyDescent="0.2">
      <c r="BE218" s="142"/>
      <c r="BF218" s="142"/>
      <c r="BG218" s="142"/>
      <c r="BH218" s="142"/>
      <c r="BI218" s="142"/>
      <c r="BJ218" s="142"/>
      <c r="BK218" s="142"/>
      <c r="BL218" s="142"/>
      <c r="BM218" s="142"/>
      <c r="BN218" s="142"/>
      <c r="BO218" s="142"/>
      <c r="BP218" s="142"/>
      <c r="BQ218" s="142"/>
      <c r="BR218" s="142"/>
      <c r="BS218" s="142"/>
      <c r="BT218" s="142"/>
      <c r="BU218" s="142"/>
      <c r="BV218" s="142"/>
      <c r="BW218" s="142"/>
      <c r="BX218" s="142"/>
      <c r="BY218" s="142"/>
      <c r="BZ218" s="142"/>
      <c r="CA218" s="142"/>
    </row>
    <row r="219" spans="57:79" ht="0.75" hidden="1" customHeight="1" x14ac:dyDescent="0.2"/>
    <row r="220" spans="57:79" ht="13.5" hidden="1" customHeight="1" x14ac:dyDescent="0.2">
      <c r="BE220" s="1549" t="s">
        <v>299</v>
      </c>
      <c r="BF220" s="1549"/>
      <c r="BG220" s="1549"/>
      <c r="BH220" s="1549"/>
      <c r="BI220" s="1549"/>
      <c r="BJ220" s="1549"/>
      <c r="BK220" s="1549"/>
      <c r="BL220" s="1549"/>
      <c r="BM220" s="1549"/>
      <c r="BN220" s="1549"/>
      <c r="BO220" s="1549"/>
      <c r="BP220" s="1549"/>
      <c r="BQ220" s="1549"/>
      <c r="BR220" s="1549"/>
      <c r="BS220" s="1549"/>
      <c r="BT220" s="1549"/>
      <c r="BU220" s="1549"/>
      <c r="BV220" s="1549"/>
      <c r="BW220" s="1549"/>
      <c r="BX220" s="1549"/>
      <c r="BY220" s="1549"/>
      <c r="BZ220" s="1549"/>
      <c r="CA220" s="1549"/>
    </row>
    <row r="221" spans="57:79" ht="13.5" hidden="1" customHeight="1" x14ac:dyDescent="0.2">
      <c r="BE221" s="1549" t="s">
        <v>126</v>
      </c>
      <c r="BF221" s="1549"/>
      <c r="BG221" s="1549"/>
      <c r="BH221" s="1551">
        <f>250*(30+12)</f>
        <v>10500</v>
      </c>
      <c r="BI221" s="1551"/>
      <c r="BJ221" s="1551"/>
      <c r="BK221" s="1551"/>
      <c r="BL221" s="1551"/>
      <c r="BM221" s="141" t="s">
        <v>127</v>
      </c>
      <c r="BN221" s="141"/>
      <c r="BO221" s="141"/>
      <c r="BP221" s="141"/>
      <c r="BQ221" s="141"/>
      <c r="BR221" s="141"/>
      <c r="BS221" s="141"/>
      <c r="BT221" s="141"/>
      <c r="BU221" s="142"/>
      <c r="BV221" s="142"/>
      <c r="BW221" s="142"/>
      <c r="BX221" s="142"/>
      <c r="BY221" s="142"/>
      <c r="BZ221" s="142"/>
      <c r="CA221" s="142"/>
    </row>
    <row r="222" spans="57:79" ht="13.5" hidden="1" customHeight="1" x14ac:dyDescent="0.2">
      <c r="BE222" s="1552">
        <v>0.6</v>
      </c>
      <c r="BF222" s="1549"/>
      <c r="BG222" s="1549"/>
      <c r="BH222" s="143">
        <f>BH221*BE222</f>
        <v>6300</v>
      </c>
      <c r="BI222" s="1549" t="s">
        <v>128</v>
      </c>
      <c r="BJ222" s="1549"/>
      <c r="BK222" s="1549"/>
      <c r="BL222" s="1549"/>
      <c r="BM222" s="1549"/>
      <c r="BN222" s="1549" t="s">
        <v>129</v>
      </c>
      <c r="BO222" s="1549"/>
      <c r="BP222" s="1549"/>
      <c r="BQ222" s="1549"/>
      <c r="BR222" s="1549"/>
      <c r="BS222" s="1549"/>
      <c r="BT222" s="1549"/>
      <c r="BU222" s="142"/>
      <c r="BV222" s="142"/>
      <c r="BW222" s="142"/>
      <c r="BX222" s="142"/>
      <c r="BY222" s="142"/>
      <c r="BZ222" s="142"/>
      <c r="CA222" s="142"/>
    </row>
    <row r="223" spans="57:79" ht="13.5" hidden="1" customHeight="1" x14ac:dyDescent="0.2">
      <c r="BE223" s="1549">
        <v>211</v>
      </c>
      <c r="BF223" s="1549"/>
      <c r="BG223" s="1549"/>
      <c r="BH223" s="143">
        <f>BH222-BH224</f>
        <v>4838.7096774193542</v>
      </c>
      <c r="BI223" s="436">
        <f>BH223*0.1</f>
        <v>483.87096774193543</v>
      </c>
      <c r="BJ223" s="436"/>
      <c r="BK223" s="436"/>
      <c r="BL223" s="436"/>
      <c r="BM223" s="436"/>
      <c r="BN223" s="436">
        <f>BH223-BI223</f>
        <v>4354.8387096774186</v>
      </c>
      <c r="BO223" s="445"/>
      <c r="BP223" s="445"/>
      <c r="BQ223" s="445"/>
      <c r="BR223" s="445"/>
      <c r="BS223" s="445"/>
      <c r="BT223" s="445"/>
      <c r="BU223" s="142"/>
      <c r="BV223" s="142"/>
      <c r="BW223" s="142"/>
      <c r="BX223" s="142"/>
      <c r="BY223" s="142"/>
      <c r="BZ223" s="142"/>
      <c r="CA223" s="142"/>
    </row>
    <row r="224" spans="57:79" ht="13.5" hidden="1" customHeight="1" x14ac:dyDescent="0.2">
      <c r="BE224" s="1549">
        <v>213</v>
      </c>
      <c r="BF224" s="1549"/>
      <c r="BG224" s="1549"/>
      <c r="BH224" s="143">
        <f>BH222*30.2/130.2</f>
        <v>1461.2903225806454</v>
      </c>
      <c r="BI224" s="1550">
        <f>BI223*30.2%</f>
        <v>146.12903225806448</v>
      </c>
      <c r="BJ224" s="1550"/>
      <c r="BK224" s="1550"/>
      <c r="BL224" s="1550"/>
      <c r="BM224" s="1550"/>
      <c r="BN224" s="1550">
        <f>BN223*30.2%</f>
        <v>1315.1612903225803</v>
      </c>
      <c r="BO224" s="1550"/>
      <c r="BP224" s="1550"/>
      <c r="BQ224" s="1550"/>
      <c r="BR224" s="1550"/>
      <c r="BS224" s="1550"/>
      <c r="BT224" s="1550"/>
      <c r="BU224" s="142"/>
      <c r="BV224" s="142"/>
      <c r="BW224" s="142"/>
      <c r="BX224" s="142"/>
      <c r="BY224" s="142"/>
      <c r="BZ224" s="142"/>
      <c r="CA224" s="142"/>
    </row>
    <row r="225" spans="57:79" ht="13.5" hidden="1" customHeight="1" x14ac:dyDescent="0.2">
      <c r="BE225" s="142"/>
      <c r="BF225" s="142"/>
      <c r="BG225" s="143"/>
      <c r="BH225" s="142"/>
      <c r="BI225" s="142"/>
      <c r="BJ225" s="142"/>
      <c r="BK225" s="142"/>
      <c r="BL225" s="142"/>
      <c r="BM225" s="142"/>
      <c r="BN225" s="142"/>
      <c r="BO225" s="142"/>
      <c r="BP225" s="142"/>
      <c r="BQ225" s="142"/>
      <c r="BR225" s="142"/>
      <c r="BS225" s="142"/>
      <c r="BT225" s="142"/>
      <c r="BU225" s="142"/>
      <c r="BV225" s="142"/>
      <c r="BW225" s="142"/>
      <c r="BX225" s="142"/>
      <c r="BY225" s="142"/>
      <c r="BZ225" s="142"/>
      <c r="CA225" s="142"/>
    </row>
    <row r="226" spans="57:79" ht="13.5" hidden="1" customHeight="1" x14ac:dyDescent="0.2">
      <c r="BE226" s="142"/>
      <c r="BF226" s="142"/>
      <c r="BG226" s="142"/>
      <c r="BH226" s="142"/>
      <c r="BI226" s="142"/>
      <c r="BJ226" s="142"/>
      <c r="BK226" s="142"/>
      <c r="BL226" s="142"/>
      <c r="BM226" s="142"/>
      <c r="BN226" s="142"/>
      <c r="BO226" s="142"/>
      <c r="BP226" s="142"/>
      <c r="BQ226" s="142"/>
      <c r="BR226" s="142"/>
      <c r="BS226" s="142"/>
      <c r="BT226" s="142"/>
      <c r="BU226" s="142"/>
      <c r="BV226" s="142"/>
      <c r="BW226" s="142"/>
      <c r="BX226" s="142"/>
      <c r="BY226" s="142"/>
      <c r="BZ226" s="142"/>
      <c r="CA226" s="142"/>
    </row>
    <row r="227" spans="57:79" ht="8.25" hidden="1" customHeight="1" x14ac:dyDescent="0.2"/>
    <row r="228" spans="57:79" ht="15" hidden="1" customHeight="1" x14ac:dyDescent="0.2">
      <c r="BE228" s="1549" t="s">
        <v>308</v>
      </c>
      <c r="BF228" s="1549"/>
      <c r="BG228" s="1549"/>
      <c r="BH228" s="1549"/>
      <c r="BI228" s="1549"/>
      <c r="BJ228" s="1549"/>
      <c r="BK228" s="1549"/>
      <c r="BL228" s="1549"/>
      <c r="BM228" s="1549"/>
      <c r="BN228" s="1549"/>
      <c r="BO228" s="1549"/>
      <c r="BP228" s="1549"/>
      <c r="BQ228" s="1549"/>
      <c r="BR228" s="1549"/>
      <c r="BS228" s="1549"/>
      <c r="BT228" s="1549"/>
      <c r="BU228" s="1549"/>
      <c r="BV228" s="1549"/>
      <c r="BW228" s="1549"/>
      <c r="BX228" s="1549"/>
      <c r="BY228" s="1549"/>
      <c r="BZ228" s="1549"/>
      <c r="CA228" s="1549"/>
    </row>
    <row r="229" spans="57:79" ht="15" hidden="1" customHeight="1" x14ac:dyDescent="0.2">
      <c r="BE229" s="1549" t="s">
        <v>126</v>
      </c>
      <c r="BF229" s="1549"/>
      <c r="BG229" s="1549"/>
      <c r="BH229" s="1551">
        <f>250*(10+21)</f>
        <v>7750</v>
      </c>
      <c r="BI229" s="1551"/>
      <c r="BJ229" s="1551"/>
      <c r="BK229" s="1551"/>
      <c r="BL229" s="1551"/>
      <c r="BM229" s="141" t="s">
        <v>127</v>
      </c>
      <c r="BN229" s="141"/>
      <c r="BO229" s="141"/>
      <c r="BP229" s="141"/>
      <c r="BQ229" s="141"/>
      <c r="BR229" s="141"/>
      <c r="BS229" s="141"/>
      <c r="BT229" s="141"/>
      <c r="BU229" s="142"/>
      <c r="BV229" s="142"/>
      <c r="BW229" s="142"/>
      <c r="BX229" s="142"/>
      <c r="BY229" s="142"/>
      <c r="BZ229" s="142"/>
      <c r="CA229" s="142"/>
    </row>
    <row r="230" spans="57:79" ht="15" hidden="1" customHeight="1" x14ac:dyDescent="0.2">
      <c r="BE230" s="1552">
        <v>0.6</v>
      </c>
      <c r="BF230" s="1549"/>
      <c r="BG230" s="1549"/>
      <c r="BH230" s="143">
        <f>BH229*BE230</f>
        <v>4650</v>
      </c>
      <c r="BI230" s="1549" t="s">
        <v>128</v>
      </c>
      <c r="BJ230" s="1549"/>
      <c r="BK230" s="1549"/>
      <c r="BL230" s="1549"/>
      <c r="BM230" s="1549"/>
      <c r="BN230" s="1549" t="s">
        <v>129</v>
      </c>
      <c r="BO230" s="1549"/>
      <c r="BP230" s="1549"/>
      <c r="BQ230" s="1549"/>
      <c r="BR230" s="1549"/>
      <c r="BS230" s="1549"/>
      <c r="BT230" s="1549"/>
      <c r="BU230" s="142"/>
      <c r="BV230" s="142"/>
      <c r="BW230" s="142"/>
      <c r="BX230" s="142"/>
      <c r="BY230" s="142"/>
      <c r="BZ230" s="142"/>
      <c r="CA230" s="142"/>
    </row>
    <row r="231" spans="57:79" ht="15" hidden="1" customHeight="1" x14ac:dyDescent="0.2">
      <c r="BE231" s="1549">
        <v>211</v>
      </c>
      <c r="BF231" s="1549"/>
      <c r="BG231" s="1549"/>
      <c r="BH231" s="143">
        <f>BH230-BH232</f>
        <v>3571.4285714285716</v>
      </c>
      <c r="BI231" s="1554">
        <f>BH231*0.1</f>
        <v>357.14285714285717</v>
      </c>
      <c r="BJ231" s="1554"/>
      <c r="BK231" s="1554"/>
      <c r="BL231" s="1554"/>
      <c r="BM231" s="1554"/>
      <c r="BN231" s="436">
        <f>BH231-BI231</f>
        <v>3214.2857142857142</v>
      </c>
      <c r="BO231" s="445"/>
      <c r="BP231" s="445"/>
      <c r="BQ231" s="445"/>
      <c r="BR231" s="445"/>
      <c r="BS231" s="445"/>
      <c r="BT231" s="445"/>
      <c r="BU231" s="142"/>
      <c r="BV231" s="142"/>
      <c r="BW231" s="142"/>
      <c r="BX231" s="142"/>
      <c r="BY231" s="142"/>
      <c r="BZ231" s="142"/>
      <c r="CA231" s="142"/>
    </row>
    <row r="232" spans="57:79" ht="15" hidden="1" customHeight="1" x14ac:dyDescent="0.2">
      <c r="BE232" s="1549">
        <v>213</v>
      </c>
      <c r="BF232" s="1549"/>
      <c r="BG232" s="1549"/>
      <c r="BH232" s="143">
        <f>BH230*30.2/130.2</f>
        <v>1078.5714285714287</v>
      </c>
      <c r="BI232" s="1550">
        <f>BI231*30.2%</f>
        <v>107.85714285714286</v>
      </c>
      <c r="BJ232" s="1550"/>
      <c r="BK232" s="1550"/>
      <c r="BL232" s="1550"/>
      <c r="BM232" s="1550"/>
      <c r="BN232" s="1550">
        <f>BN231*30.2%</f>
        <v>970.71428571428567</v>
      </c>
      <c r="BO232" s="1550"/>
      <c r="BP232" s="1550"/>
      <c r="BQ232" s="1550"/>
      <c r="BR232" s="1550"/>
      <c r="BS232" s="1550"/>
      <c r="BT232" s="1550"/>
      <c r="BU232" s="142"/>
      <c r="BV232" s="142"/>
      <c r="BW232" s="142"/>
      <c r="BX232" s="142"/>
      <c r="BY232" s="142"/>
      <c r="BZ232" s="142"/>
      <c r="CA232" s="142"/>
    </row>
    <row r="233" spans="57:79" ht="15" hidden="1" customHeight="1" x14ac:dyDescent="0.2">
      <c r="BE233" s="142"/>
      <c r="BF233" s="142"/>
      <c r="BG233" s="143"/>
      <c r="BH233" s="142"/>
      <c r="BI233" s="142"/>
      <c r="BJ233" s="142"/>
      <c r="BK233" s="142"/>
      <c r="BL233" s="142"/>
      <c r="BM233" s="142"/>
      <c r="BN233" s="142"/>
      <c r="BO233" s="142"/>
      <c r="BP233" s="142"/>
      <c r="BQ233" s="142"/>
      <c r="BR233" s="142"/>
      <c r="BS233" s="142"/>
      <c r="BT233" s="142"/>
      <c r="BU233" s="142"/>
      <c r="BV233" s="142"/>
      <c r="BW233" s="142"/>
      <c r="BX233" s="142"/>
      <c r="BY233" s="142"/>
      <c r="BZ233" s="142"/>
      <c r="CA233" s="142"/>
    </row>
    <row r="234" spans="57:79" ht="15" hidden="1" customHeight="1" x14ac:dyDescent="0.2">
      <c r="BE234" s="142"/>
      <c r="BF234" s="142"/>
      <c r="BG234" s="142"/>
      <c r="BH234" s="142"/>
      <c r="BI234" s="142"/>
      <c r="BJ234" s="142"/>
      <c r="BK234" s="142"/>
      <c r="BL234" s="142"/>
      <c r="BM234" s="142"/>
      <c r="BN234" s="142"/>
      <c r="BO234" s="142"/>
      <c r="BP234" s="142"/>
      <c r="BQ234" s="142"/>
      <c r="BR234" s="142"/>
      <c r="BS234" s="142"/>
      <c r="BT234" s="142"/>
      <c r="BU234" s="142"/>
      <c r="BV234" s="142"/>
      <c r="BW234" s="142"/>
      <c r="BX234" s="142"/>
      <c r="BY234" s="142"/>
      <c r="BZ234" s="142"/>
      <c r="CA234" s="142"/>
    </row>
    <row r="236" spans="57:79" ht="12" x14ac:dyDescent="0.2">
      <c r="BE236" s="1549" t="s">
        <v>341</v>
      </c>
      <c r="BF236" s="1549"/>
      <c r="BG236" s="1549"/>
      <c r="BH236" s="1549"/>
      <c r="BI236" s="1549"/>
      <c r="BJ236" s="1549"/>
      <c r="BK236" s="1549"/>
      <c r="BL236" s="1549"/>
      <c r="BM236" s="1549"/>
      <c r="BN236" s="1549"/>
      <c r="BO236" s="1549"/>
      <c r="BP236" s="1549"/>
      <c r="BQ236" s="1549"/>
      <c r="BR236" s="1549"/>
      <c r="BS236" s="1549"/>
      <c r="BT236" s="1549"/>
      <c r="BU236" s="1549"/>
      <c r="BV236" s="1549"/>
      <c r="BW236" s="1549"/>
      <c r="BX236" s="1549"/>
      <c r="BY236" s="1549"/>
      <c r="BZ236" s="1549"/>
      <c r="CA236" s="1549"/>
    </row>
    <row r="237" spans="57:79" ht="12" x14ac:dyDescent="0.2">
      <c r="BE237" s="1549" t="s">
        <v>126</v>
      </c>
      <c r="BF237" s="1549"/>
      <c r="BG237" s="1549"/>
      <c r="BH237" s="1551">
        <f>250*10</f>
        <v>2500</v>
      </c>
      <c r="BI237" s="1551"/>
      <c r="BJ237" s="1551"/>
      <c r="BK237" s="1551"/>
      <c r="BL237" s="1551"/>
      <c r="BM237" s="141" t="s">
        <v>127</v>
      </c>
      <c r="BN237" s="141"/>
      <c r="BO237" s="141"/>
      <c r="BP237" s="141"/>
      <c r="BQ237" s="141"/>
      <c r="BR237" s="141"/>
      <c r="BS237" s="141"/>
      <c r="BT237" s="141"/>
      <c r="BU237" s="142"/>
      <c r="BV237" s="142"/>
      <c r="BW237" s="142"/>
      <c r="BX237" s="142"/>
      <c r="BY237" s="142"/>
      <c r="BZ237" s="142"/>
      <c r="CA237" s="142"/>
    </row>
    <row r="238" spans="57:79" ht="12" x14ac:dyDescent="0.2">
      <c r="BE238" s="1552">
        <v>0.6</v>
      </c>
      <c r="BF238" s="1549"/>
      <c r="BG238" s="1549"/>
      <c r="BH238" s="143">
        <f>BH237*BE238</f>
        <v>1500</v>
      </c>
      <c r="BI238" s="1549" t="s">
        <v>128</v>
      </c>
      <c r="BJ238" s="1549"/>
      <c r="BK238" s="1549"/>
      <c r="BL238" s="1549"/>
      <c r="BM238" s="1549"/>
      <c r="BN238" s="1549" t="s">
        <v>129</v>
      </c>
      <c r="BO238" s="1549"/>
      <c r="BP238" s="1549"/>
      <c r="BQ238" s="1549"/>
      <c r="BR238" s="1549"/>
      <c r="BS238" s="1549"/>
      <c r="BT238" s="1549"/>
      <c r="BU238" s="142"/>
      <c r="BV238" s="142"/>
      <c r="BW238" s="142"/>
      <c r="BX238" s="142"/>
      <c r="BY238" s="142"/>
      <c r="BZ238" s="142"/>
      <c r="CA238" s="142"/>
    </row>
    <row r="239" spans="57:79" ht="12" x14ac:dyDescent="0.2">
      <c r="BE239" s="1549">
        <v>211</v>
      </c>
      <c r="BF239" s="1549"/>
      <c r="BG239" s="1549"/>
      <c r="BH239" s="143">
        <f>BH238-BH240</f>
        <v>1152.073732718894</v>
      </c>
      <c r="BI239" s="1550">
        <f>BH239*0.1</f>
        <v>115.20737327188941</v>
      </c>
      <c r="BJ239" s="1550"/>
      <c r="BK239" s="1550"/>
      <c r="BL239" s="1550"/>
      <c r="BM239" s="1550"/>
      <c r="BN239" s="436">
        <f>BH239-BI239</f>
        <v>1036.8663594470047</v>
      </c>
      <c r="BO239" s="445"/>
      <c r="BP239" s="445"/>
      <c r="BQ239" s="445"/>
      <c r="BR239" s="445"/>
      <c r="BS239" s="445"/>
      <c r="BT239" s="445"/>
      <c r="BU239" s="142"/>
      <c r="BV239" s="142"/>
      <c r="BW239" s="142"/>
      <c r="BX239" s="142"/>
      <c r="BY239" s="142"/>
      <c r="BZ239" s="142"/>
      <c r="CA239" s="142"/>
    </row>
    <row r="240" spans="57:79" ht="12" x14ac:dyDescent="0.2">
      <c r="BE240" s="1549">
        <v>213</v>
      </c>
      <c r="BF240" s="1549"/>
      <c r="BG240" s="1549"/>
      <c r="BH240" s="143">
        <f>BH238*30.2/130.2</f>
        <v>347.92626728110599</v>
      </c>
      <c r="BI240" s="1550">
        <f>BI239*30.2%</f>
        <v>34.792626728110598</v>
      </c>
      <c r="BJ240" s="1550"/>
      <c r="BK240" s="1550"/>
      <c r="BL240" s="1550"/>
      <c r="BM240" s="1550"/>
      <c r="BN240" s="1550">
        <f>BN239*30.2%</f>
        <v>313.13364055299542</v>
      </c>
      <c r="BO240" s="1550"/>
      <c r="BP240" s="1550"/>
      <c r="BQ240" s="1550"/>
      <c r="BR240" s="1550"/>
      <c r="BS240" s="1550"/>
      <c r="BT240" s="1550"/>
      <c r="BU240" s="142"/>
      <c r="BV240" s="142"/>
      <c r="BW240" s="142"/>
      <c r="BX240" s="142"/>
      <c r="BY240" s="142"/>
      <c r="BZ240" s="142"/>
      <c r="CA240" s="142"/>
    </row>
    <row r="241" spans="57:79" ht="12" x14ac:dyDescent="0.2">
      <c r="BE241" s="142"/>
      <c r="BF241" s="142"/>
      <c r="BG241" s="143"/>
      <c r="BH241" s="142"/>
      <c r="BI241" s="142"/>
      <c r="BJ241" s="142"/>
      <c r="BK241" s="142"/>
      <c r="BL241" s="142"/>
      <c r="BM241" s="142"/>
      <c r="BN241" s="142"/>
      <c r="BO241" s="142"/>
      <c r="BP241" s="142"/>
      <c r="BQ241" s="142"/>
      <c r="BR241" s="142"/>
      <c r="BS241" s="142"/>
      <c r="BT241" s="142"/>
      <c r="BU241" s="142"/>
      <c r="BV241" s="142"/>
      <c r="BW241" s="142"/>
      <c r="BX241" s="142"/>
      <c r="BY241" s="142"/>
      <c r="BZ241" s="142"/>
      <c r="CA241" s="142"/>
    </row>
    <row r="242" spans="57:79" ht="12" x14ac:dyDescent="0.2">
      <c r="BE242" s="142"/>
      <c r="BF242" s="142"/>
      <c r="BG242" s="142"/>
      <c r="BH242" s="142"/>
      <c r="BI242" s="142"/>
      <c r="BJ242" s="142"/>
      <c r="BK242" s="142"/>
      <c r="BL242" s="142"/>
      <c r="BM242" s="142"/>
      <c r="BN242" s="142"/>
      <c r="BO242" s="142"/>
      <c r="BP242" s="142"/>
      <c r="BQ242" s="142"/>
      <c r="BR242" s="142"/>
      <c r="BS242" s="142"/>
      <c r="BT242" s="142"/>
      <c r="BU242" s="142"/>
      <c r="BV242" s="142"/>
      <c r="BW242" s="142"/>
      <c r="BX242" s="142"/>
      <c r="BY242" s="142"/>
      <c r="BZ242" s="142"/>
      <c r="CA242" s="142"/>
    </row>
    <row r="243" spans="57:79" ht="12" x14ac:dyDescent="0.2"/>
    <row r="246" spans="57:79" ht="12" x14ac:dyDescent="0.2">
      <c r="BE246" s="1549" t="s">
        <v>353</v>
      </c>
      <c r="BF246" s="1549"/>
      <c r="BG246" s="1549"/>
      <c r="BH246" s="1549"/>
      <c r="BI246" s="1549"/>
      <c r="BJ246" s="1549"/>
      <c r="BK246" s="1549"/>
      <c r="BL246" s="1549"/>
      <c r="BM246" s="1549"/>
      <c r="BN246" s="1549"/>
      <c r="BO246" s="1549"/>
      <c r="BP246" s="1549"/>
      <c r="BQ246" s="1549"/>
      <c r="BR246" s="1549"/>
      <c r="BS246" s="1549"/>
      <c r="BT246" s="1549"/>
      <c r="BU246" s="1549"/>
      <c r="BV246" s="1549"/>
      <c r="BW246" s="1549"/>
      <c r="BX246" s="1549"/>
      <c r="BY246" s="1549"/>
      <c r="BZ246" s="1549"/>
      <c r="CA246" s="1549"/>
    </row>
    <row r="247" spans="57:79" ht="12" x14ac:dyDescent="0.2">
      <c r="BE247" s="1549" t="s">
        <v>126</v>
      </c>
      <c r="BF247" s="1549"/>
      <c r="BG247" s="1549"/>
      <c r="BH247" s="1551">
        <f>250*15</f>
        <v>3750</v>
      </c>
      <c r="BI247" s="1551"/>
      <c r="BJ247" s="1551"/>
      <c r="BK247" s="1551"/>
      <c r="BL247" s="1551"/>
      <c r="BM247" s="141" t="s">
        <v>127</v>
      </c>
      <c r="BN247" s="141"/>
      <c r="BO247" s="141"/>
      <c r="BP247" s="141"/>
      <c r="BQ247" s="141"/>
      <c r="BR247" s="141"/>
      <c r="BS247" s="141"/>
      <c r="BT247" s="141"/>
      <c r="BU247" s="142"/>
      <c r="BV247" s="142"/>
      <c r="BW247" s="142"/>
      <c r="BX247" s="142"/>
      <c r="BY247" s="142"/>
      <c r="BZ247" s="142"/>
      <c r="CA247" s="142"/>
    </row>
    <row r="248" spans="57:79" ht="12" x14ac:dyDescent="0.2">
      <c r="BE248" s="1552">
        <v>0.6</v>
      </c>
      <c r="BF248" s="1549"/>
      <c r="BG248" s="1549"/>
      <c r="BH248" s="143">
        <f>BH247*BE248</f>
        <v>2250</v>
      </c>
      <c r="BI248" s="1549" t="s">
        <v>128</v>
      </c>
      <c r="BJ248" s="1549"/>
      <c r="BK248" s="1549"/>
      <c r="BL248" s="1549"/>
      <c r="BM248" s="1549"/>
      <c r="BN248" s="1549" t="s">
        <v>129</v>
      </c>
      <c r="BO248" s="1549"/>
      <c r="BP248" s="1549"/>
      <c r="BQ248" s="1549"/>
      <c r="BR248" s="1549"/>
      <c r="BS248" s="1549"/>
      <c r="BT248" s="1549"/>
      <c r="BU248" s="142"/>
      <c r="BV248" s="142"/>
      <c r="BW248" s="142"/>
      <c r="BX248" s="142"/>
      <c r="BY248" s="142"/>
      <c r="BZ248" s="142"/>
      <c r="CA248" s="142"/>
    </row>
    <row r="249" spans="57:79" ht="12" x14ac:dyDescent="0.2">
      <c r="BE249" s="1549">
        <v>211</v>
      </c>
      <c r="BF249" s="1549"/>
      <c r="BG249" s="1549"/>
      <c r="BH249" s="143">
        <f>BH248-BH250</f>
        <v>1728.110599078341</v>
      </c>
      <c r="BI249" s="1550">
        <f>BH249*0.1</f>
        <v>172.81105990783411</v>
      </c>
      <c r="BJ249" s="1550"/>
      <c r="BK249" s="1550"/>
      <c r="BL249" s="1550"/>
      <c r="BM249" s="1550"/>
      <c r="BN249" s="436">
        <f>BH249-BI249</f>
        <v>1555.2995391705069</v>
      </c>
      <c r="BO249" s="445"/>
      <c r="BP249" s="445"/>
      <c r="BQ249" s="445"/>
      <c r="BR249" s="445"/>
      <c r="BS249" s="445"/>
      <c r="BT249" s="445"/>
      <c r="BU249" s="142"/>
      <c r="BV249" s="142"/>
      <c r="BW249" s="142"/>
      <c r="BX249" s="142"/>
      <c r="BY249" s="142"/>
      <c r="BZ249" s="142"/>
      <c r="CA249" s="142"/>
    </row>
    <row r="250" spans="57:79" ht="12" x14ac:dyDescent="0.2">
      <c r="BE250" s="1549">
        <v>213</v>
      </c>
      <c r="BF250" s="1549"/>
      <c r="BG250" s="1549"/>
      <c r="BH250" s="143">
        <f>BH248*30.2/130.2</f>
        <v>521.88940092165899</v>
      </c>
      <c r="BI250" s="1550">
        <f>BI249*30.2%</f>
        <v>52.1889400921659</v>
      </c>
      <c r="BJ250" s="1550"/>
      <c r="BK250" s="1550"/>
      <c r="BL250" s="1550"/>
      <c r="BM250" s="1550"/>
      <c r="BN250" s="1550">
        <f>BN249*30.2%</f>
        <v>469.70046082949307</v>
      </c>
      <c r="BO250" s="1550"/>
      <c r="BP250" s="1550"/>
      <c r="BQ250" s="1550"/>
      <c r="BR250" s="1550"/>
      <c r="BS250" s="1550"/>
      <c r="BT250" s="1550"/>
      <c r="BU250" s="142"/>
      <c r="BV250" s="142"/>
      <c r="BW250" s="142"/>
      <c r="BX250" s="142"/>
      <c r="BY250" s="142"/>
      <c r="BZ250" s="142"/>
      <c r="CA250" s="142"/>
    </row>
    <row r="251" spans="57:79" ht="12" x14ac:dyDescent="0.2">
      <c r="BE251" s="142"/>
      <c r="BF251" s="142"/>
      <c r="BG251" s="143"/>
      <c r="BH251" s="142"/>
      <c r="BI251" s="142"/>
      <c r="BJ251" s="142"/>
      <c r="BK251" s="142"/>
      <c r="BL251" s="142"/>
      <c r="BM251" s="142"/>
      <c r="BN251" s="142"/>
      <c r="BO251" s="142"/>
      <c r="BP251" s="142"/>
      <c r="BQ251" s="142"/>
      <c r="BR251" s="142"/>
      <c r="BS251" s="142"/>
      <c r="BT251" s="142"/>
      <c r="BU251" s="142"/>
      <c r="BV251" s="142"/>
      <c r="BW251" s="142"/>
      <c r="BX251" s="142"/>
      <c r="BY251" s="142"/>
      <c r="BZ251" s="142"/>
      <c r="CA251" s="142"/>
    </row>
    <row r="252" spans="57:79" ht="12" x14ac:dyDescent="0.2">
      <c r="BE252" s="142"/>
      <c r="BF252" s="142"/>
      <c r="BG252" s="142"/>
      <c r="BH252" s="142"/>
      <c r="BI252" s="142"/>
      <c r="BJ252" s="142"/>
      <c r="BK252" s="142"/>
      <c r="BL252" s="142"/>
      <c r="BM252" s="142"/>
      <c r="BN252" s="142"/>
      <c r="BO252" s="142"/>
      <c r="BP252" s="142"/>
      <c r="BQ252" s="142"/>
      <c r="BR252" s="142"/>
      <c r="BS252" s="142"/>
      <c r="BT252" s="142"/>
      <c r="BU252" s="142"/>
      <c r="BV252" s="142"/>
      <c r="BW252" s="142"/>
      <c r="BX252" s="142"/>
      <c r="BY252" s="142"/>
      <c r="BZ252" s="142"/>
      <c r="CA252" s="142"/>
    </row>
    <row r="255" spans="57:79" ht="12" x14ac:dyDescent="0.2">
      <c r="BE255" s="1549" t="s">
        <v>361</v>
      </c>
      <c r="BF255" s="1549"/>
      <c r="BG255" s="1549"/>
      <c r="BH255" s="1549"/>
      <c r="BI255" s="1549"/>
      <c r="BJ255" s="1549"/>
      <c r="BK255" s="1549"/>
      <c r="BL255" s="1549"/>
      <c r="BM255" s="1549"/>
      <c r="BN255" s="1549"/>
      <c r="BO255" s="1549"/>
      <c r="BP255" s="1549"/>
      <c r="BQ255" s="1549"/>
      <c r="BR255" s="1549"/>
      <c r="BS255" s="1549"/>
      <c r="BT255" s="1549"/>
      <c r="BU255" s="1549"/>
      <c r="BV255" s="1549"/>
      <c r="BW255" s="1549"/>
      <c r="BX255" s="1549"/>
      <c r="BY255" s="1549"/>
      <c r="BZ255" s="1549"/>
      <c r="CA255" s="1549"/>
    </row>
    <row r="256" spans="57:79" ht="12" x14ac:dyDescent="0.2">
      <c r="BE256" s="1549" t="s">
        <v>126</v>
      </c>
      <c r="BF256" s="1549"/>
      <c r="BG256" s="1549"/>
      <c r="BH256" s="1551">
        <f>250*13</f>
        <v>3250</v>
      </c>
      <c r="BI256" s="1551"/>
      <c r="BJ256" s="1551"/>
      <c r="BK256" s="1551"/>
      <c r="BL256" s="1551"/>
      <c r="BM256" s="141" t="s">
        <v>127</v>
      </c>
      <c r="BN256" s="141"/>
      <c r="BO256" s="141"/>
      <c r="BP256" s="141"/>
      <c r="BQ256" s="141"/>
      <c r="BR256" s="141"/>
      <c r="BS256" s="141"/>
      <c r="BT256" s="141"/>
      <c r="BU256" s="142"/>
      <c r="BV256" s="142"/>
      <c r="BW256" s="142"/>
      <c r="BX256" s="142"/>
      <c r="BY256" s="142"/>
      <c r="BZ256" s="142"/>
      <c r="CA256" s="142"/>
    </row>
    <row r="257" spans="57:90" ht="12" x14ac:dyDescent="0.2">
      <c r="BE257" s="1552">
        <v>0.6</v>
      </c>
      <c r="BF257" s="1549"/>
      <c r="BG257" s="1549"/>
      <c r="BH257" s="143">
        <f>BH256*BE257</f>
        <v>1950</v>
      </c>
      <c r="BI257" s="1549" t="s">
        <v>128</v>
      </c>
      <c r="BJ257" s="1549"/>
      <c r="BK257" s="1549"/>
      <c r="BL257" s="1549"/>
      <c r="BM257" s="1549"/>
      <c r="BN257" s="1549" t="s">
        <v>129</v>
      </c>
      <c r="BO257" s="1549"/>
      <c r="BP257" s="1549"/>
      <c r="BQ257" s="1549"/>
      <c r="BR257" s="1549"/>
      <c r="BS257" s="1549"/>
      <c r="BT257" s="1549"/>
      <c r="BU257" s="142"/>
      <c r="BV257" s="142"/>
      <c r="BW257" s="142"/>
      <c r="BX257" s="142"/>
      <c r="BY257" s="142"/>
      <c r="BZ257" s="142"/>
      <c r="CA257" s="142"/>
    </row>
    <row r="258" spans="57:90" ht="12" x14ac:dyDescent="0.2">
      <c r="BE258" s="1549">
        <v>211</v>
      </c>
      <c r="BF258" s="1549"/>
      <c r="BG258" s="1549"/>
      <c r="BH258" s="143">
        <f>BH257-BH259</f>
        <v>1497.6958525345622</v>
      </c>
      <c r="BI258" s="1550">
        <f>BH258*0.1</f>
        <v>149.76958525345623</v>
      </c>
      <c r="BJ258" s="1550"/>
      <c r="BK258" s="1550"/>
      <c r="BL258" s="1550"/>
      <c r="BM258" s="1550"/>
      <c r="BN258" s="436">
        <f>BH258-BI258</f>
        <v>1347.926267281106</v>
      </c>
      <c r="BO258" s="445"/>
      <c r="BP258" s="445"/>
      <c r="BQ258" s="445"/>
      <c r="BR258" s="445"/>
      <c r="BS258" s="445"/>
      <c r="BT258" s="445"/>
      <c r="BU258" s="142"/>
      <c r="BV258" s="142"/>
      <c r="BW258" s="142"/>
      <c r="BX258" s="142"/>
      <c r="BY258" s="142"/>
      <c r="BZ258" s="142"/>
      <c r="CA258" s="142"/>
    </row>
    <row r="259" spans="57:90" ht="12" x14ac:dyDescent="0.2">
      <c r="BE259" s="1549">
        <v>213</v>
      </c>
      <c r="BF259" s="1549"/>
      <c r="BG259" s="1549"/>
      <c r="BH259" s="143">
        <f>BH257*30.2/130.2</f>
        <v>452.30414746543784</v>
      </c>
      <c r="BI259" s="1550">
        <f>BI258*30.2%</f>
        <v>45.230414746543779</v>
      </c>
      <c r="BJ259" s="1550"/>
      <c r="BK259" s="1550"/>
      <c r="BL259" s="1550"/>
      <c r="BM259" s="1550"/>
      <c r="BN259" s="1550">
        <f>BN258*30.2%</f>
        <v>407.07373271889401</v>
      </c>
      <c r="BO259" s="1550"/>
      <c r="BP259" s="1550"/>
      <c r="BQ259" s="1550"/>
      <c r="BR259" s="1550"/>
      <c r="BS259" s="1550"/>
      <c r="BT259" s="1550"/>
      <c r="BU259" s="142"/>
      <c r="BV259" s="142"/>
      <c r="BW259" s="142"/>
      <c r="BX259" s="142"/>
      <c r="BY259" s="142"/>
      <c r="BZ259" s="142"/>
      <c r="CA259" s="142"/>
    </row>
    <row r="260" spans="57:90" ht="12" x14ac:dyDescent="0.2">
      <c r="BE260" s="142"/>
      <c r="BF260" s="142"/>
      <c r="BG260" s="143"/>
      <c r="BH260" s="142"/>
      <c r="BI260" s="142"/>
      <c r="BJ260" s="142"/>
      <c r="BK260" s="142"/>
      <c r="BL260" s="142"/>
      <c r="BM260" s="142"/>
      <c r="BN260" s="142"/>
      <c r="BO260" s="142"/>
      <c r="BP260" s="142"/>
      <c r="BQ260" s="142"/>
      <c r="BR260" s="142"/>
      <c r="BS260" s="142"/>
      <c r="BT260" s="142"/>
      <c r="BU260" s="142"/>
      <c r="BV260" s="142"/>
      <c r="BW260" s="142"/>
      <c r="BX260" s="142"/>
      <c r="BY260" s="142"/>
      <c r="BZ260" s="142"/>
      <c r="CA260" s="142"/>
    </row>
    <row r="261" spans="57:90" ht="12" x14ac:dyDescent="0.2">
      <c r="BE261" s="142"/>
      <c r="BF261" s="142"/>
      <c r="BG261" s="142"/>
      <c r="BH261" s="142"/>
      <c r="BI261" s="142"/>
      <c r="BJ261" s="142"/>
      <c r="BK261" s="142"/>
      <c r="BL261" s="142"/>
      <c r="BM261" s="142"/>
      <c r="BN261" s="142"/>
      <c r="BO261" s="142"/>
      <c r="BP261" s="142"/>
      <c r="BQ261" s="142"/>
      <c r="BR261" s="142"/>
      <c r="BS261" s="142"/>
      <c r="BT261" s="142"/>
      <c r="BU261" s="142"/>
      <c r="BV261" s="142"/>
      <c r="BW261" s="142"/>
      <c r="BX261" s="142"/>
      <c r="BY261" s="142"/>
      <c r="BZ261" s="142"/>
      <c r="CA261" s="142"/>
    </row>
    <row r="264" spans="57:90" ht="12" x14ac:dyDescent="0.2">
      <c r="BE264" s="1549" t="s">
        <v>371</v>
      </c>
      <c r="BF264" s="1549"/>
      <c r="BG264" s="1549"/>
      <c r="BH264" s="1549"/>
      <c r="BI264" s="1549"/>
      <c r="BJ264" s="1549"/>
      <c r="BK264" s="1549"/>
      <c r="BL264" s="1549"/>
      <c r="BM264" s="1549"/>
      <c r="BN264" s="1549"/>
      <c r="BO264" s="1549"/>
      <c r="BP264" s="1549"/>
      <c r="BQ264" s="1549"/>
      <c r="BR264" s="1549"/>
      <c r="BS264" s="1549"/>
      <c r="BT264" s="1549"/>
      <c r="BU264" s="1549"/>
      <c r="BV264" s="1549"/>
      <c r="BW264" s="1549"/>
      <c r="BX264" s="1549"/>
      <c r="BY264" s="1549"/>
      <c r="BZ264" s="1549"/>
      <c r="CA264" s="1549"/>
    </row>
    <row r="265" spans="57:90" ht="12" x14ac:dyDescent="0.2">
      <c r="BE265" s="1549" t="s">
        <v>126</v>
      </c>
      <c r="BF265" s="1549"/>
      <c r="BG265" s="1549"/>
      <c r="BH265" s="1551">
        <f>250*7</f>
        <v>1750</v>
      </c>
      <c r="BI265" s="1551"/>
      <c r="BJ265" s="1551"/>
      <c r="BK265" s="1551"/>
      <c r="BL265" s="1551"/>
      <c r="BM265" s="141" t="s">
        <v>127</v>
      </c>
      <c r="BN265" s="141"/>
      <c r="BO265" s="141"/>
      <c r="BP265" s="141"/>
      <c r="BQ265" s="141"/>
      <c r="BR265" s="141"/>
      <c r="BS265" s="141"/>
      <c r="BT265" s="141"/>
      <c r="BU265" s="142"/>
      <c r="BV265" s="142"/>
      <c r="BW265" s="142"/>
      <c r="BX265" s="142"/>
      <c r="BY265" s="142"/>
      <c r="BZ265" s="142"/>
      <c r="CA265" s="142"/>
    </row>
    <row r="266" spans="57:90" ht="15" x14ac:dyDescent="0.25">
      <c r="BE266" s="1552">
        <v>0.6</v>
      </c>
      <c r="BF266" s="1549"/>
      <c r="BG266" s="1549"/>
      <c r="BH266" s="143">
        <f>BH265*BE266</f>
        <v>1050</v>
      </c>
      <c r="BI266" s="1549" t="s">
        <v>128</v>
      </c>
      <c r="BJ266" s="1549"/>
      <c r="BK266" s="1549"/>
      <c r="BL266" s="1549"/>
      <c r="BM266" s="1549"/>
      <c r="BN266" s="1549" t="s">
        <v>129</v>
      </c>
      <c r="BO266" s="1549"/>
      <c r="BP266" s="1549"/>
      <c r="BQ266" s="1549"/>
      <c r="BR266" s="1549"/>
      <c r="BS266" s="1549"/>
      <c r="BT266" s="1549"/>
      <c r="BU266" s="142"/>
      <c r="BV266" s="142"/>
      <c r="BW266" s="142"/>
      <c r="BX266" s="142"/>
      <c r="BY266" s="142"/>
      <c r="BZ266" s="142"/>
      <c r="CA266" s="142"/>
      <c r="CC266" s="909" t="s">
        <v>368</v>
      </c>
      <c r="CD266" s="443"/>
      <c r="CE266" s="443"/>
      <c r="CF266" s="443"/>
      <c r="CH266" s="909" t="s">
        <v>366</v>
      </c>
      <c r="CI266" s="443"/>
      <c r="CJ266" s="443"/>
      <c r="CK266" s="443"/>
      <c r="CL266" s="443"/>
    </row>
    <row r="267" spans="57:90" ht="15" x14ac:dyDescent="0.25">
      <c r="BE267" s="1549">
        <v>211</v>
      </c>
      <c r="BF267" s="1549"/>
      <c r="BG267" s="1549"/>
      <c r="BH267" s="143">
        <f>BH266-BH268</f>
        <v>806.45161290322585</v>
      </c>
      <c r="BI267" s="1550">
        <f>BH267*0.2</f>
        <v>161.29032258064518</v>
      </c>
      <c r="BJ267" s="1550"/>
      <c r="BK267" s="1550"/>
      <c r="BL267" s="1550"/>
      <c r="BM267" s="1550"/>
      <c r="BN267" s="436">
        <f>BH267-BI267</f>
        <v>645.16129032258073</v>
      </c>
      <c r="BO267" s="445"/>
      <c r="BP267" s="445"/>
      <c r="BQ267" s="445"/>
      <c r="BR267" s="445"/>
      <c r="BS267" s="445"/>
      <c r="BT267" s="445"/>
      <c r="BU267" s="142"/>
      <c r="BV267" s="142"/>
      <c r="BW267" s="142"/>
      <c r="BX267" s="142"/>
      <c r="BY267" s="142"/>
      <c r="BZ267" s="142"/>
      <c r="CA267" s="142"/>
      <c r="CC267" s="1553">
        <f>BI267*15/20</f>
        <v>120.96774193548387</v>
      </c>
      <c r="CD267" s="446"/>
      <c r="CE267" s="446"/>
      <c r="CF267" s="446"/>
      <c r="CH267" s="1553">
        <f>BI267*5/20</f>
        <v>40.322580645161295</v>
      </c>
      <c r="CI267" s="446"/>
      <c r="CJ267" s="446"/>
      <c r="CK267" s="446"/>
      <c r="CL267" s="446"/>
    </row>
    <row r="268" spans="57:90" ht="12" x14ac:dyDescent="0.2">
      <c r="BE268" s="1549">
        <v>213</v>
      </c>
      <c r="BF268" s="1549"/>
      <c r="BG268" s="1549"/>
      <c r="BH268" s="143">
        <f>BH266*30.2/130.2</f>
        <v>243.54838709677421</v>
      </c>
      <c r="BI268" s="1550">
        <f>BI267*30.2%</f>
        <v>48.70967741935484</v>
      </c>
      <c r="BJ268" s="1550"/>
      <c r="BK268" s="1550"/>
      <c r="BL268" s="1550"/>
      <c r="BM268" s="1550"/>
      <c r="BN268" s="1550">
        <f>BN267*30.2%</f>
        <v>194.83870967741936</v>
      </c>
      <c r="BO268" s="1550"/>
      <c r="BP268" s="1550"/>
      <c r="BQ268" s="1550"/>
      <c r="BR268" s="1550"/>
      <c r="BS268" s="1550"/>
      <c r="BT268" s="1550"/>
      <c r="BU268" s="142"/>
      <c r="BV268" s="142"/>
      <c r="BW268" s="142"/>
      <c r="BX268" s="142"/>
      <c r="BY268" s="142"/>
      <c r="BZ268" s="142"/>
      <c r="CA268" s="142"/>
    </row>
    <row r="269" spans="57:90" ht="8.25" customHeight="1" x14ac:dyDescent="0.2">
      <c r="BE269" s="142"/>
      <c r="BF269" s="142"/>
      <c r="BG269" s="143"/>
      <c r="BH269" s="142"/>
      <c r="BI269" s="142"/>
      <c r="BJ269" s="142"/>
      <c r="BK269" s="142"/>
      <c r="BL269" s="142"/>
      <c r="BM269" s="142"/>
      <c r="BN269" s="142"/>
      <c r="BO269" s="142"/>
      <c r="BP269" s="142"/>
      <c r="BQ269" s="142"/>
      <c r="BR269" s="142"/>
      <c r="BS269" s="142"/>
      <c r="BT269" s="142"/>
      <c r="BU269" s="142"/>
      <c r="BV269" s="142"/>
      <c r="BW269" s="142"/>
      <c r="BX269" s="142"/>
      <c r="BY269" s="142"/>
      <c r="BZ269" s="142"/>
      <c r="CA269" s="142"/>
    </row>
    <row r="270" spans="57:90" ht="8.25" customHeight="1" x14ac:dyDescent="0.2">
      <c r="BE270" s="142"/>
      <c r="BF270" s="142"/>
      <c r="BG270" s="142"/>
      <c r="BH270" s="142"/>
      <c r="BI270" s="142"/>
      <c r="BJ270" s="142"/>
      <c r="BK270" s="142"/>
      <c r="BL270" s="142"/>
      <c r="BM270" s="142"/>
      <c r="BN270" s="142"/>
      <c r="BO270" s="142"/>
      <c r="BP270" s="142"/>
      <c r="BQ270" s="142"/>
      <c r="BR270" s="142"/>
      <c r="BS270" s="142"/>
      <c r="BT270" s="142"/>
      <c r="BU270" s="142"/>
      <c r="BV270" s="142"/>
      <c r="BW270" s="142"/>
      <c r="BX270" s="142"/>
      <c r="BY270" s="142"/>
      <c r="BZ270" s="142"/>
      <c r="CA270" s="142"/>
    </row>
    <row r="273" spans="57:90" ht="12" x14ac:dyDescent="0.2">
      <c r="BE273" s="1549" t="s">
        <v>386</v>
      </c>
      <c r="BF273" s="1549"/>
      <c r="BG273" s="1549"/>
      <c r="BH273" s="1549"/>
      <c r="BI273" s="1549"/>
      <c r="BJ273" s="1549"/>
      <c r="BK273" s="1549"/>
      <c r="BL273" s="1549"/>
      <c r="BM273" s="1549"/>
      <c r="BN273" s="1549"/>
      <c r="BO273" s="1549"/>
      <c r="BP273" s="1549"/>
      <c r="BQ273" s="1549"/>
      <c r="BR273" s="1549"/>
      <c r="BS273" s="1549"/>
      <c r="BT273" s="1549"/>
      <c r="BU273" s="1549"/>
      <c r="BV273" s="1549"/>
      <c r="BW273" s="1549"/>
      <c r="BX273" s="1549"/>
      <c r="BY273" s="1549"/>
      <c r="BZ273" s="1549"/>
      <c r="CA273" s="1549"/>
    </row>
    <row r="274" spans="57:90" ht="12" x14ac:dyDescent="0.2">
      <c r="BE274" s="1549" t="s">
        <v>126</v>
      </c>
      <c r="BF274" s="1549"/>
      <c r="BG274" s="1549"/>
      <c r="BH274" s="1551">
        <f>250*22</f>
        <v>5500</v>
      </c>
      <c r="BI274" s="1551"/>
      <c r="BJ274" s="1551"/>
      <c r="BK274" s="1551"/>
      <c r="BL274" s="1551"/>
      <c r="BM274" s="141" t="s">
        <v>127</v>
      </c>
      <c r="BN274" s="141"/>
      <c r="BO274" s="141"/>
      <c r="BP274" s="141"/>
      <c r="BQ274" s="141"/>
      <c r="BR274" s="141"/>
      <c r="BS274" s="141"/>
      <c r="BT274" s="141"/>
      <c r="BU274" s="142"/>
      <c r="BV274" s="142"/>
      <c r="BW274" s="142"/>
      <c r="BX274" s="142"/>
      <c r="BY274" s="142"/>
      <c r="BZ274" s="142"/>
      <c r="CA274" s="142"/>
    </row>
    <row r="275" spans="57:90" ht="15" x14ac:dyDescent="0.25">
      <c r="BE275" s="1552">
        <v>0.6</v>
      </c>
      <c r="BF275" s="1549"/>
      <c r="BG275" s="1549"/>
      <c r="BH275" s="143">
        <f>BH274*BE275</f>
        <v>3300</v>
      </c>
      <c r="BI275" s="1549" t="s">
        <v>128</v>
      </c>
      <c r="BJ275" s="1549"/>
      <c r="BK275" s="1549"/>
      <c r="BL275" s="1549"/>
      <c r="BM275" s="1549"/>
      <c r="BN275" s="1549" t="s">
        <v>129</v>
      </c>
      <c r="BO275" s="1549"/>
      <c r="BP275" s="1549"/>
      <c r="BQ275" s="1549"/>
      <c r="BR275" s="1549"/>
      <c r="BS275" s="1549"/>
      <c r="BT275" s="1549"/>
      <c r="BU275" s="142"/>
      <c r="BV275" s="142"/>
      <c r="BW275" s="142"/>
      <c r="BX275" s="142"/>
      <c r="BY275" s="142"/>
      <c r="BZ275" s="142"/>
      <c r="CA275" s="142"/>
      <c r="CC275" s="909" t="s">
        <v>368</v>
      </c>
      <c r="CD275" s="443"/>
      <c r="CE275" s="443"/>
      <c r="CF275" s="443"/>
      <c r="CH275" s="909" t="s">
        <v>366</v>
      </c>
      <c r="CI275" s="443"/>
      <c r="CJ275" s="443"/>
      <c r="CK275" s="443"/>
      <c r="CL275" s="443"/>
    </row>
    <row r="276" spans="57:90" ht="15" x14ac:dyDescent="0.25">
      <c r="BE276" s="1549">
        <v>211</v>
      </c>
      <c r="BF276" s="1549"/>
      <c r="BG276" s="1549"/>
      <c r="BH276" s="143">
        <f>BH275-BH277</f>
        <v>2534.5622119815666</v>
      </c>
      <c r="BI276" s="1550">
        <f>BH276*0.2</f>
        <v>506.91244239631334</v>
      </c>
      <c r="BJ276" s="1550"/>
      <c r="BK276" s="1550"/>
      <c r="BL276" s="1550"/>
      <c r="BM276" s="1550"/>
      <c r="BN276" s="436">
        <f>BH276-BI276</f>
        <v>2027.6497695852534</v>
      </c>
      <c r="BO276" s="445"/>
      <c r="BP276" s="445"/>
      <c r="BQ276" s="445"/>
      <c r="BR276" s="445"/>
      <c r="BS276" s="445"/>
      <c r="BT276" s="445"/>
      <c r="BU276" s="142"/>
      <c r="BV276" s="142"/>
      <c r="BW276" s="142"/>
      <c r="BX276" s="142"/>
      <c r="BY276" s="142"/>
      <c r="BZ276" s="142"/>
      <c r="CA276" s="142"/>
      <c r="CC276" s="1553">
        <f>BI276*15/20</f>
        <v>380.18433179723502</v>
      </c>
      <c r="CD276" s="446"/>
      <c r="CE276" s="446"/>
      <c r="CF276" s="446"/>
      <c r="CH276" s="1553">
        <f>BI276*5/20</f>
        <v>126.72811059907833</v>
      </c>
      <c r="CI276" s="446"/>
      <c r="CJ276" s="446"/>
      <c r="CK276" s="446"/>
      <c r="CL276" s="446"/>
    </row>
    <row r="277" spans="57:90" ht="12" x14ac:dyDescent="0.2">
      <c r="BE277" s="1549">
        <v>213</v>
      </c>
      <c r="BF277" s="1549"/>
      <c r="BG277" s="1549"/>
      <c r="BH277" s="143">
        <f>BH275*30.2/130.2</f>
        <v>765.43778801843325</v>
      </c>
      <c r="BI277" s="1550">
        <f>BI276*30.2%</f>
        <v>153.08755760368663</v>
      </c>
      <c r="BJ277" s="1550"/>
      <c r="BK277" s="1550"/>
      <c r="BL277" s="1550"/>
      <c r="BM277" s="1550"/>
      <c r="BN277" s="1550">
        <f>BN276*30.2%</f>
        <v>612.35023041474653</v>
      </c>
      <c r="BO277" s="1550"/>
      <c r="BP277" s="1550"/>
      <c r="BQ277" s="1550"/>
      <c r="BR277" s="1550"/>
      <c r="BS277" s="1550"/>
      <c r="BT277" s="1550"/>
      <c r="BU277" s="142"/>
      <c r="BV277" s="142"/>
      <c r="BW277" s="142"/>
      <c r="BX277" s="142"/>
      <c r="BY277" s="142"/>
      <c r="BZ277" s="142"/>
      <c r="CA277" s="142"/>
    </row>
    <row r="278" spans="57:90" ht="12" x14ac:dyDescent="0.2">
      <c r="BE278" s="142"/>
      <c r="BF278" s="142"/>
      <c r="BG278" s="143"/>
      <c r="BH278" s="142"/>
      <c r="BI278" s="142"/>
      <c r="BJ278" s="142"/>
      <c r="BK278" s="142"/>
      <c r="BL278" s="142"/>
      <c r="BM278" s="142"/>
      <c r="BN278" s="142"/>
      <c r="BO278" s="142"/>
      <c r="BP278" s="142"/>
      <c r="BQ278" s="142"/>
      <c r="BR278" s="142"/>
      <c r="BS278" s="142"/>
      <c r="BT278" s="142"/>
      <c r="BU278" s="142"/>
      <c r="BV278" s="142"/>
      <c r="BW278" s="142"/>
      <c r="BX278" s="142"/>
      <c r="BY278" s="142"/>
      <c r="BZ278" s="142"/>
      <c r="CA278" s="142"/>
    </row>
    <row r="279" spans="57:90" ht="12" x14ac:dyDescent="0.2">
      <c r="BE279" s="142"/>
      <c r="BF279" s="142"/>
      <c r="BG279" s="142"/>
      <c r="BH279" s="142"/>
      <c r="BI279" s="142"/>
      <c r="BJ279" s="142"/>
      <c r="BK279" s="142"/>
      <c r="BL279" s="142"/>
      <c r="BM279" s="142"/>
      <c r="BN279" s="142"/>
      <c r="BO279" s="142"/>
      <c r="BP279" s="142"/>
      <c r="BQ279" s="142"/>
      <c r="BR279" s="142"/>
      <c r="BS279" s="142"/>
      <c r="BT279" s="142"/>
      <c r="BU279" s="142"/>
      <c r="BV279" s="142"/>
      <c r="BW279" s="142"/>
      <c r="BX279" s="142"/>
      <c r="BY279" s="142"/>
      <c r="BZ279" s="142"/>
      <c r="CA279" s="142"/>
      <c r="CG279" s="243"/>
    </row>
    <row r="283" spans="57:90" ht="12" x14ac:dyDescent="0.2">
      <c r="BE283" s="1549" t="s">
        <v>388</v>
      </c>
      <c r="BF283" s="1549"/>
      <c r="BG283" s="1549"/>
      <c r="BH283" s="1549"/>
      <c r="BI283" s="1549"/>
      <c r="BJ283" s="1549"/>
      <c r="BK283" s="1549"/>
      <c r="BL283" s="1549"/>
      <c r="BM283" s="1549"/>
      <c r="BN283" s="1549"/>
      <c r="BO283" s="1549"/>
      <c r="BP283" s="1549"/>
      <c r="BQ283" s="1549"/>
      <c r="BR283" s="1549"/>
      <c r="BS283" s="1549"/>
      <c r="BT283" s="1549"/>
      <c r="BU283" s="1549"/>
      <c r="BV283" s="1549"/>
      <c r="BW283" s="1549"/>
      <c r="BX283" s="1549"/>
      <c r="BY283" s="1549"/>
      <c r="BZ283" s="1549"/>
      <c r="CA283" s="1549"/>
    </row>
    <row r="284" spans="57:90" ht="12" x14ac:dyDescent="0.2">
      <c r="BE284" s="1549" t="s">
        <v>126</v>
      </c>
      <c r="BF284" s="1549"/>
      <c r="BG284" s="1549"/>
      <c r="BH284" s="1551">
        <f>250*25</f>
        <v>6250</v>
      </c>
      <c r="BI284" s="1551"/>
      <c r="BJ284" s="1551"/>
      <c r="BK284" s="1551"/>
      <c r="BL284" s="1551"/>
      <c r="BM284" s="141" t="s">
        <v>127</v>
      </c>
      <c r="BN284" s="141"/>
      <c r="BO284" s="141"/>
      <c r="BP284" s="141"/>
      <c r="BQ284" s="141"/>
      <c r="BR284" s="141"/>
      <c r="BS284" s="141"/>
      <c r="BT284" s="141"/>
      <c r="BU284" s="142"/>
      <c r="BV284" s="142"/>
      <c r="BW284" s="142"/>
      <c r="BX284" s="142"/>
      <c r="BY284" s="142"/>
      <c r="BZ284" s="142"/>
      <c r="CA284" s="142"/>
    </row>
    <row r="285" spans="57:90" ht="15" x14ac:dyDescent="0.25">
      <c r="BE285" s="1552">
        <v>0.6</v>
      </c>
      <c r="BF285" s="1549"/>
      <c r="BG285" s="1549"/>
      <c r="BH285" s="143">
        <f>BH284*BE285</f>
        <v>3750</v>
      </c>
      <c r="BI285" s="1549" t="s">
        <v>128</v>
      </c>
      <c r="BJ285" s="1549"/>
      <c r="BK285" s="1549"/>
      <c r="BL285" s="1549"/>
      <c r="BM285" s="1549"/>
      <c r="BN285" s="1549" t="s">
        <v>129</v>
      </c>
      <c r="BO285" s="1549"/>
      <c r="BP285" s="1549"/>
      <c r="BQ285" s="1549"/>
      <c r="BR285" s="1549"/>
      <c r="BS285" s="1549"/>
      <c r="BT285" s="1549"/>
      <c r="BU285" s="142"/>
      <c r="BV285" s="142"/>
      <c r="BW285" s="142"/>
      <c r="BX285" s="142"/>
      <c r="BY285" s="142"/>
      <c r="BZ285" s="142"/>
      <c r="CA285" s="142"/>
      <c r="CC285" s="909" t="s">
        <v>368</v>
      </c>
      <c r="CD285" s="443"/>
      <c r="CE285" s="443"/>
      <c r="CF285" s="443"/>
      <c r="CH285" s="909" t="s">
        <v>366</v>
      </c>
      <c r="CI285" s="443"/>
      <c r="CJ285" s="443"/>
      <c r="CK285" s="443"/>
      <c r="CL285" s="443"/>
    </row>
    <row r="286" spans="57:90" ht="15" x14ac:dyDescent="0.25">
      <c r="BE286" s="1549">
        <v>211</v>
      </c>
      <c r="BF286" s="1549"/>
      <c r="BG286" s="1549"/>
      <c r="BH286" s="143">
        <f>BH285-BH287</f>
        <v>2880.1843317972348</v>
      </c>
      <c r="BI286" s="1550">
        <f>BH286*0.2</f>
        <v>576.036866359447</v>
      </c>
      <c r="BJ286" s="1550"/>
      <c r="BK286" s="1550"/>
      <c r="BL286" s="1550"/>
      <c r="BM286" s="1550"/>
      <c r="BN286" s="436">
        <f>BH286-BI286</f>
        <v>2304.147465437788</v>
      </c>
      <c r="BO286" s="445"/>
      <c r="BP286" s="445"/>
      <c r="BQ286" s="445"/>
      <c r="BR286" s="445"/>
      <c r="BS286" s="445"/>
      <c r="BT286" s="445"/>
      <c r="BU286" s="142"/>
      <c r="BV286" s="142"/>
      <c r="BW286" s="142"/>
      <c r="BX286" s="142"/>
      <c r="BY286" s="142"/>
      <c r="BZ286" s="142"/>
      <c r="CA286" s="142"/>
      <c r="CC286" s="1553">
        <f>BI286*15/20</f>
        <v>432.02764976958525</v>
      </c>
      <c r="CD286" s="446"/>
      <c r="CE286" s="446"/>
      <c r="CF286" s="446"/>
      <c r="CH286" s="1553">
        <f>BI286*5/20</f>
        <v>144.00921658986175</v>
      </c>
      <c r="CI286" s="446"/>
      <c r="CJ286" s="446"/>
      <c r="CK286" s="446"/>
      <c r="CL286" s="446"/>
    </row>
    <row r="287" spans="57:90" ht="12" x14ac:dyDescent="0.2">
      <c r="BE287" s="1549">
        <v>213</v>
      </c>
      <c r="BF287" s="1549"/>
      <c r="BG287" s="1549"/>
      <c r="BH287" s="143">
        <f>BH285*30.2/130.2</f>
        <v>869.8156682027651</v>
      </c>
      <c r="BI287" s="1550">
        <f>BI286*30.2%</f>
        <v>173.963133640553</v>
      </c>
      <c r="BJ287" s="1550"/>
      <c r="BK287" s="1550"/>
      <c r="BL287" s="1550"/>
      <c r="BM287" s="1550"/>
      <c r="BN287" s="1550">
        <f>BN286*30.2%</f>
        <v>695.85253456221199</v>
      </c>
      <c r="BO287" s="1550"/>
      <c r="BP287" s="1550"/>
      <c r="BQ287" s="1550"/>
      <c r="BR287" s="1550"/>
      <c r="BS287" s="1550"/>
      <c r="BT287" s="1550"/>
      <c r="BU287" s="142"/>
      <c r="BV287" s="142"/>
      <c r="BW287" s="142"/>
      <c r="BX287" s="142"/>
      <c r="BY287" s="142"/>
      <c r="BZ287" s="142"/>
      <c r="CA287" s="142"/>
    </row>
    <row r="288" spans="57:90" ht="12" x14ac:dyDescent="0.2">
      <c r="BE288" s="142"/>
      <c r="BF288" s="142"/>
      <c r="BG288" s="143"/>
      <c r="BH288" s="142"/>
      <c r="BI288" s="142"/>
      <c r="BJ288" s="142"/>
      <c r="BK288" s="142"/>
      <c r="BL288" s="142"/>
      <c r="BM288" s="142"/>
      <c r="BN288" s="142"/>
      <c r="BO288" s="142"/>
      <c r="BP288" s="142"/>
      <c r="BQ288" s="142"/>
      <c r="BR288" s="142"/>
      <c r="BS288" s="142"/>
      <c r="BT288" s="142"/>
      <c r="BU288" s="142"/>
      <c r="BV288" s="142"/>
      <c r="BW288" s="142"/>
      <c r="BX288" s="142"/>
      <c r="BY288" s="142"/>
      <c r="BZ288" s="142"/>
      <c r="CA288" s="142"/>
      <c r="CF288" s="243"/>
    </row>
    <row r="289" spans="57:90" ht="8.25" customHeight="1" x14ac:dyDescent="0.2">
      <c r="BE289" s="142"/>
      <c r="BF289" s="142"/>
      <c r="BG289" s="142"/>
      <c r="BH289" s="142"/>
      <c r="BI289" s="142"/>
      <c r="BJ289" s="142"/>
      <c r="BK289" s="142"/>
      <c r="BL289" s="142"/>
      <c r="BM289" s="142"/>
      <c r="BN289" s="142"/>
      <c r="BO289" s="142"/>
      <c r="BP289" s="142"/>
      <c r="BQ289" s="142"/>
      <c r="BR289" s="142"/>
      <c r="BS289" s="142"/>
      <c r="BT289" s="142"/>
      <c r="BU289" s="142"/>
      <c r="BV289" s="142"/>
      <c r="BW289" s="142"/>
      <c r="BX289" s="142"/>
      <c r="BY289" s="142"/>
      <c r="BZ289" s="142"/>
      <c r="CA289" s="142"/>
      <c r="CG289" s="243"/>
    </row>
    <row r="293" spans="57:90" ht="12" x14ac:dyDescent="0.2">
      <c r="BE293" s="1549" t="s">
        <v>410</v>
      </c>
      <c r="BF293" s="1549"/>
      <c r="BG293" s="1549"/>
      <c r="BH293" s="1549"/>
      <c r="BI293" s="1549"/>
      <c r="BJ293" s="1549"/>
      <c r="BK293" s="1549"/>
      <c r="BL293" s="1549"/>
      <c r="BM293" s="1549"/>
      <c r="BN293" s="1549"/>
      <c r="BO293" s="1549"/>
      <c r="BP293" s="1549"/>
      <c r="BQ293" s="1549"/>
      <c r="BR293" s="1549"/>
      <c r="BS293" s="1549"/>
      <c r="BT293" s="1549"/>
      <c r="BU293" s="1549"/>
      <c r="BV293" s="1549"/>
      <c r="BW293" s="1549"/>
      <c r="BX293" s="1549"/>
      <c r="BY293" s="1549"/>
      <c r="BZ293" s="1549"/>
      <c r="CA293" s="1549"/>
    </row>
    <row r="294" spans="57:90" ht="12" x14ac:dyDescent="0.2">
      <c r="BE294" s="1549" t="s">
        <v>126</v>
      </c>
      <c r="BF294" s="1549"/>
      <c r="BG294" s="1549"/>
      <c r="BH294" s="1551">
        <f>250*15</f>
        <v>3750</v>
      </c>
      <c r="BI294" s="1551"/>
      <c r="BJ294" s="1551"/>
      <c r="BK294" s="1551"/>
      <c r="BL294" s="1551"/>
      <c r="BM294" s="141" t="s">
        <v>127</v>
      </c>
      <c r="BN294" s="141"/>
      <c r="BO294" s="141"/>
      <c r="BP294" s="141"/>
      <c r="BQ294" s="141"/>
      <c r="BR294" s="141"/>
      <c r="BS294" s="141"/>
      <c r="BT294" s="141"/>
      <c r="BU294" s="142"/>
      <c r="BV294" s="142"/>
      <c r="BW294" s="142"/>
      <c r="BX294" s="142"/>
      <c r="BY294" s="142"/>
      <c r="BZ294" s="142"/>
      <c r="CA294" s="142"/>
    </row>
    <row r="295" spans="57:90" ht="15" x14ac:dyDescent="0.25">
      <c r="BE295" s="1552">
        <v>0.6</v>
      </c>
      <c r="BF295" s="1549"/>
      <c r="BG295" s="1549"/>
      <c r="BH295" s="143">
        <f>BH294*BE295</f>
        <v>2250</v>
      </c>
      <c r="BI295" s="1549" t="s">
        <v>128</v>
      </c>
      <c r="BJ295" s="1549"/>
      <c r="BK295" s="1549"/>
      <c r="BL295" s="1549"/>
      <c r="BM295" s="1549"/>
      <c r="BN295" s="1549" t="s">
        <v>129</v>
      </c>
      <c r="BO295" s="1549"/>
      <c r="BP295" s="1549"/>
      <c r="BQ295" s="1549"/>
      <c r="BR295" s="1549"/>
      <c r="BS295" s="1549"/>
      <c r="BT295" s="1549"/>
      <c r="BU295" s="142"/>
      <c r="BV295" s="142"/>
      <c r="BW295" s="142"/>
      <c r="BX295" s="142"/>
      <c r="BY295" s="142"/>
      <c r="BZ295" s="142"/>
      <c r="CA295" s="142"/>
      <c r="CC295" s="909" t="s">
        <v>368</v>
      </c>
      <c r="CD295" s="443"/>
      <c r="CE295" s="443"/>
      <c r="CF295" s="443"/>
      <c r="CH295" s="909" t="s">
        <v>366</v>
      </c>
      <c r="CI295" s="443"/>
      <c r="CJ295" s="443"/>
      <c r="CK295" s="443"/>
      <c r="CL295" s="443"/>
    </row>
    <row r="296" spans="57:90" ht="15" x14ac:dyDescent="0.25">
      <c r="BE296" s="1549">
        <v>211</v>
      </c>
      <c r="BF296" s="1549"/>
      <c r="BG296" s="1549"/>
      <c r="BH296" s="143">
        <f>BH295-BH297</f>
        <v>1728.110599078341</v>
      </c>
      <c r="BI296" s="1550">
        <f>BH296*0.2</f>
        <v>345.62211981566821</v>
      </c>
      <c r="BJ296" s="1550"/>
      <c r="BK296" s="1550"/>
      <c r="BL296" s="1550"/>
      <c r="BM296" s="1550"/>
      <c r="BN296" s="436">
        <f>BH296-BI296</f>
        <v>1382.4884792626729</v>
      </c>
      <c r="BO296" s="445"/>
      <c r="BP296" s="445"/>
      <c r="BQ296" s="445"/>
      <c r="BR296" s="445"/>
      <c r="BS296" s="445"/>
      <c r="BT296" s="445"/>
      <c r="BU296" s="142"/>
      <c r="BV296" s="142"/>
      <c r="BW296" s="142"/>
      <c r="BX296" s="142"/>
      <c r="BY296" s="142"/>
      <c r="BZ296" s="142"/>
      <c r="CA296" s="142"/>
      <c r="CC296" s="1553">
        <f>BI296*15/20</f>
        <v>259.21658986175117</v>
      </c>
      <c r="CD296" s="446"/>
      <c r="CE296" s="446"/>
      <c r="CF296" s="446"/>
      <c r="CH296" s="1553">
        <f>BI296*5/20</f>
        <v>86.405529953917053</v>
      </c>
      <c r="CI296" s="446"/>
      <c r="CJ296" s="446"/>
      <c r="CK296" s="446"/>
      <c r="CL296" s="446"/>
    </row>
    <row r="297" spans="57:90" ht="12" x14ac:dyDescent="0.2">
      <c r="BE297" s="1549">
        <v>213</v>
      </c>
      <c r="BF297" s="1549"/>
      <c r="BG297" s="1549"/>
      <c r="BH297" s="143">
        <f>BH295*30.2/130.2</f>
        <v>521.88940092165899</v>
      </c>
      <c r="BI297" s="1550">
        <f>BI296*30.2%</f>
        <v>104.3778801843318</v>
      </c>
      <c r="BJ297" s="1550"/>
      <c r="BK297" s="1550"/>
      <c r="BL297" s="1550"/>
      <c r="BM297" s="1550"/>
      <c r="BN297" s="1550">
        <f>BN296*30.2%</f>
        <v>417.5115207373272</v>
      </c>
      <c r="BO297" s="1550"/>
      <c r="BP297" s="1550"/>
      <c r="BQ297" s="1550"/>
      <c r="BR297" s="1550"/>
      <c r="BS297" s="1550"/>
      <c r="BT297" s="1550"/>
      <c r="BU297" s="142"/>
      <c r="BV297" s="142"/>
      <c r="BW297" s="142"/>
      <c r="BX297" s="142"/>
      <c r="BY297" s="142"/>
      <c r="BZ297" s="142"/>
      <c r="CA297" s="142"/>
    </row>
    <row r="298" spans="57:90" ht="12" x14ac:dyDescent="0.2">
      <c r="BE298" s="142"/>
      <c r="BF298" s="142"/>
      <c r="BG298" s="143"/>
      <c r="BH298" s="142"/>
      <c r="BI298" s="142"/>
      <c r="BJ298" s="142"/>
      <c r="BK298" s="142"/>
      <c r="BL298" s="142"/>
      <c r="BM298" s="142"/>
      <c r="BN298" s="142"/>
      <c r="BO298" s="142"/>
      <c r="BP298" s="142"/>
      <c r="BQ298" s="142"/>
      <c r="BR298" s="142"/>
      <c r="BS298" s="142"/>
      <c r="BT298" s="142"/>
      <c r="BU298" s="142"/>
      <c r="BV298" s="142"/>
      <c r="BW298" s="142"/>
      <c r="BX298" s="142"/>
      <c r="BY298" s="142"/>
      <c r="BZ298" s="142"/>
      <c r="CA298" s="142"/>
      <c r="CF298" s="243"/>
    </row>
    <row r="299" spans="57:90" ht="12" x14ac:dyDescent="0.2">
      <c r="BE299" s="142"/>
      <c r="BF299" s="142"/>
      <c r="BG299" s="142"/>
      <c r="BH299" s="142"/>
      <c r="BI299" s="142"/>
      <c r="BJ299" s="142"/>
      <c r="BK299" s="142"/>
      <c r="BL299" s="142"/>
      <c r="BM299" s="142"/>
      <c r="BN299" s="142"/>
      <c r="BO299" s="142"/>
      <c r="BP299" s="142"/>
      <c r="BQ299" s="142"/>
      <c r="BR299" s="142"/>
      <c r="BS299" s="142"/>
      <c r="BT299" s="142"/>
      <c r="BU299" s="142"/>
      <c r="BV299" s="142"/>
      <c r="BW299" s="142"/>
      <c r="BX299" s="142"/>
      <c r="BY299" s="142"/>
      <c r="BZ299" s="142"/>
      <c r="CA299" s="142"/>
      <c r="CG299" s="243"/>
    </row>
    <row r="302" spans="57:90" ht="12" x14ac:dyDescent="0.2">
      <c r="BE302" s="1549" t="s">
        <v>412</v>
      </c>
      <c r="BF302" s="1549"/>
      <c r="BG302" s="1549"/>
      <c r="BH302" s="1549"/>
      <c r="BI302" s="1549"/>
      <c r="BJ302" s="1549"/>
      <c r="BK302" s="1549"/>
      <c r="BL302" s="1549"/>
      <c r="BM302" s="1549"/>
      <c r="BN302" s="1549"/>
      <c r="BO302" s="1549"/>
      <c r="BP302" s="1549"/>
      <c r="BQ302" s="1549"/>
      <c r="BR302" s="1549"/>
      <c r="BS302" s="1549"/>
      <c r="BT302" s="1549"/>
      <c r="BU302" s="1549"/>
      <c r="BV302" s="1549"/>
      <c r="BW302" s="1549"/>
      <c r="BX302" s="1549"/>
      <c r="BY302" s="1549"/>
      <c r="BZ302" s="1549"/>
      <c r="CA302" s="1549"/>
    </row>
    <row r="303" spans="57:90" ht="12" x14ac:dyDescent="0.2">
      <c r="BE303" s="1549" t="s">
        <v>126</v>
      </c>
      <c r="BF303" s="1549"/>
      <c r="BG303" s="1549"/>
      <c r="BH303" s="1551">
        <f>250*11</f>
        <v>2750</v>
      </c>
      <c r="BI303" s="1551"/>
      <c r="BJ303" s="1551"/>
      <c r="BK303" s="1551"/>
      <c r="BL303" s="1551"/>
      <c r="BM303" s="141" t="s">
        <v>127</v>
      </c>
      <c r="BN303" s="141"/>
      <c r="BO303" s="141"/>
      <c r="BP303" s="141"/>
      <c r="BQ303" s="141"/>
      <c r="BR303" s="141"/>
      <c r="BS303" s="141"/>
      <c r="BT303" s="141"/>
      <c r="BU303" s="142"/>
      <c r="BV303" s="142"/>
      <c r="BW303" s="142"/>
      <c r="BX303" s="142"/>
      <c r="BY303" s="142"/>
      <c r="BZ303" s="142"/>
      <c r="CA303" s="142"/>
    </row>
    <row r="304" spans="57:90" ht="15" x14ac:dyDescent="0.25">
      <c r="BE304" s="1552">
        <v>0.6</v>
      </c>
      <c r="BF304" s="1549"/>
      <c r="BG304" s="1549"/>
      <c r="BH304" s="143">
        <f>BH303*BE304</f>
        <v>1650</v>
      </c>
      <c r="BI304" s="1549" t="s">
        <v>128</v>
      </c>
      <c r="BJ304" s="1549"/>
      <c r="BK304" s="1549"/>
      <c r="BL304" s="1549"/>
      <c r="BM304" s="1549"/>
      <c r="BN304" s="1549" t="s">
        <v>129</v>
      </c>
      <c r="BO304" s="1549"/>
      <c r="BP304" s="1549"/>
      <c r="BQ304" s="1549"/>
      <c r="BR304" s="1549"/>
      <c r="BS304" s="1549"/>
      <c r="BT304" s="1549"/>
      <c r="BU304" s="142"/>
      <c r="BV304" s="142"/>
      <c r="BW304" s="142"/>
      <c r="BX304" s="142"/>
      <c r="BY304" s="142"/>
      <c r="BZ304" s="142"/>
      <c r="CA304" s="142"/>
      <c r="CC304" s="909" t="s">
        <v>368</v>
      </c>
      <c r="CD304" s="443"/>
      <c r="CE304" s="443"/>
      <c r="CF304" s="443"/>
      <c r="CH304" s="909" t="s">
        <v>366</v>
      </c>
      <c r="CI304" s="443"/>
      <c r="CJ304" s="443"/>
      <c r="CK304" s="443"/>
      <c r="CL304" s="443"/>
    </row>
    <row r="305" spans="57:90" ht="15" x14ac:dyDescent="0.25">
      <c r="BE305" s="1549">
        <v>211</v>
      </c>
      <c r="BF305" s="1549"/>
      <c r="BG305" s="1549"/>
      <c r="BH305" s="143">
        <f>BH304-BH306</f>
        <v>1267.2811059907833</v>
      </c>
      <c r="BI305" s="1550">
        <f>BH305*0.2</f>
        <v>253.45622119815667</v>
      </c>
      <c r="BJ305" s="1550"/>
      <c r="BK305" s="1550"/>
      <c r="BL305" s="1550"/>
      <c r="BM305" s="1550"/>
      <c r="BN305" s="436">
        <f>BH305-BI305</f>
        <v>1013.8248847926267</v>
      </c>
      <c r="BO305" s="445"/>
      <c r="BP305" s="445"/>
      <c r="BQ305" s="445"/>
      <c r="BR305" s="445"/>
      <c r="BS305" s="445"/>
      <c r="BT305" s="445"/>
      <c r="BU305" s="142"/>
      <c r="BV305" s="142"/>
      <c r="BW305" s="142"/>
      <c r="BX305" s="142"/>
      <c r="BY305" s="142"/>
      <c r="BZ305" s="142"/>
      <c r="CA305" s="142"/>
      <c r="CC305" s="1553">
        <f>BI305*15/20</f>
        <v>190.09216589861751</v>
      </c>
      <c r="CD305" s="446"/>
      <c r="CE305" s="446"/>
      <c r="CF305" s="446"/>
      <c r="CH305" s="1553">
        <f>BI305*5/20</f>
        <v>63.364055299539167</v>
      </c>
      <c r="CI305" s="446"/>
      <c r="CJ305" s="446"/>
      <c r="CK305" s="446"/>
      <c r="CL305" s="446"/>
    </row>
    <row r="306" spans="57:90" ht="12" x14ac:dyDescent="0.2">
      <c r="BE306" s="1549">
        <v>213</v>
      </c>
      <c r="BF306" s="1549"/>
      <c r="BG306" s="1549"/>
      <c r="BH306" s="143">
        <f>BH304*30.2/130.2</f>
        <v>382.71889400921663</v>
      </c>
      <c r="BI306" s="1550">
        <f>BI305*30.2%</f>
        <v>76.543778801843317</v>
      </c>
      <c r="BJ306" s="1550"/>
      <c r="BK306" s="1550"/>
      <c r="BL306" s="1550"/>
      <c r="BM306" s="1550"/>
      <c r="BN306" s="1550">
        <f>BN305*30.2%</f>
        <v>306.17511520737327</v>
      </c>
      <c r="BO306" s="1550"/>
      <c r="BP306" s="1550"/>
      <c r="BQ306" s="1550"/>
      <c r="BR306" s="1550"/>
      <c r="BS306" s="1550"/>
      <c r="BT306" s="1550"/>
      <c r="BU306" s="142"/>
      <c r="BV306" s="142"/>
      <c r="BW306" s="142"/>
      <c r="BX306" s="142"/>
      <c r="BY306" s="142"/>
      <c r="BZ306" s="142"/>
      <c r="CA306" s="142"/>
    </row>
    <row r="307" spans="57:90" ht="12" x14ac:dyDescent="0.2">
      <c r="BE307" s="142"/>
      <c r="BF307" s="142"/>
      <c r="BG307" s="143"/>
      <c r="BH307" s="142"/>
      <c r="BI307" s="142"/>
      <c r="BJ307" s="142"/>
      <c r="BK307" s="142"/>
      <c r="BL307" s="142"/>
      <c r="BM307" s="142"/>
      <c r="BN307" s="142"/>
      <c r="BO307" s="142"/>
      <c r="BP307" s="142"/>
      <c r="BQ307" s="142"/>
      <c r="BR307" s="142"/>
      <c r="BS307" s="142"/>
      <c r="BT307" s="142"/>
      <c r="BU307" s="142"/>
      <c r="BV307" s="142"/>
      <c r="BW307" s="142"/>
      <c r="BX307" s="142"/>
      <c r="BY307" s="142"/>
      <c r="BZ307" s="142"/>
      <c r="CA307" s="142"/>
      <c r="CF307" s="243"/>
    </row>
    <row r="308" spans="57:90" ht="12" x14ac:dyDescent="0.2">
      <c r="BE308" s="142"/>
      <c r="BF308" s="142"/>
      <c r="BG308" s="142"/>
      <c r="BH308" s="142"/>
      <c r="BI308" s="142"/>
      <c r="BJ308" s="142"/>
      <c r="BK308" s="142"/>
      <c r="BL308" s="142"/>
      <c r="BM308" s="142"/>
      <c r="BN308" s="142"/>
      <c r="BO308" s="142"/>
      <c r="BP308" s="142"/>
      <c r="BQ308" s="142"/>
      <c r="BR308" s="142"/>
      <c r="BS308" s="142"/>
      <c r="BT308" s="142"/>
      <c r="BU308" s="142"/>
      <c r="BV308" s="142"/>
      <c r="BW308" s="142"/>
      <c r="BX308" s="142"/>
      <c r="BY308" s="142"/>
      <c r="BZ308" s="142"/>
      <c r="CA308" s="142"/>
      <c r="CG308" s="243"/>
    </row>
  </sheetData>
  <mergeCells count="673">
    <mergeCell ref="BE268:BG268"/>
    <mergeCell ref="BI268:BM268"/>
    <mergeCell ref="BN268:BT268"/>
    <mergeCell ref="CC266:CF266"/>
    <mergeCell ref="CC267:CF267"/>
    <mergeCell ref="CH266:CL266"/>
    <mergeCell ref="BE264:CA264"/>
    <mergeCell ref="BE265:BG265"/>
    <mergeCell ref="BH265:BL265"/>
    <mergeCell ref="BE266:BG266"/>
    <mergeCell ref="BI266:BM266"/>
    <mergeCell ref="BN266:BT266"/>
    <mergeCell ref="BE267:BG267"/>
    <mergeCell ref="CH267:CL267"/>
    <mergeCell ref="BI267:BM267"/>
    <mergeCell ref="BN267:BT267"/>
    <mergeCell ref="BE257:BG257"/>
    <mergeCell ref="BI257:BM257"/>
    <mergeCell ref="BN257:BT257"/>
    <mergeCell ref="BE258:BG258"/>
    <mergeCell ref="BI258:BM258"/>
    <mergeCell ref="BN258:BT258"/>
    <mergeCell ref="BE259:BG259"/>
    <mergeCell ref="BI259:BM259"/>
    <mergeCell ref="BN259:BT259"/>
    <mergeCell ref="BE208:BG208"/>
    <mergeCell ref="BI208:BM208"/>
    <mergeCell ref="BN208:BT208"/>
    <mergeCell ref="BE204:CA204"/>
    <mergeCell ref="BE205:BG205"/>
    <mergeCell ref="BH205:BL205"/>
    <mergeCell ref="BE206:BG206"/>
    <mergeCell ref="BI206:BM206"/>
    <mergeCell ref="BN206:BT206"/>
    <mergeCell ref="BE207:BG207"/>
    <mergeCell ref="BI207:BM207"/>
    <mergeCell ref="BN207:BT207"/>
    <mergeCell ref="CC200:CE200"/>
    <mergeCell ref="CG200:CK200"/>
    <mergeCell ref="CL200:CR200"/>
    <mergeCell ref="CC196:CY196"/>
    <mergeCell ref="CC197:CE197"/>
    <mergeCell ref="CF197:CJ197"/>
    <mergeCell ref="CC198:CE198"/>
    <mergeCell ref="CG198:CK198"/>
    <mergeCell ref="CL198:CR198"/>
    <mergeCell ref="CC199:CE199"/>
    <mergeCell ref="CG199:CK199"/>
    <mergeCell ref="CL199:CR199"/>
    <mergeCell ref="AQ2:AS2"/>
    <mergeCell ref="AT2:AU2"/>
    <mergeCell ref="AW2:AX2"/>
    <mergeCell ref="AY2:BC2"/>
    <mergeCell ref="A12:S12"/>
    <mergeCell ref="U12:W12"/>
    <mergeCell ref="A14:S14"/>
    <mergeCell ref="U14:W14"/>
    <mergeCell ref="A16:S16"/>
    <mergeCell ref="U16:W16"/>
    <mergeCell ref="A7:BA7"/>
    <mergeCell ref="A8:BA8"/>
    <mergeCell ref="C10:E10"/>
    <mergeCell ref="G10:L10"/>
    <mergeCell ref="N10:Q10"/>
    <mergeCell ref="AH10:AI10"/>
    <mergeCell ref="AJ10:AL10"/>
    <mergeCell ref="AN10:AT10"/>
    <mergeCell ref="AV10:AY10"/>
    <mergeCell ref="Y16:AA16"/>
    <mergeCell ref="AX19:BB19"/>
    <mergeCell ref="A20:G22"/>
    <mergeCell ref="H20:AB22"/>
    <mergeCell ref="AC20:AG22"/>
    <mergeCell ref="AH20:AM22"/>
    <mergeCell ref="AN20:AR22"/>
    <mergeCell ref="AS20:AW22"/>
    <mergeCell ref="AX20:BB22"/>
    <mergeCell ref="H34:M34"/>
    <mergeCell ref="AS34:AW34"/>
    <mergeCell ref="AX34:BB34"/>
    <mergeCell ref="AO35:AR35"/>
    <mergeCell ref="AS35:AW35"/>
    <mergeCell ref="AX35:BB35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H51:K51"/>
    <mergeCell ref="AS51:AW51"/>
    <mergeCell ref="AX51:BB51"/>
    <mergeCell ref="AO52:AR52"/>
    <mergeCell ref="AS52:AW52"/>
    <mergeCell ref="AX52:BB52"/>
    <mergeCell ref="AX37:BB39"/>
    <mergeCell ref="A40:BB4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37:G39"/>
    <mergeCell ref="H37:AB39"/>
    <mergeCell ref="AC37:AG39"/>
    <mergeCell ref="AH37:AM39"/>
    <mergeCell ref="AN37:AR39"/>
    <mergeCell ref="AS37:AW39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AX63:BB67"/>
    <mergeCell ref="H64:M64"/>
    <mergeCell ref="N64:P64"/>
    <mergeCell ref="R64:V64"/>
    <mergeCell ref="I66:K66"/>
    <mergeCell ref="R59:V59"/>
    <mergeCell ref="I61:K61"/>
    <mergeCell ref="M61:O61"/>
    <mergeCell ref="Q61:S61"/>
    <mergeCell ref="U61:W61"/>
    <mergeCell ref="Z61:AB61"/>
    <mergeCell ref="M66:O66"/>
    <mergeCell ref="Q66:S66"/>
    <mergeCell ref="U66:W66"/>
    <mergeCell ref="Z66:AB66"/>
    <mergeCell ref="A68:G72"/>
    <mergeCell ref="AC68:AG72"/>
    <mergeCell ref="U71:W71"/>
    <mergeCell ref="Z71:AB71"/>
    <mergeCell ref="A63:G67"/>
    <mergeCell ref="AC63:AG67"/>
    <mergeCell ref="AH73:AM77"/>
    <mergeCell ref="AN73:AR77"/>
    <mergeCell ref="AS73:AW77"/>
    <mergeCell ref="AH63:AM67"/>
    <mergeCell ref="AN63:AR67"/>
    <mergeCell ref="AS63:AW67"/>
    <mergeCell ref="AX73:BB77"/>
    <mergeCell ref="H74:M74"/>
    <mergeCell ref="N74:P74"/>
    <mergeCell ref="R74:V74"/>
    <mergeCell ref="I76:K76"/>
    <mergeCell ref="AH68:AM72"/>
    <mergeCell ref="AN68:AR72"/>
    <mergeCell ref="AS68:AW72"/>
    <mergeCell ref="AX68:BB72"/>
    <mergeCell ref="H69:M69"/>
    <mergeCell ref="N69:P69"/>
    <mergeCell ref="R69:V69"/>
    <mergeCell ref="I71:K71"/>
    <mergeCell ref="M71:O71"/>
    <mergeCell ref="Q71:S71"/>
    <mergeCell ref="M76:O76"/>
    <mergeCell ref="Q76:S76"/>
    <mergeCell ref="U76:W76"/>
    <mergeCell ref="Z76:AB76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AX78:BB82"/>
    <mergeCell ref="H79:M79"/>
    <mergeCell ref="N79:P79"/>
    <mergeCell ref="R79:V79"/>
    <mergeCell ref="I81:K81"/>
    <mergeCell ref="M81:O81"/>
    <mergeCell ref="Q81:S81"/>
    <mergeCell ref="AS83:AW83"/>
    <mergeCell ref="AX83:BB83"/>
    <mergeCell ref="AO84:AR84"/>
    <mergeCell ref="AS84:AW84"/>
    <mergeCell ref="AX84:BB84"/>
    <mergeCell ref="A86:N86"/>
    <mergeCell ref="O86:AN86"/>
    <mergeCell ref="AO86:AU86"/>
    <mergeCell ref="AV86:BB86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103:Z103"/>
    <mergeCell ref="AA103:AF103"/>
    <mergeCell ref="AG103:AL103"/>
    <mergeCell ref="AM103:AT103"/>
    <mergeCell ref="AU103:BB103"/>
    <mergeCell ref="AU106:BB106"/>
    <mergeCell ref="A107:Z107"/>
    <mergeCell ref="AA107:AF107"/>
    <mergeCell ref="AU107:BB107"/>
    <mergeCell ref="A108:Z108"/>
    <mergeCell ref="AA108:AF108"/>
    <mergeCell ref="AU108:BB108"/>
    <mergeCell ref="A104:Z104"/>
    <mergeCell ref="AA104:AF104"/>
    <mergeCell ref="AG104:AL124"/>
    <mergeCell ref="AM104:AT124"/>
    <mergeCell ref="AU104:BB104"/>
    <mergeCell ref="A105:Z105"/>
    <mergeCell ref="AA105:AF105"/>
    <mergeCell ref="AU105:BB105"/>
    <mergeCell ref="A106:Z106"/>
    <mergeCell ref="AA106:AF106"/>
    <mergeCell ref="A111:Z111"/>
    <mergeCell ref="AA111:AF111"/>
    <mergeCell ref="AU111:BB111"/>
    <mergeCell ref="A112:Z112"/>
    <mergeCell ref="AA112:AF112"/>
    <mergeCell ref="AU112:BB112"/>
    <mergeCell ref="A109:Z109"/>
    <mergeCell ref="AA109:AF109"/>
    <mergeCell ref="AU109:BB109"/>
    <mergeCell ref="A110:Z110"/>
    <mergeCell ref="AA110:AF110"/>
    <mergeCell ref="AU110:BB110"/>
    <mergeCell ref="A115:Z115"/>
    <mergeCell ref="AA115:AF115"/>
    <mergeCell ref="AU115:BB115"/>
    <mergeCell ref="A116:Z116"/>
    <mergeCell ref="AA116:AF116"/>
    <mergeCell ref="AU116:BB116"/>
    <mergeCell ref="A113:Z113"/>
    <mergeCell ref="AA113:AF113"/>
    <mergeCell ref="AU113:BB113"/>
    <mergeCell ref="A114:Z114"/>
    <mergeCell ref="AA114:AF114"/>
    <mergeCell ref="AU114:BB114"/>
    <mergeCell ref="A119:Z119"/>
    <mergeCell ref="AA119:AF119"/>
    <mergeCell ref="AU119:BB119"/>
    <mergeCell ref="A120:Z120"/>
    <mergeCell ref="AA120:AF120"/>
    <mergeCell ref="AU120:BB120"/>
    <mergeCell ref="A117:Z117"/>
    <mergeCell ref="AA117:AF117"/>
    <mergeCell ref="AU117:BB117"/>
    <mergeCell ref="A118:Z118"/>
    <mergeCell ref="AA118:AF118"/>
    <mergeCell ref="AU118:BB118"/>
    <mergeCell ref="A123:Z123"/>
    <mergeCell ref="AA123:AF123"/>
    <mergeCell ref="AU123:BB123"/>
    <mergeCell ref="A124:Z124"/>
    <mergeCell ref="AA124:AF124"/>
    <mergeCell ref="AU124:BB124"/>
    <mergeCell ref="A121:Z121"/>
    <mergeCell ref="AA121:AF121"/>
    <mergeCell ref="AU121:BB121"/>
    <mergeCell ref="A122:Z122"/>
    <mergeCell ref="AA122:AF122"/>
    <mergeCell ref="AU122:BB122"/>
    <mergeCell ref="A125:Z125"/>
    <mergeCell ref="AA125:AF125"/>
    <mergeCell ref="AG125:AL125"/>
    <mergeCell ref="AM125:AT125"/>
    <mergeCell ref="AU125:BB125"/>
    <mergeCell ref="A129:Z129"/>
    <mergeCell ref="AA129:AF129"/>
    <mergeCell ref="AG129:AL129"/>
    <mergeCell ref="AM129:AT129"/>
    <mergeCell ref="AU129:BB129"/>
    <mergeCell ref="A132:Z132"/>
    <mergeCell ref="AA132:AF132"/>
    <mergeCell ref="AU132:BB132"/>
    <mergeCell ref="A133:Z133"/>
    <mergeCell ref="AA133:AF133"/>
    <mergeCell ref="AU133:BB133"/>
    <mergeCell ref="A130:Z130"/>
    <mergeCell ref="AA130:AF130"/>
    <mergeCell ref="AG130:AL130"/>
    <mergeCell ref="AM130:AT130"/>
    <mergeCell ref="AU130:BB130"/>
    <mergeCell ref="A131:Z131"/>
    <mergeCell ref="AA131:AF131"/>
    <mergeCell ref="AG131:AL136"/>
    <mergeCell ref="AM131:AT136"/>
    <mergeCell ref="AU131:BB131"/>
    <mergeCell ref="A136:Z136"/>
    <mergeCell ref="AA136:AF136"/>
    <mergeCell ref="AU136:BB136"/>
    <mergeCell ref="A137:Z137"/>
    <mergeCell ref="AA137:AF137"/>
    <mergeCell ref="AG137:AL137"/>
    <mergeCell ref="AM137:AT137"/>
    <mergeCell ref="AU137:BB137"/>
    <mergeCell ref="A134:Z134"/>
    <mergeCell ref="AA134:AF134"/>
    <mergeCell ref="AU134:BB134"/>
    <mergeCell ref="A135:Z135"/>
    <mergeCell ref="AA135:AF135"/>
    <mergeCell ref="AU135:BB135"/>
    <mergeCell ref="AD141:AP141"/>
    <mergeCell ref="AQ141:AT141"/>
    <mergeCell ref="AU141:AX141"/>
    <mergeCell ref="AY141:BB141"/>
    <mergeCell ref="H142:L142"/>
    <mergeCell ref="M142:Q142"/>
    <mergeCell ref="AD142:AI142"/>
    <mergeCell ref="AJ142:AP142"/>
    <mergeCell ref="AQ142:AT142"/>
    <mergeCell ref="AU142:AX142"/>
    <mergeCell ref="H141:L141"/>
    <mergeCell ref="M141:Q141"/>
    <mergeCell ref="R141:U142"/>
    <mergeCell ref="V141:Y142"/>
    <mergeCell ref="Z141:AC142"/>
    <mergeCell ref="AY142:BB142"/>
    <mergeCell ref="AU145:AX145"/>
    <mergeCell ref="AY145:BB145"/>
    <mergeCell ref="A146:G146"/>
    <mergeCell ref="H146:L146"/>
    <mergeCell ref="A143:G143"/>
    <mergeCell ref="H143:L143"/>
    <mergeCell ref="M143:Q143"/>
    <mergeCell ref="R143:U143"/>
    <mergeCell ref="V143:Y143"/>
    <mergeCell ref="Z143:AC143"/>
    <mergeCell ref="AD143:AI143"/>
    <mergeCell ref="AJ143:AP143"/>
    <mergeCell ref="AQ143:AT143"/>
    <mergeCell ref="AJ147:AP147"/>
    <mergeCell ref="AQ147:AT147"/>
    <mergeCell ref="AQ148:AT148"/>
    <mergeCell ref="AU148:AX148"/>
    <mergeCell ref="A141:G142"/>
    <mergeCell ref="AU143:AX143"/>
    <mergeCell ref="AY143:BB143"/>
    <mergeCell ref="A144:G144"/>
    <mergeCell ref="H144:L144"/>
    <mergeCell ref="M144:Q144"/>
    <mergeCell ref="R144:U147"/>
    <mergeCell ref="V144:Y147"/>
    <mergeCell ref="Z144:AC147"/>
    <mergeCell ref="AD144:AI144"/>
    <mergeCell ref="AJ144:AP144"/>
    <mergeCell ref="AQ144:AT144"/>
    <mergeCell ref="AU144:AX144"/>
    <mergeCell ref="AY144:BB144"/>
    <mergeCell ref="A145:G145"/>
    <mergeCell ref="H145:L145"/>
    <mergeCell ref="M145:Q145"/>
    <mergeCell ref="AD145:AI145"/>
    <mergeCell ref="AJ145:AP145"/>
    <mergeCell ref="AQ145:AT145"/>
    <mergeCell ref="BE150:CA150"/>
    <mergeCell ref="A150:G150"/>
    <mergeCell ref="H150:L150"/>
    <mergeCell ref="M150:Q150"/>
    <mergeCell ref="M146:Q146"/>
    <mergeCell ref="AD146:AI146"/>
    <mergeCell ref="AJ146:AP146"/>
    <mergeCell ref="AQ146:AT146"/>
    <mergeCell ref="AU146:AX146"/>
    <mergeCell ref="AY146:BB146"/>
    <mergeCell ref="AU147:AX147"/>
    <mergeCell ref="AY147:BB147"/>
    <mergeCell ref="A148:G148"/>
    <mergeCell ref="H148:L148"/>
    <mergeCell ref="M148:Q148"/>
    <mergeCell ref="R148:U148"/>
    <mergeCell ref="V148:Y148"/>
    <mergeCell ref="Z148:AC148"/>
    <mergeCell ref="AD148:AI148"/>
    <mergeCell ref="AJ148:AP148"/>
    <mergeCell ref="A147:G147"/>
    <mergeCell ref="H147:L147"/>
    <mergeCell ref="M147:Q147"/>
    <mergeCell ref="AD147:AI147"/>
    <mergeCell ref="AQ150:AT150"/>
    <mergeCell ref="AY148:BB148"/>
    <mergeCell ref="A149:F149"/>
    <mergeCell ref="H149:L149"/>
    <mergeCell ref="M149:Q149"/>
    <mergeCell ref="R149:U149"/>
    <mergeCell ref="V149:Y149"/>
    <mergeCell ref="Z149:AC149"/>
    <mergeCell ref="AD149:AI149"/>
    <mergeCell ref="AJ149:AP149"/>
    <mergeCell ref="AQ149:AT149"/>
    <mergeCell ref="AU149:AX149"/>
    <mergeCell ref="AY149:BB149"/>
    <mergeCell ref="AU150:AX150"/>
    <mergeCell ref="AY150:BB150"/>
    <mergeCell ref="BE167:CA167"/>
    <mergeCell ref="R150:U150"/>
    <mergeCell ref="V150:Y150"/>
    <mergeCell ref="Z150:AC150"/>
    <mergeCell ref="B154:S155"/>
    <mergeCell ref="AM154:BC155"/>
    <mergeCell ref="BE154:BG154"/>
    <mergeCell ref="BI154:BM154"/>
    <mergeCell ref="BN154:BT154"/>
    <mergeCell ref="BE158:CA158"/>
    <mergeCell ref="BN152:BT152"/>
    <mergeCell ref="B153:S153"/>
    <mergeCell ref="BC153:BD153"/>
    <mergeCell ref="BE153:BG153"/>
    <mergeCell ref="BI153:BM153"/>
    <mergeCell ref="BN153:BT153"/>
    <mergeCell ref="BC152:BD152"/>
    <mergeCell ref="BE152:BG152"/>
    <mergeCell ref="BI152:BM152"/>
    <mergeCell ref="BC151:BD151"/>
    <mergeCell ref="BE151:BG151"/>
    <mergeCell ref="BH151:BL151"/>
    <mergeCell ref="AD150:AI150"/>
    <mergeCell ref="AJ150:AP150"/>
    <mergeCell ref="BE162:BG162"/>
    <mergeCell ref="BI162:BM162"/>
    <mergeCell ref="BN162:BT162"/>
    <mergeCell ref="BE166:CA166"/>
    <mergeCell ref="BE159:BG159"/>
    <mergeCell ref="BH159:BL159"/>
    <mergeCell ref="BE160:BG160"/>
    <mergeCell ref="BI160:BM160"/>
    <mergeCell ref="BN160:BT160"/>
    <mergeCell ref="BE161:BG161"/>
    <mergeCell ref="BI161:BM161"/>
    <mergeCell ref="BN161:BT161"/>
    <mergeCell ref="BE170:BG170"/>
    <mergeCell ref="BI170:BM170"/>
    <mergeCell ref="BN170:BT170"/>
    <mergeCell ref="BE174:CA174"/>
    <mergeCell ref="BE175:BG175"/>
    <mergeCell ref="BH175:BL175"/>
    <mergeCell ref="BE168:BG168"/>
    <mergeCell ref="BE169:BG169"/>
    <mergeCell ref="BI169:BM169"/>
    <mergeCell ref="BN169:BT169"/>
    <mergeCell ref="BH168:BL168"/>
    <mergeCell ref="BE171:BG171"/>
    <mergeCell ref="BI171:BM171"/>
    <mergeCell ref="BN171:BT171"/>
    <mergeCell ref="BE178:BG178"/>
    <mergeCell ref="BI178:BM178"/>
    <mergeCell ref="BN178:BT178"/>
    <mergeCell ref="BE182:CA182"/>
    <mergeCell ref="BE183:BG183"/>
    <mergeCell ref="BH183:BL183"/>
    <mergeCell ref="BE176:BG176"/>
    <mergeCell ref="BI176:BM176"/>
    <mergeCell ref="BN176:BT176"/>
    <mergeCell ref="BE177:BG177"/>
    <mergeCell ref="BI177:BM177"/>
    <mergeCell ref="BN177:BT177"/>
    <mergeCell ref="BE186:BG186"/>
    <mergeCell ref="BI186:BM186"/>
    <mergeCell ref="BN186:BT186"/>
    <mergeCell ref="BE189:CA189"/>
    <mergeCell ref="BE190:BG190"/>
    <mergeCell ref="BH190:BL190"/>
    <mergeCell ref="BE184:BG184"/>
    <mergeCell ref="BI184:BM184"/>
    <mergeCell ref="BN184:BT184"/>
    <mergeCell ref="BE185:BG185"/>
    <mergeCell ref="BI185:BM185"/>
    <mergeCell ref="BN185:BT185"/>
    <mergeCell ref="BE193:BG193"/>
    <mergeCell ref="BI193:BM193"/>
    <mergeCell ref="BN193:BT193"/>
    <mergeCell ref="BE191:BG191"/>
    <mergeCell ref="BI191:BM191"/>
    <mergeCell ref="BN191:BT191"/>
    <mergeCell ref="BE192:BG192"/>
    <mergeCell ref="BI192:BM192"/>
    <mergeCell ref="BN192:BT192"/>
    <mergeCell ref="BE200:BG200"/>
    <mergeCell ref="BI200:BM200"/>
    <mergeCell ref="BN200:BT200"/>
    <mergeCell ref="BE196:CA196"/>
    <mergeCell ref="BE197:BG197"/>
    <mergeCell ref="BH197:BL197"/>
    <mergeCell ref="BE198:BG198"/>
    <mergeCell ref="BI198:BM198"/>
    <mergeCell ref="BN198:BT198"/>
    <mergeCell ref="BE199:BG199"/>
    <mergeCell ref="BI199:BM199"/>
    <mergeCell ref="BN199:BT199"/>
    <mergeCell ref="BE216:BG216"/>
    <mergeCell ref="BI216:BM216"/>
    <mergeCell ref="BN216:BT216"/>
    <mergeCell ref="BE212:CA212"/>
    <mergeCell ref="BE213:BG213"/>
    <mergeCell ref="BH213:BL213"/>
    <mergeCell ref="BE214:BG214"/>
    <mergeCell ref="BI214:BM214"/>
    <mergeCell ref="BN214:BT214"/>
    <mergeCell ref="BE215:BG215"/>
    <mergeCell ref="BI215:BM215"/>
    <mergeCell ref="BN215:BT215"/>
    <mergeCell ref="BE232:BG232"/>
    <mergeCell ref="BI232:BM232"/>
    <mergeCell ref="BN232:BT232"/>
    <mergeCell ref="BE224:BG224"/>
    <mergeCell ref="BI224:BM224"/>
    <mergeCell ref="BN224:BT224"/>
    <mergeCell ref="BE220:CA220"/>
    <mergeCell ref="BE221:BG221"/>
    <mergeCell ref="BH221:BL221"/>
    <mergeCell ref="BE222:BG222"/>
    <mergeCell ref="BI222:BM222"/>
    <mergeCell ref="BN222:BT222"/>
    <mergeCell ref="BE223:BG223"/>
    <mergeCell ref="BI223:BM223"/>
    <mergeCell ref="BN223:BT223"/>
    <mergeCell ref="BE228:CA228"/>
    <mergeCell ref="BE229:BG229"/>
    <mergeCell ref="BH229:BL229"/>
    <mergeCell ref="BE230:BG230"/>
    <mergeCell ref="BI230:BM230"/>
    <mergeCell ref="BN230:BT230"/>
    <mergeCell ref="BE231:BG231"/>
    <mergeCell ref="BI231:BM231"/>
    <mergeCell ref="BN231:BT231"/>
    <mergeCell ref="BE236:CA236"/>
    <mergeCell ref="BE237:BG237"/>
    <mergeCell ref="BH237:BL237"/>
    <mergeCell ref="BE238:BG238"/>
    <mergeCell ref="BI238:BM238"/>
    <mergeCell ref="BN238:BT238"/>
    <mergeCell ref="BE239:BG239"/>
    <mergeCell ref="BI239:BM239"/>
    <mergeCell ref="BN239:BT239"/>
    <mergeCell ref="BE273:CA273"/>
    <mergeCell ref="BE274:BG274"/>
    <mergeCell ref="BH274:BL274"/>
    <mergeCell ref="BE275:BG275"/>
    <mergeCell ref="BI275:BM275"/>
    <mergeCell ref="BN275:BT275"/>
    <mergeCell ref="BE240:BG240"/>
    <mergeCell ref="BI240:BM240"/>
    <mergeCell ref="BN240:BT240"/>
    <mergeCell ref="BE250:BG250"/>
    <mergeCell ref="BI250:BM250"/>
    <mergeCell ref="BN250:BT250"/>
    <mergeCell ref="BE246:CA246"/>
    <mergeCell ref="BE247:BG247"/>
    <mergeCell ref="BH247:BL247"/>
    <mergeCell ref="BE248:BG248"/>
    <mergeCell ref="BI248:BM248"/>
    <mergeCell ref="BN248:BT248"/>
    <mergeCell ref="BE249:BG249"/>
    <mergeCell ref="BI249:BM249"/>
    <mergeCell ref="BN249:BT249"/>
    <mergeCell ref="BE255:CA255"/>
    <mergeCell ref="BE256:BG256"/>
    <mergeCell ref="BH256:BL256"/>
    <mergeCell ref="CH285:CL285"/>
    <mergeCell ref="BE286:BG286"/>
    <mergeCell ref="BI286:BM286"/>
    <mergeCell ref="BN286:BT286"/>
    <mergeCell ref="CC286:CF286"/>
    <mergeCell ref="CH286:CL286"/>
    <mergeCell ref="CC275:CF275"/>
    <mergeCell ref="CH275:CL275"/>
    <mergeCell ref="BE276:BG276"/>
    <mergeCell ref="BI276:BM276"/>
    <mergeCell ref="BN276:BT276"/>
    <mergeCell ref="CC276:CF276"/>
    <mergeCell ref="CH276:CL276"/>
    <mergeCell ref="BE283:CA283"/>
    <mergeCell ref="BE277:BG277"/>
    <mergeCell ref="BI277:BM277"/>
    <mergeCell ref="BN277:BT277"/>
    <mergeCell ref="BE287:BG287"/>
    <mergeCell ref="BI287:BM287"/>
    <mergeCell ref="BN287:BT287"/>
    <mergeCell ref="BE284:BG284"/>
    <mergeCell ref="BH284:BL284"/>
    <mergeCell ref="BE285:BG285"/>
    <mergeCell ref="BI285:BM285"/>
    <mergeCell ref="BN285:BT285"/>
    <mergeCell ref="CC285:CF285"/>
    <mergeCell ref="BE293:CA293"/>
    <mergeCell ref="BE294:BG294"/>
    <mergeCell ref="BH294:BL294"/>
    <mergeCell ref="BE295:BG295"/>
    <mergeCell ref="BI295:BM295"/>
    <mergeCell ref="BN295:BT295"/>
    <mergeCell ref="CC295:CF295"/>
    <mergeCell ref="CH295:CL295"/>
    <mergeCell ref="BE296:BG296"/>
    <mergeCell ref="BI296:BM296"/>
    <mergeCell ref="BN296:BT296"/>
    <mergeCell ref="CC296:CF296"/>
    <mergeCell ref="CH296:CL296"/>
    <mergeCell ref="CC304:CF304"/>
    <mergeCell ref="CH304:CL304"/>
    <mergeCell ref="BE305:BG305"/>
    <mergeCell ref="BI305:BM305"/>
    <mergeCell ref="BN305:BT305"/>
    <mergeCell ref="CC305:CF305"/>
    <mergeCell ref="CH305:CL305"/>
    <mergeCell ref="BE297:BG297"/>
    <mergeCell ref="BI297:BM297"/>
    <mergeCell ref="BN297:BT297"/>
    <mergeCell ref="BE306:BG306"/>
    <mergeCell ref="BI306:BM306"/>
    <mergeCell ref="BN306:BT306"/>
    <mergeCell ref="BE302:CA302"/>
    <mergeCell ref="BE303:BG303"/>
    <mergeCell ref="BH303:BL303"/>
    <mergeCell ref="BE304:BG304"/>
    <mergeCell ref="BI304:BM304"/>
    <mergeCell ref="BN304:BT304"/>
  </mergeCells>
  <pageMargins left="0" right="0" top="0" bottom="0" header="0.31496062992125984" footer="0.31496062992125984"/>
  <pageSetup paperSize="9" scale="75" fitToHeight="0" orientation="portrait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O187"/>
  <sheetViews>
    <sheetView topLeftCell="A134" zoomScaleNormal="100" workbookViewId="0">
      <selection activeCell="AI157" sqref="AI157"/>
    </sheetView>
  </sheetViews>
  <sheetFormatPr defaultColWidth="1.85546875" defaultRowHeight="8.25" customHeight="1" x14ac:dyDescent="0.2"/>
  <cols>
    <col min="1" max="6" width="1.85546875" style="4"/>
    <col min="7" max="7" width="6.85546875" style="4" customWidth="1"/>
    <col min="8" max="16" width="1.85546875" style="4"/>
    <col min="17" max="17" width="3.85546875" style="4" customWidth="1"/>
    <col min="18" max="20" width="1.85546875" style="4"/>
    <col min="21" max="21" width="4.42578125" style="4" customWidth="1"/>
    <col min="22" max="23" width="1.85546875" style="4"/>
    <col min="24" max="24" width="3.140625" style="4" customWidth="1"/>
    <col min="25" max="26" width="1.85546875" style="4"/>
    <col min="27" max="27" width="4.28515625" style="4" customWidth="1"/>
    <col min="28" max="38" width="1.85546875" style="4"/>
    <col min="39" max="39" width="2" style="4" customWidth="1"/>
    <col min="40" max="44" width="1.85546875" style="4"/>
    <col min="45" max="45" width="5.85546875" style="4" customWidth="1"/>
    <col min="46" max="46" width="2.28515625" style="4" customWidth="1"/>
    <col min="47" max="47" width="1.85546875" style="4"/>
    <col min="48" max="48" width="8.5703125" style="4" customWidth="1"/>
    <col min="49" max="51" width="1.85546875" style="4"/>
    <col min="52" max="52" width="2.28515625" style="4" customWidth="1"/>
    <col min="53" max="53" width="1.85546875" style="4"/>
    <col min="54" max="54" width="4.42578125" style="4" customWidth="1"/>
    <col min="55" max="16384" width="1.85546875" style="4"/>
  </cols>
  <sheetData>
    <row r="1" spans="1:53" s="1" customFormat="1" ht="15" customHeight="1" x14ac:dyDescent="0.25">
      <c r="AV1" s="1" t="s">
        <v>83</v>
      </c>
    </row>
    <row r="2" spans="1:53" s="1" customFormat="1" ht="5.0999999999999996" customHeight="1" x14ac:dyDescent="0.25"/>
    <row r="3" spans="1:53" s="1" customFormat="1" ht="15" customHeight="1" x14ac:dyDescent="0.25">
      <c r="AP3" s="1" t="s">
        <v>91</v>
      </c>
    </row>
    <row r="4" spans="1:53" s="1" customFormat="1" ht="5.0999999999999996" customHeight="1" x14ac:dyDescent="0.25"/>
    <row r="5" spans="1:53" s="1" customFormat="1" ht="15" customHeight="1" x14ac:dyDescent="0.25"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1" t="s">
        <v>222</v>
      </c>
    </row>
    <row r="6" spans="1:53" s="1" customFormat="1" ht="9.9499999999999993" customHeight="1" x14ac:dyDescent="0.25">
      <c r="AK6" s="3"/>
      <c r="AL6" s="3"/>
      <c r="AM6" s="3"/>
      <c r="AN6" s="3"/>
      <c r="AO6" s="3"/>
      <c r="AP6" s="3"/>
      <c r="AQ6" s="3"/>
      <c r="AR6" s="3"/>
    </row>
    <row r="7" spans="1:53" s="1" customFormat="1" ht="15" customHeight="1" x14ac:dyDescent="0.25">
      <c r="A7" s="1302" t="s">
        <v>0</v>
      </c>
      <c r="B7" s="1302"/>
      <c r="C7" s="1302"/>
      <c r="D7" s="1302"/>
      <c r="E7" s="1302"/>
      <c r="F7" s="1302"/>
      <c r="G7" s="1302"/>
      <c r="H7" s="1302"/>
      <c r="I7" s="1302"/>
      <c r="J7" s="1302"/>
      <c r="K7" s="1302"/>
      <c r="L7" s="1302"/>
      <c r="M7" s="1302"/>
      <c r="N7" s="1302"/>
      <c r="O7" s="1302"/>
      <c r="P7" s="1302"/>
      <c r="Q7" s="1302"/>
      <c r="R7" s="1302"/>
      <c r="S7" s="1302"/>
      <c r="T7" s="1302"/>
      <c r="U7" s="1302"/>
      <c r="V7" s="1302"/>
      <c r="W7" s="1302"/>
      <c r="X7" s="1302"/>
      <c r="Y7" s="1302"/>
      <c r="Z7" s="1302"/>
      <c r="AA7" s="1302"/>
      <c r="AB7" s="1302"/>
      <c r="AC7" s="1302"/>
      <c r="AD7" s="1302"/>
      <c r="AE7" s="1302"/>
      <c r="AF7" s="1302"/>
      <c r="AG7" s="1302"/>
      <c r="AH7" s="1302"/>
      <c r="AI7" s="1302"/>
      <c r="AJ7" s="1302"/>
      <c r="AK7" s="1302"/>
      <c r="AL7" s="1302"/>
      <c r="AM7" s="1302"/>
      <c r="AN7" s="1302"/>
      <c r="AO7" s="1302"/>
      <c r="AP7" s="1302"/>
      <c r="AQ7" s="1302"/>
      <c r="AR7" s="1302"/>
      <c r="AS7" s="1302"/>
      <c r="AT7" s="1302"/>
      <c r="AU7" s="1302"/>
      <c r="AV7" s="1302"/>
      <c r="AW7" s="1302"/>
      <c r="AX7" s="1302"/>
      <c r="AY7" s="1302"/>
      <c r="AZ7" s="1302"/>
      <c r="BA7" s="1302"/>
    </row>
    <row r="8" spans="1:53" s="1" customFormat="1" ht="15" customHeight="1" x14ac:dyDescent="0.25">
      <c r="A8" s="1302" t="s">
        <v>140</v>
      </c>
      <c r="B8" s="1302"/>
      <c r="C8" s="1302"/>
      <c r="D8" s="1302"/>
      <c r="E8" s="1302"/>
      <c r="F8" s="1302"/>
      <c r="G8" s="1302"/>
      <c r="H8" s="1302"/>
      <c r="I8" s="1302"/>
      <c r="J8" s="1302"/>
      <c r="K8" s="1302"/>
      <c r="L8" s="1302"/>
      <c r="M8" s="1302"/>
      <c r="N8" s="1302"/>
      <c r="O8" s="1302"/>
      <c r="P8" s="1302"/>
      <c r="Q8" s="1302"/>
      <c r="R8" s="1302"/>
      <c r="S8" s="1302"/>
      <c r="T8" s="1302"/>
      <c r="U8" s="1302"/>
      <c r="V8" s="1302"/>
      <c r="W8" s="1302"/>
      <c r="X8" s="1302"/>
      <c r="Y8" s="1302"/>
      <c r="Z8" s="1302"/>
      <c r="AA8" s="1302"/>
      <c r="AB8" s="1302"/>
      <c r="AC8" s="1302"/>
      <c r="AD8" s="1302"/>
      <c r="AE8" s="1302"/>
      <c r="AF8" s="1302"/>
      <c r="AG8" s="1302"/>
      <c r="AH8" s="1302"/>
      <c r="AI8" s="1302"/>
      <c r="AJ8" s="1302"/>
      <c r="AK8" s="1302"/>
      <c r="AL8" s="1302"/>
      <c r="AM8" s="1302"/>
      <c r="AN8" s="1302"/>
      <c r="AO8" s="1302"/>
      <c r="AP8" s="1302"/>
      <c r="AQ8" s="1302"/>
      <c r="AR8" s="1302"/>
      <c r="AS8" s="1302"/>
      <c r="AT8" s="1302"/>
      <c r="AU8" s="1302"/>
      <c r="AV8" s="1302"/>
      <c r="AW8" s="1302"/>
      <c r="AX8" s="1302"/>
      <c r="AY8" s="1302"/>
      <c r="AZ8" s="1302"/>
      <c r="BA8" s="1302"/>
    </row>
    <row r="9" spans="1:53" s="1" customFormat="1" ht="6" customHeight="1" x14ac:dyDescent="0.25">
      <c r="A9" s="107"/>
      <c r="B9" s="107"/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</row>
    <row r="10" spans="1:53" s="100" customFormat="1" ht="15" customHeight="1" x14ac:dyDescent="0.25">
      <c r="A10" s="112"/>
      <c r="B10" s="112" t="s">
        <v>113</v>
      </c>
      <c r="C10" s="1305">
        <v>19</v>
      </c>
      <c r="D10" s="1305"/>
      <c r="E10" s="1305"/>
      <c r="F10" s="112"/>
      <c r="G10" s="1305" t="s">
        <v>196</v>
      </c>
      <c r="H10" s="1305"/>
      <c r="I10" s="1305"/>
      <c r="J10" s="1305"/>
      <c r="K10" s="1305"/>
      <c r="L10" s="1305"/>
      <c r="M10" s="112"/>
      <c r="N10" s="1303">
        <v>2016</v>
      </c>
      <c r="O10" s="1303"/>
      <c r="P10" s="1303"/>
      <c r="Q10" s="1303"/>
      <c r="R10" s="112"/>
      <c r="S10" s="112" t="s">
        <v>114</v>
      </c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304" t="s">
        <v>115</v>
      </c>
      <c r="AI10" s="1304"/>
      <c r="AJ10" s="1305">
        <v>31</v>
      </c>
      <c r="AK10" s="1305"/>
      <c r="AL10" s="1305"/>
      <c r="AM10" s="112"/>
      <c r="AN10" s="1305" t="s">
        <v>116</v>
      </c>
      <c r="AO10" s="1305"/>
      <c r="AP10" s="1305"/>
      <c r="AQ10" s="1305"/>
      <c r="AR10" s="1305"/>
      <c r="AS10" s="1305"/>
      <c r="AT10" s="1305"/>
      <c r="AU10" s="112"/>
      <c r="AV10" s="1303">
        <v>2017</v>
      </c>
      <c r="AW10" s="1303"/>
      <c r="AX10" s="1303"/>
      <c r="AY10" s="1303"/>
      <c r="AZ10" s="112"/>
      <c r="BA10" s="112" t="s">
        <v>114</v>
      </c>
    </row>
    <row r="11" spans="1:53" ht="14.25" customHeight="1" x14ac:dyDescent="0.2"/>
    <row r="12" spans="1:53" s="1" customFormat="1" ht="12" customHeight="1" x14ac:dyDescent="0.25">
      <c r="A12" s="1299" t="s">
        <v>1</v>
      </c>
      <c r="B12" s="1299"/>
      <c r="C12" s="1299"/>
      <c r="D12" s="1299"/>
      <c r="E12" s="1299"/>
      <c r="F12" s="1299"/>
      <c r="G12" s="1299"/>
      <c r="H12" s="1299"/>
      <c r="I12" s="1299"/>
      <c r="J12" s="1299"/>
      <c r="K12" s="1299"/>
      <c r="L12" s="1299"/>
      <c r="M12" s="1299"/>
      <c r="N12" s="1299"/>
      <c r="O12" s="1299"/>
      <c r="P12" s="1299"/>
      <c r="Q12" s="1299"/>
      <c r="R12" s="1299"/>
      <c r="S12" s="1299"/>
      <c r="U12" s="1300">
        <v>1</v>
      </c>
      <c r="V12" s="1300"/>
      <c r="W12" s="1300"/>
    </row>
    <row r="13" spans="1:53" s="1" customFormat="1" ht="5.0999999999999996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53" s="1" customFormat="1" ht="12" customHeight="1" x14ac:dyDescent="0.25">
      <c r="A14" s="1299" t="s">
        <v>2</v>
      </c>
      <c r="B14" s="1299"/>
      <c r="C14" s="1299"/>
      <c r="D14" s="1299"/>
      <c r="E14" s="1299"/>
      <c r="F14" s="1299"/>
      <c r="G14" s="1299"/>
      <c r="H14" s="1299"/>
      <c r="I14" s="1299"/>
      <c r="J14" s="1299"/>
      <c r="K14" s="1299"/>
      <c r="L14" s="1299"/>
      <c r="M14" s="1299"/>
      <c r="N14" s="1299"/>
      <c r="O14" s="1299"/>
      <c r="P14" s="1299"/>
      <c r="Q14" s="1299"/>
      <c r="R14" s="1299"/>
      <c r="S14" s="1299"/>
      <c r="U14" s="1300">
        <v>1</v>
      </c>
      <c r="V14" s="1300"/>
      <c r="W14" s="1300"/>
    </row>
    <row r="15" spans="1:53" s="1" customFormat="1" ht="5.0999999999999996" customHeight="1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</row>
    <row r="16" spans="1:53" s="1" customFormat="1" ht="12" customHeight="1" x14ac:dyDescent="0.25">
      <c r="A16" s="1299" t="s">
        <v>3</v>
      </c>
      <c r="B16" s="1299"/>
      <c r="C16" s="1299"/>
      <c r="D16" s="1299"/>
      <c r="E16" s="1299"/>
      <c r="F16" s="1299"/>
      <c r="G16" s="1299"/>
      <c r="H16" s="1299"/>
      <c r="I16" s="1299"/>
      <c r="J16" s="1299"/>
      <c r="K16" s="1299"/>
      <c r="L16" s="1299"/>
      <c r="M16" s="1299"/>
      <c r="N16" s="1299"/>
      <c r="O16" s="1299"/>
      <c r="P16" s="1299"/>
      <c r="Q16" s="1299"/>
      <c r="R16" s="1299"/>
      <c r="S16" s="1299"/>
      <c r="U16" s="1300">
        <v>1</v>
      </c>
      <c r="V16" s="1300"/>
      <c r="W16" s="1300"/>
      <c r="X16" s="101" t="s">
        <v>4</v>
      </c>
      <c r="Y16" s="1300">
        <v>7</v>
      </c>
      <c r="Z16" s="1300"/>
      <c r="AA16" s="1300"/>
    </row>
    <row r="17" spans="1:54" ht="5.0999999999999996" customHeight="1" x14ac:dyDescent="0.2"/>
    <row r="18" spans="1:54" s="5" customFormat="1" ht="15" customHeight="1" thickBot="1" x14ac:dyDescent="0.25">
      <c r="A18" s="5" t="s">
        <v>5</v>
      </c>
      <c r="C18" s="5" t="s">
        <v>6</v>
      </c>
      <c r="AN18" s="6"/>
      <c r="AO18" s="6"/>
      <c r="AP18" s="6"/>
      <c r="AQ18" s="6"/>
      <c r="AR18" s="6"/>
    </row>
    <row r="19" spans="1:54" ht="12" customHeight="1" thickBot="1" x14ac:dyDescent="0.25">
      <c r="AJ19" s="7"/>
      <c r="AK19" s="7"/>
      <c r="AL19" s="7"/>
      <c r="AM19" s="7"/>
      <c r="AN19" s="8"/>
      <c r="AO19" s="8"/>
      <c r="AP19" s="9"/>
      <c r="AQ19" s="9" t="s">
        <v>7</v>
      </c>
      <c r="AR19" s="8"/>
      <c r="AS19" s="10"/>
      <c r="AX19" s="1306">
        <v>5500</v>
      </c>
      <c r="AY19" s="1307"/>
      <c r="AZ19" s="1307"/>
      <c r="BA19" s="1307"/>
      <c r="BB19" s="1308"/>
    </row>
    <row r="20" spans="1:54" ht="12" customHeight="1" x14ac:dyDescent="0.2">
      <c r="A20" s="1192" t="s">
        <v>8</v>
      </c>
      <c r="B20" s="1193"/>
      <c r="C20" s="1193"/>
      <c r="D20" s="1193"/>
      <c r="E20" s="1193"/>
      <c r="F20" s="1193"/>
      <c r="G20" s="1194"/>
      <c r="H20" s="1201" t="s">
        <v>9</v>
      </c>
      <c r="I20" s="1193"/>
      <c r="J20" s="1193"/>
      <c r="K20" s="1193"/>
      <c r="L20" s="1193"/>
      <c r="M20" s="1193"/>
      <c r="N20" s="1193"/>
      <c r="O20" s="1193"/>
      <c r="P20" s="1193"/>
      <c r="Q20" s="1193"/>
      <c r="R20" s="1193"/>
      <c r="S20" s="1193"/>
      <c r="T20" s="1193"/>
      <c r="U20" s="1193"/>
      <c r="V20" s="1193"/>
      <c r="W20" s="1193"/>
      <c r="X20" s="1193"/>
      <c r="Y20" s="1193"/>
      <c r="Z20" s="1193"/>
      <c r="AA20" s="1193"/>
      <c r="AB20" s="1194"/>
      <c r="AC20" s="1201" t="s">
        <v>10</v>
      </c>
      <c r="AD20" s="1193"/>
      <c r="AE20" s="1193"/>
      <c r="AF20" s="1193"/>
      <c r="AG20" s="1194"/>
      <c r="AH20" s="1210" t="s">
        <v>11</v>
      </c>
      <c r="AI20" s="1265"/>
      <c r="AJ20" s="1265"/>
      <c r="AK20" s="1265"/>
      <c r="AL20" s="1265"/>
      <c r="AM20" s="1266"/>
      <c r="AN20" s="1210" t="s">
        <v>12</v>
      </c>
      <c r="AO20" s="1204"/>
      <c r="AP20" s="1204"/>
      <c r="AQ20" s="1204"/>
      <c r="AR20" s="1205"/>
      <c r="AS20" s="1210" t="s">
        <v>13</v>
      </c>
      <c r="AT20" s="1204"/>
      <c r="AU20" s="1204"/>
      <c r="AV20" s="1204"/>
      <c r="AW20" s="1213"/>
      <c r="AX20" s="1210" t="s">
        <v>14</v>
      </c>
      <c r="AY20" s="1204"/>
      <c r="AZ20" s="1204"/>
      <c r="BA20" s="1204"/>
      <c r="BB20" s="1213"/>
    </row>
    <row r="21" spans="1:54" ht="12" customHeight="1" x14ac:dyDescent="0.2">
      <c r="A21" s="1195"/>
      <c r="B21" s="1196"/>
      <c r="C21" s="1196"/>
      <c r="D21" s="1196"/>
      <c r="E21" s="1196"/>
      <c r="F21" s="1196"/>
      <c r="G21" s="1197"/>
      <c r="H21" s="1202"/>
      <c r="I21" s="1196"/>
      <c r="J21" s="1196"/>
      <c r="K21" s="1196"/>
      <c r="L21" s="1196"/>
      <c r="M21" s="1196"/>
      <c r="N21" s="1196"/>
      <c r="O21" s="1196"/>
      <c r="P21" s="1196"/>
      <c r="Q21" s="1196"/>
      <c r="R21" s="1196"/>
      <c r="S21" s="1196"/>
      <c r="T21" s="1196"/>
      <c r="U21" s="1196"/>
      <c r="V21" s="1196"/>
      <c r="W21" s="1196"/>
      <c r="X21" s="1196"/>
      <c r="Y21" s="1196"/>
      <c r="Z21" s="1196"/>
      <c r="AA21" s="1196"/>
      <c r="AB21" s="1197"/>
      <c r="AC21" s="1202"/>
      <c r="AD21" s="1196"/>
      <c r="AE21" s="1196"/>
      <c r="AF21" s="1196"/>
      <c r="AG21" s="1197"/>
      <c r="AH21" s="1267"/>
      <c r="AI21" s="1268"/>
      <c r="AJ21" s="1268"/>
      <c r="AK21" s="1268"/>
      <c r="AL21" s="1268"/>
      <c r="AM21" s="1269"/>
      <c r="AN21" s="1211"/>
      <c r="AO21" s="1206"/>
      <c r="AP21" s="1206"/>
      <c r="AQ21" s="1206"/>
      <c r="AR21" s="1207"/>
      <c r="AS21" s="1211"/>
      <c r="AT21" s="1206"/>
      <c r="AU21" s="1206"/>
      <c r="AV21" s="1206"/>
      <c r="AW21" s="1214"/>
      <c r="AX21" s="1211"/>
      <c r="AY21" s="1206"/>
      <c r="AZ21" s="1206"/>
      <c r="BA21" s="1206"/>
      <c r="BB21" s="1214"/>
    </row>
    <row r="22" spans="1:54" ht="12" customHeight="1" thickBot="1" x14ac:dyDescent="0.25">
      <c r="A22" s="1198"/>
      <c r="B22" s="1199"/>
      <c r="C22" s="1199"/>
      <c r="D22" s="1199"/>
      <c r="E22" s="1199"/>
      <c r="F22" s="1199"/>
      <c r="G22" s="1200"/>
      <c r="H22" s="1203"/>
      <c r="I22" s="1199"/>
      <c r="J22" s="1199"/>
      <c r="K22" s="1199"/>
      <c r="L22" s="1199"/>
      <c r="M22" s="1199"/>
      <c r="N22" s="1199"/>
      <c r="O22" s="1199"/>
      <c r="P22" s="1199"/>
      <c r="Q22" s="1199"/>
      <c r="R22" s="1199"/>
      <c r="S22" s="1199"/>
      <c r="T22" s="1199"/>
      <c r="U22" s="1199"/>
      <c r="V22" s="1199"/>
      <c r="W22" s="1199"/>
      <c r="X22" s="1199"/>
      <c r="Y22" s="1199"/>
      <c r="Z22" s="1199"/>
      <c r="AA22" s="1199"/>
      <c r="AB22" s="1200"/>
      <c r="AC22" s="1203"/>
      <c r="AD22" s="1199"/>
      <c r="AE22" s="1199"/>
      <c r="AF22" s="1199"/>
      <c r="AG22" s="1200"/>
      <c r="AH22" s="1270"/>
      <c r="AI22" s="1271"/>
      <c r="AJ22" s="1271"/>
      <c r="AK22" s="1271"/>
      <c r="AL22" s="1271"/>
      <c r="AM22" s="1272"/>
      <c r="AN22" s="1212"/>
      <c r="AO22" s="1208"/>
      <c r="AP22" s="1208"/>
      <c r="AQ22" s="1208"/>
      <c r="AR22" s="1209"/>
      <c r="AS22" s="1212"/>
      <c r="AT22" s="1208"/>
      <c r="AU22" s="1208"/>
      <c r="AV22" s="1208"/>
      <c r="AW22" s="1215"/>
      <c r="AX22" s="1212"/>
      <c r="AY22" s="1208"/>
      <c r="AZ22" s="1208"/>
      <c r="BA22" s="1208"/>
      <c r="BB22" s="1215"/>
    </row>
    <row r="23" spans="1:54" ht="22.5" customHeight="1" thickBot="1" x14ac:dyDescent="0.25">
      <c r="A23" s="1274" t="s">
        <v>15</v>
      </c>
      <c r="B23" s="1018"/>
      <c r="C23" s="1018"/>
      <c r="D23" s="1018"/>
      <c r="E23" s="1018"/>
      <c r="F23" s="1018"/>
      <c r="G23" s="1018"/>
      <c r="H23" s="1018"/>
      <c r="I23" s="1018"/>
      <c r="J23" s="1018"/>
      <c r="K23" s="1018"/>
      <c r="L23" s="1018"/>
      <c r="M23" s="1018"/>
      <c r="N23" s="1018"/>
      <c r="O23" s="1018"/>
      <c r="P23" s="1018"/>
      <c r="Q23" s="1018"/>
      <c r="R23" s="1018"/>
      <c r="S23" s="1018"/>
      <c r="T23" s="1018"/>
      <c r="U23" s="1018"/>
      <c r="V23" s="1018"/>
      <c r="W23" s="1018"/>
      <c r="X23" s="1018"/>
      <c r="Y23" s="1018"/>
      <c r="Z23" s="1018"/>
      <c r="AA23" s="1018"/>
      <c r="AB23" s="1018"/>
      <c r="AC23" s="1018"/>
      <c r="AD23" s="1018"/>
      <c r="AE23" s="1018"/>
      <c r="AF23" s="1018"/>
      <c r="AG23" s="1018"/>
      <c r="AH23" s="1018"/>
      <c r="AI23" s="1018"/>
      <c r="AJ23" s="1018"/>
      <c r="AK23" s="1018"/>
      <c r="AL23" s="1018"/>
      <c r="AM23" s="1018"/>
      <c r="AN23" s="1018"/>
      <c r="AO23" s="1018"/>
      <c r="AP23" s="1018"/>
      <c r="AQ23" s="1018"/>
      <c r="AR23" s="1018"/>
      <c r="AS23" s="1018"/>
      <c r="AT23" s="1018"/>
      <c r="AU23" s="1018"/>
      <c r="AV23" s="1018"/>
      <c r="AW23" s="1018"/>
      <c r="AX23" s="1018"/>
      <c r="AY23" s="1018"/>
      <c r="AZ23" s="1018"/>
      <c r="BA23" s="1018"/>
      <c r="BB23" s="1275"/>
    </row>
    <row r="24" spans="1:54" ht="4.5" hidden="1" customHeight="1" x14ac:dyDescent="0.2">
      <c r="A24" s="1542" t="s">
        <v>117</v>
      </c>
      <c r="B24" s="1050"/>
      <c r="C24" s="1050"/>
      <c r="D24" s="1050"/>
      <c r="E24" s="1050"/>
      <c r="F24" s="1050"/>
      <c r="G24" s="1051"/>
      <c r="H24" s="1282" t="s">
        <v>16</v>
      </c>
      <c r="I24" s="1283"/>
      <c r="J24" s="1283"/>
      <c r="K24" s="1283"/>
      <c r="L24" s="1283"/>
      <c r="M24" s="1283"/>
      <c r="N24" s="1283"/>
      <c r="O24" s="1283"/>
      <c r="P24" s="1283"/>
      <c r="Q24" s="1283"/>
      <c r="R24" s="1283"/>
      <c r="S24" s="1283"/>
      <c r="T24" s="1283"/>
      <c r="U24" s="1283"/>
      <c r="V24" s="1283"/>
      <c r="W24" s="1283"/>
      <c r="X24" s="1283"/>
      <c r="Y24" s="1283"/>
      <c r="Z24" s="1601">
        <v>0.1</v>
      </c>
      <c r="AA24" s="1601"/>
      <c r="AB24" s="1601"/>
      <c r="AC24" s="1286">
        <f>(AX51+AX83)*Z24*AH24</f>
        <v>30.03</v>
      </c>
      <c r="AD24" s="1286"/>
      <c r="AE24" s="1286"/>
      <c r="AF24" s="1286"/>
      <c r="AG24" s="1286"/>
      <c r="AH24" s="1287">
        <v>1</v>
      </c>
      <c r="AI24" s="1287"/>
      <c r="AJ24" s="1287"/>
      <c r="AK24" s="1287"/>
      <c r="AL24" s="1287"/>
      <c r="AM24" s="1287"/>
      <c r="AN24" s="781">
        <f>AC24/U12</f>
        <v>30.03</v>
      </c>
      <c r="AO24" s="781"/>
      <c r="AP24" s="781"/>
      <c r="AQ24" s="781"/>
      <c r="AR24" s="781"/>
      <c r="AS24" s="1287" t="s">
        <v>17</v>
      </c>
      <c r="AT24" s="1287"/>
      <c r="AU24" s="1287"/>
      <c r="AV24" s="1287"/>
      <c r="AW24" s="1287"/>
      <c r="AX24" s="781" t="s">
        <v>17</v>
      </c>
      <c r="AY24" s="781"/>
      <c r="AZ24" s="781"/>
      <c r="BA24" s="781"/>
      <c r="BB24" s="782"/>
    </row>
    <row r="25" spans="1:54" s="11" customFormat="1" ht="11.25" hidden="1" customHeight="1" x14ac:dyDescent="0.2">
      <c r="A25" s="1542"/>
      <c r="B25" s="1050"/>
      <c r="C25" s="1050"/>
      <c r="D25" s="1050"/>
      <c r="E25" s="1050"/>
      <c r="F25" s="1050"/>
      <c r="G25" s="1051"/>
      <c r="H25" s="1282"/>
      <c r="I25" s="1283"/>
      <c r="J25" s="1283"/>
      <c r="K25" s="1283"/>
      <c r="L25" s="1283"/>
      <c r="M25" s="1283"/>
      <c r="N25" s="1283"/>
      <c r="O25" s="1283"/>
      <c r="P25" s="1283"/>
      <c r="Q25" s="1283"/>
      <c r="R25" s="1283"/>
      <c r="S25" s="1283"/>
      <c r="T25" s="1283"/>
      <c r="U25" s="1283"/>
      <c r="V25" s="1283"/>
      <c r="W25" s="1283"/>
      <c r="X25" s="1283"/>
      <c r="Y25" s="1283"/>
      <c r="Z25" s="1241"/>
      <c r="AA25" s="1241"/>
      <c r="AB25" s="1241"/>
      <c r="AC25" s="1185"/>
      <c r="AD25" s="1185"/>
      <c r="AE25" s="1185"/>
      <c r="AF25" s="1185"/>
      <c r="AG25" s="1185"/>
      <c r="AH25" s="1288"/>
      <c r="AI25" s="1288"/>
      <c r="AJ25" s="1288"/>
      <c r="AK25" s="1288"/>
      <c r="AL25" s="1288"/>
      <c r="AM25" s="1288"/>
      <c r="AN25" s="601"/>
      <c r="AO25" s="601"/>
      <c r="AP25" s="601"/>
      <c r="AQ25" s="601"/>
      <c r="AR25" s="601"/>
      <c r="AS25" s="1288"/>
      <c r="AT25" s="1288"/>
      <c r="AU25" s="1288"/>
      <c r="AV25" s="1288"/>
      <c r="AW25" s="1288"/>
      <c r="AX25" s="601"/>
      <c r="AY25" s="601"/>
      <c r="AZ25" s="601"/>
      <c r="BA25" s="601"/>
      <c r="BB25" s="655"/>
    </row>
    <row r="26" spans="1:54" s="11" customFormat="1" ht="5.0999999999999996" customHeight="1" x14ac:dyDescent="0.2">
      <c r="A26" s="1488" t="s">
        <v>89</v>
      </c>
      <c r="B26" s="1489"/>
      <c r="C26" s="1489"/>
      <c r="D26" s="1489"/>
      <c r="E26" s="1489"/>
      <c r="F26" s="1489"/>
      <c r="G26" s="1490"/>
      <c r="H26" s="1282"/>
      <c r="I26" s="1283"/>
      <c r="J26" s="1283"/>
      <c r="K26" s="1283"/>
      <c r="L26" s="1283"/>
      <c r="M26" s="1283"/>
      <c r="N26" s="1283"/>
      <c r="O26" s="1283"/>
      <c r="P26" s="1283"/>
      <c r="Q26" s="1283"/>
      <c r="R26" s="1283"/>
      <c r="S26" s="1283"/>
      <c r="T26" s="1283"/>
      <c r="U26" s="1283"/>
      <c r="V26" s="1283"/>
      <c r="W26" s="1283"/>
      <c r="X26" s="1283"/>
      <c r="Y26" s="1283"/>
      <c r="Z26" s="1241"/>
      <c r="AA26" s="1241"/>
      <c r="AB26" s="1241"/>
      <c r="AC26" s="1185"/>
      <c r="AD26" s="1185"/>
      <c r="AE26" s="1185"/>
      <c r="AF26" s="1185"/>
      <c r="AG26" s="1185"/>
      <c r="AH26" s="1288"/>
      <c r="AI26" s="1288"/>
      <c r="AJ26" s="1288"/>
      <c r="AK26" s="1288"/>
      <c r="AL26" s="1288"/>
      <c r="AM26" s="1288"/>
      <c r="AN26" s="601"/>
      <c r="AO26" s="601"/>
      <c r="AP26" s="601"/>
      <c r="AQ26" s="601"/>
      <c r="AR26" s="601"/>
      <c r="AS26" s="1288"/>
      <c r="AT26" s="1288"/>
      <c r="AU26" s="1288"/>
      <c r="AV26" s="1288"/>
      <c r="AW26" s="1288"/>
      <c r="AX26" s="601"/>
      <c r="AY26" s="601"/>
      <c r="AZ26" s="601"/>
      <c r="BA26" s="601"/>
      <c r="BB26" s="655"/>
    </row>
    <row r="27" spans="1:54" s="11" customFormat="1" ht="27.75" customHeight="1" x14ac:dyDescent="0.2">
      <c r="A27" s="1542"/>
      <c r="B27" s="1050"/>
      <c r="C27" s="1050"/>
      <c r="D27" s="1050"/>
      <c r="E27" s="1050"/>
      <c r="F27" s="1050"/>
      <c r="G27" s="1051"/>
      <c r="H27" s="1282"/>
      <c r="I27" s="1283"/>
      <c r="J27" s="1283"/>
      <c r="K27" s="1283"/>
      <c r="L27" s="1283"/>
      <c r="M27" s="1283"/>
      <c r="N27" s="1283"/>
      <c r="O27" s="1283"/>
      <c r="P27" s="1283"/>
      <c r="Q27" s="1283"/>
      <c r="R27" s="1283"/>
      <c r="S27" s="1283"/>
      <c r="T27" s="1283"/>
      <c r="U27" s="1283"/>
      <c r="V27" s="1283"/>
      <c r="W27" s="1283"/>
      <c r="X27" s="1283"/>
      <c r="Y27" s="1283"/>
      <c r="Z27" s="1241"/>
      <c r="AA27" s="1241"/>
      <c r="AB27" s="1241"/>
      <c r="AC27" s="1185"/>
      <c r="AD27" s="1185"/>
      <c r="AE27" s="1185"/>
      <c r="AF27" s="1185"/>
      <c r="AG27" s="1185"/>
      <c r="AH27" s="1288"/>
      <c r="AI27" s="1288"/>
      <c r="AJ27" s="1288"/>
      <c r="AK27" s="1288"/>
      <c r="AL27" s="1288"/>
      <c r="AM27" s="1288"/>
      <c r="AN27" s="601"/>
      <c r="AO27" s="601"/>
      <c r="AP27" s="601"/>
      <c r="AQ27" s="601"/>
      <c r="AR27" s="601"/>
      <c r="AS27" s="1288"/>
      <c r="AT27" s="1288"/>
      <c r="AU27" s="1288"/>
      <c r="AV27" s="1288"/>
      <c r="AW27" s="1288"/>
      <c r="AX27" s="601"/>
      <c r="AY27" s="601"/>
      <c r="AZ27" s="601"/>
      <c r="BA27" s="601"/>
      <c r="BB27" s="655"/>
    </row>
    <row r="28" spans="1:54" ht="5.0999999999999996" hidden="1" customHeight="1" x14ac:dyDescent="0.2">
      <c r="A28" s="1542"/>
      <c r="B28" s="1050"/>
      <c r="C28" s="1050"/>
      <c r="D28" s="1050"/>
      <c r="E28" s="1050"/>
      <c r="F28" s="1050"/>
      <c r="G28" s="1051"/>
      <c r="H28" s="1282"/>
      <c r="I28" s="1283"/>
      <c r="J28" s="1283"/>
      <c r="K28" s="1283"/>
      <c r="L28" s="1283"/>
      <c r="M28" s="1283"/>
      <c r="N28" s="1283"/>
      <c r="O28" s="1283"/>
      <c r="P28" s="1283"/>
      <c r="Q28" s="1283"/>
      <c r="R28" s="1283"/>
      <c r="S28" s="1283"/>
      <c r="T28" s="1283"/>
      <c r="U28" s="1283"/>
      <c r="V28" s="1283"/>
      <c r="W28" s="1283"/>
      <c r="X28" s="1283"/>
      <c r="Y28" s="1283"/>
      <c r="Z28" s="1241"/>
      <c r="AA28" s="1241"/>
      <c r="AB28" s="1241"/>
      <c r="AC28" s="1185"/>
      <c r="AD28" s="1185"/>
      <c r="AE28" s="1185"/>
      <c r="AF28" s="1185"/>
      <c r="AG28" s="1185"/>
      <c r="AH28" s="1288"/>
      <c r="AI28" s="1288"/>
      <c r="AJ28" s="1288"/>
      <c r="AK28" s="1288"/>
      <c r="AL28" s="1288"/>
      <c r="AM28" s="1288"/>
      <c r="AN28" s="601"/>
      <c r="AO28" s="601"/>
      <c r="AP28" s="601"/>
      <c r="AQ28" s="601"/>
      <c r="AR28" s="601"/>
      <c r="AS28" s="1288"/>
      <c r="AT28" s="1288"/>
      <c r="AU28" s="1288"/>
      <c r="AV28" s="1288"/>
      <c r="AW28" s="1288"/>
      <c r="AX28" s="601"/>
      <c r="AY28" s="601"/>
      <c r="AZ28" s="601"/>
      <c r="BA28" s="601"/>
      <c r="BB28" s="655"/>
    </row>
    <row r="29" spans="1:54" s="11" customFormat="1" ht="11.25" hidden="1" customHeight="1" x14ac:dyDescent="0.2">
      <c r="A29" s="1542"/>
      <c r="B29" s="1050"/>
      <c r="C29" s="1050"/>
      <c r="D29" s="1050"/>
      <c r="E29" s="1050"/>
      <c r="F29" s="1050"/>
      <c r="G29" s="1051"/>
      <c r="H29" s="1282"/>
      <c r="I29" s="1283"/>
      <c r="J29" s="1283"/>
      <c r="K29" s="1283"/>
      <c r="L29" s="1283"/>
      <c r="M29" s="1283"/>
      <c r="N29" s="1283"/>
      <c r="O29" s="1283"/>
      <c r="P29" s="1283"/>
      <c r="Q29" s="1283"/>
      <c r="R29" s="1283"/>
      <c r="S29" s="1283"/>
      <c r="T29" s="1283"/>
      <c r="U29" s="1283"/>
      <c r="V29" s="1283"/>
      <c r="W29" s="1283"/>
      <c r="X29" s="1283"/>
      <c r="Y29" s="1283"/>
      <c r="Z29" s="1241"/>
      <c r="AA29" s="1241"/>
      <c r="AB29" s="1241"/>
      <c r="AC29" s="1185"/>
      <c r="AD29" s="1185"/>
      <c r="AE29" s="1185"/>
      <c r="AF29" s="1185"/>
      <c r="AG29" s="1185"/>
      <c r="AH29" s="1288"/>
      <c r="AI29" s="1288"/>
      <c r="AJ29" s="1288"/>
      <c r="AK29" s="1288"/>
      <c r="AL29" s="1288"/>
      <c r="AM29" s="1288"/>
      <c r="AN29" s="601"/>
      <c r="AO29" s="601"/>
      <c r="AP29" s="601"/>
      <c r="AQ29" s="601"/>
      <c r="AR29" s="601"/>
      <c r="AS29" s="1288"/>
      <c r="AT29" s="1288"/>
      <c r="AU29" s="1288"/>
      <c r="AV29" s="1288"/>
      <c r="AW29" s="1288"/>
      <c r="AX29" s="601"/>
      <c r="AY29" s="601"/>
      <c r="AZ29" s="601"/>
      <c r="BA29" s="601"/>
      <c r="BB29" s="655"/>
    </row>
    <row r="30" spans="1:54" s="11" customFormat="1" ht="5.0999999999999996" hidden="1" customHeight="1" x14ac:dyDescent="0.2">
      <c r="A30" s="1542"/>
      <c r="B30" s="1050"/>
      <c r="C30" s="1050"/>
      <c r="D30" s="1050"/>
      <c r="E30" s="1050"/>
      <c r="F30" s="1050"/>
      <c r="G30" s="1051"/>
      <c r="H30" s="1282"/>
      <c r="I30" s="1283"/>
      <c r="J30" s="1283"/>
      <c r="K30" s="1283"/>
      <c r="L30" s="1283"/>
      <c r="M30" s="1283"/>
      <c r="N30" s="1283"/>
      <c r="O30" s="1283"/>
      <c r="P30" s="1283"/>
      <c r="Q30" s="1283"/>
      <c r="R30" s="1283"/>
      <c r="S30" s="1283"/>
      <c r="T30" s="1283"/>
      <c r="U30" s="1283"/>
      <c r="V30" s="1283"/>
      <c r="W30" s="1283"/>
      <c r="X30" s="1283"/>
      <c r="Y30" s="1283"/>
      <c r="Z30" s="1241"/>
      <c r="AA30" s="1241"/>
      <c r="AB30" s="1241"/>
      <c r="AC30" s="1185"/>
      <c r="AD30" s="1185"/>
      <c r="AE30" s="1185"/>
      <c r="AF30" s="1185"/>
      <c r="AG30" s="1185"/>
      <c r="AH30" s="1288"/>
      <c r="AI30" s="1288"/>
      <c r="AJ30" s="1288"/>
      <c r="AK30" s="1288"/>
      <c r="AL30" s="1288"/>
      <c r="AM30" s="1288"/>
      <c r="AN30" s="601"/>
      <c r="AO30" s="601"/>
      <c r="AP30" s="601"/>
      <c r="AQ30" s="601"/>
      <c r="AR30" s="601"/>
      <c r="AS30" s="1288"/>
      <c r="AT30" s="1288"/>
      <c r="AU30" s="1288"/>
      <c r="AV30" s="1288"/>
      <c r="AW30" s="1288"/>
      <c r="AX30" s="601"/>
      <c r="AY30" s="601"/>
      <c r="AZ30" s="601"/>
      <c r="BA30" s="601"/>
      <c r="BB30" s="655"/>
    </row>
    <row r="31" spans="1:54" s="11" customFormat="1" ht="11.25" hidden="1" customHeight="1" x14ac:dyDescent="0.2">
      <c r="A31" s="1542"/>
      <c r="B31" s="1050"/>
      <c r="C31" s="1050"/>
      <c r="D31" s="1050"/>
      <c r="E31" s="1050"/>
      <c r="F31" s="1050"/>
      <c r="G31" s="1051"/>
      <c r="H31" s="1282"/>
      <c r="I31" s="1283"/>
      <c r="J31" s="1283"/>
      <c r="K31" s="1283"/>
      <c r="L31" s="1283"/>
      <c r="M31" s="1283"/>
      <c r="N31" s="1283"/>
      <c r="O31" s="1283"/>
      <c r="P31" s="1283"/>
      <c r="Q31" s="1283"/>
      <c r="R31" s="1283"/>
      <c r="S31" s="1283"/>
      <c r="T31" s="1283"/>
      <c r="U31" s="1283"/>
      <c r="V31" s="1283"/>
      <c r="W31" s="1283"/>
      <c r="X31" s="1283"/>
      <c r="Y31" s="1283"/>
      <c r="Z31" s="1241"/>
      <c r="AA31" s="1241"/>
      <c r="AB31" s="1241"/>
      <c r="AC31" s="1185"/>
      <c r="AD31" s="1185"/>
      <c r="AE31" s="1185"/>
      <c r="AF31" s="1185"/>
      <c r="AG31" s="1185"/>
      <c r="AH31" s="1288"/>
      <c r="AI31" s="1288"/>
      <c r="AJ31" s="1288"/>
      <c r="AK31" s="1288"/>
      <c r="AL31" s="1288"/>
      <c r="AM31" s="1288"/>
      <c r="AN31" s="601"/>
      <c r="AO31" s="601"/>
      <c r="AP31" s="601"/>
      <c r="AQ31" s="601"/>
      <c r="AR31" s="601"/>
      <c r="AS31" s="1288"/>
      <c r="AT31" s="1288"/>
      <c r="AU31" s="1288"/>
      <c r="AV31" s="1288"/>
      <c r="AW31" s="1288"/>
      <c r="AX31" s="601"/>
      <c r="AY31" s="601"/>
      <c r="AZ31" s="601"/>
      <c r="BA31" s="601"/>
      <c r="BB31" s="655"/>
    </row>
    <row r="32" spans="1:54" ht="5.0999999999999996" hidden="1" customHeight="1" x14ac:dyDescent="0.2">
      <c r="A32" s="1542"/>
      <c r="B32" s="1050"/>
      <c r="C32" s="1050"/>
      <c r="D32" s="1050"/>
      <c r="E32" s="1050"/>
      <c r="F32" s="1050"/>
      <c r="G32" s="1051"/>
      <c r="H32" s="1282"/>
      <c r="I32" s="1283"/>
      <c r="J32" s="1283"/>
      <c r="K32" s="1283"/>
      <c r="L32" s="1283"/>
      <c r="M32" s="1283"/>
      <c r="N32" s="1283"/>
      <c r="O32" s="1283"/>
      <c r="P32" s="1283"/>
      <c r="Q32" s="1283"/>
      <c r="R32" s="1283"/>
      <c r="S32" s="1283"/>
      <c r="T32" s="1283"/>
      <c r="U32" s="1283"/>
      <c r="V32" s="1283"/>
      <c r="W32" s="1283"/>
      <c r="X32" s="1283"/>
      <c r="Y32" s="1283"/>
      <c r="Z32" s="1241"/>
      <c r="AA32" s="1241"/>
      <c r="AB32" s="1241"/>
      <c r="AC32" s="1185"/>
      <c r="AD32" s="1185"/>
      <c r="AE32" s="1185"/>
      <c r="AF32" s="1185"/>
      <c r="AG32" s="1185"/>
      <c r="AH32" s="1288"/>
      <c r="AI32" s="1288"/>
      <c r="AJ32" s="1288"/>
      <c r="AK32" s="1288"/>
      <c r="AL32" s="1288"/>
      <c r="AM32" s="1288"/>
      <c r="AN32" s="601"/>
      <c r="AO32" s="601"/>
      <c r="AP32" s="601"/>
      <c r="AQ32" s="601"/>
      <c r="AR32" s="601"/>
      <c r="AS32" s="1288"/>
      <c r="AT32" s="1288"/>
      <c r="AU32" s="1288"/>
      <c r="AV32" s="1288"/>
      <c r="AW32" s="1288"/>
      <c r="AX32" s="601"/>
      <c r="AY32" s="601"/>
      <c r="AZ32" s="601"/>
      <c r="BA32" s="601"/>
      <c r="BB32" s="655"/>
    </row>
    <row r="33" spans="1:54" s="11" customFormat="1" ht="3.75" customHeight="1" thickBot="1" x14ac:dyDescent="0.25">
      <c r="A33" s="1543"/>
      <c r="B33" s="1544"/>
      <c r="C33" s="1544"/>
      <c r="D33" s="1544"/>
      <c r="E33" s="1544"/>
      <c r="F33" s="1544"/>
      <c r="G33" s="1545"/>
      <c r="H33" s="1284"/>
      <c r="I33" s="1285"/>
      <c r="J33" s="1285"/>
      <c r="K33" s="1285"/>
      <c r="L33" s="1285"/>
      <c r="M33" s="1285"/>
      <c r="N33" s="1285"/>
      <c r="O33" s="1285"/>
      <c r="P33" s="1285"/>
      <c r="Q33" s="1285"/>
      <c r="R33" s="1285"/>
      <c r="S33" s="1285"/>
      <c r="T33" s="1285"/>
      <c r="U33" s="1285"/>
      <c r="V33" s="1285"/>
      <c r="W33" s="1285"/>
      <c r="X33" s="1285"/>
      <c r="Y33" s="1285"/>
      <c r="Z33" s="1241"/>
      <c r="AA33" s="1241"/>
      <c r="AB33" s="1241"/>
      <c r="AC33" s="1187"/>
      <c r="AD33" s="1187"/>
      <c r="AE33" s="1187"/>
      <c r="AF33" s="1187"/>
      <c r="AG33" s="1187"/>
      <c r="AH33" s="1289"/>
      <c r="AI33" s="1289"/>
      <c r="AJ33" s="1289"/>
      <c r="AK33" s="1289"/>
      <c r="AL33" s="1289"/>
      <c r="AM33" s="1289"/>
      <c r="AN33" s="656"/>
      <c r="AO33" s="656"/>
      <c r="AP33" s="656"/>
      <c r="AQ33" s="656"/>
      <c r="AR33" s="656"/>
      <c r="AS33" s="1289"/>
      <c r="AT33" s="1289"/>
      <c r="AU33" s="1289"/>
      <c r="AV33" s="1289"/>
      <c r="AW33" s="1289"/>
      <c r="AX33" s="656"/>
      <c r="AY33" s="656"/>
      <c r="AZ33" s="656"/>
      <c r="BA33" s="656"/>
      <c r="BB33" s="657"/>
    </row>
    <row r="34" spans="1:54" s="13" customFormat="1" ht="11.25" customHeight="1" x14ac:dyDescent="0.2">
      <c r="A34" s="12"/>
      <c r="B34" s="12"/>
      <c r="C34" s="12"/>
      <c r="D34" s="12"/>
      <c r="E34" s="12"/>
      <c r="F34" s="12"/>
      <c r="G34" s="12"/>
      <c r="H34" s="1273"/>
      <c r="I34" s="1273"/>
      <c r="J34" s="1273"/>
      <c r="K34" s="1273"/>
      <c r="L34" s="1273"/>
      <c r="M34" s="1273"/>
      <c r="P34" s="14"/>
      <c r="Q34" s="15"/>
      <c r="R34" s="16" t="s">
        <v>18</v>
      </c>
      <c r="S34" s="17"/>
      <c r="T34" s="17"/>
      <c r="U34" s="18"/>
      <c r="V34" s="18"/>
      <c r="W34" s="18"/>
      <c r="X34" s="18"/>
      <c r="Y34" s="18"/>
      <c r="Z34" s="8"/>
      <c r="AA34" s="8"/>
      <c r="AB34" s="8"/>
      <c r="AC34" s="18"/>
      <c r="AD34" s="18" t="s">
        <v>19</v>
      </c>
      <c r="AE34" s="18" t="s">
        <v>20</v>
      </c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9"/>
      <c r="AS34" s="1178">
        <f>AN24</f>
        <v>30.03</v>
      </c>
      <c r="AT34" s="1178"/>
      <c r="AU34" s="1178"/>
      <c r="AV34" s="1178"/>
      <c r="AW34" s="1178"/>
      <c r="AX34" s="1178">
        <f>AC24</f>
        <v>30.03</v>
      </c>
      <c r="AY34" s="1178"/>
      <c r="AZ34" s="1178"/>
      <c r="BA34" s="1178"/>
      <c r="BB34" s="1179"/>
    </row>
    <row r="35" spans="1:54" s="13" customFormat="1" ht="11.25" customHeight="1" thickBot="1" x14ac:dyDescent="0.25">
      <c r="A35" s="12"/>
      <c r="B35" s="12"/>
      <c r="C35" s="12"/>
      <c r="D35" s="12"/>
      <c r="E35" s="12"/>
      <c r="F35" s="12"/>
      <c r="G35" s="12"/>
      <c r="H35" s="108"/>
      <c r="I35" s="108"/>
      <c r="J35" s="108"/>
      <c r="K35" s="108"/>
      <c r="L35" s="108"/>
      <c r="M35" s="108"/>
      <c r="P35" s="14"/>
      <c r="Q35" s="110"/>
      <c r="R35" s="20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 t="s">
        <v>19</v>
      </c>
      <c r="AE35" s="21" t="s">
        <v>21</v>
      </c>
      <c r="AF35" s="21"/>
      <c r="AG35" s="21"/>
      <c r="AH35" s="21"/>
      <c r="AI35" s="21"/>
      <c r="AJ35" s="21"/>
      <c r="AK35" s="21"/>
      <c r="AL35" s="21"/>
      <c r="AM35" s="21"/>
      <c r="AN35" s="21"/>
      <c r="AO35" s="1153">
        <v>0.30199999999999999</v>
      </c>
      <c r="AP35" s="997"/>
      <c r="AQ35" s="997"/>
      <c r="AR35" s="998"/>
      <c r="AS35" s="1154">
        <f>AX35/U12</f>
        <v>9.0690600000000003</v>
      </c>
      <c r="AT35" s="1154"/>
      <c r="AU35" s="1154"/>
      <c r="AV35" s="1154"/>
      <c r="AW35" s="1154"/>
      <c r="AX35" s="1154">
        <f>AX34*AO35</f>
        <v>9.0690600000000003</v>
      </c>
      <c r="AY35" s="1154"/>
      <c r="AZ35" s="1154"/>
      <c r="BA35" s="1154"/>
      <c r="BB35" s="1155"/>
    </row>
    <row r="36" spans="1:54" s="13" customFormat="1" ht="5.0999999999999996" customHeight="1" thickBot="1" x14ac:dyDescent="0.25">
      <c r="A36" s="12"/>
      <c r="B36" s="12"/>
      <c r="C36" s="12"/>
      <c r="D36" s="12"/>
      <c r="E36" s="12"/>
      <c r="F36" s="12"/>
      <c r="G36" s="12"/>
      <c r="H36" s="108"/>
      <c r="I36" s="108"/>
      <c r="J36" s="108"/>
      <c r="K36" s="108"/>
      <c r="L36" s="108"/>
      <c r="M36" s="108"/>
      <c r="P36" s="14"/>
      <c r="Q36" s="110"/>
      <c r="R36" s="110"/>
      <c r="S36" s="110"/>
      <c r="U36" s="110"/>
      <c r="V36" s="110"/>
      <c r="W36" s="110"/>
      <c r="Z36" s="8"/>
      <c r="AA36" s="8"/>
      <c r="AB36" s="8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116"/>
      <c r="AT36" s="114"/>
      <c r="AU36" s="114"/>
      <c r="AV36" s="114"/>
      <c r="AW36" s="114"/>
      <c r="AX36" s="116"/>
      <c r="AY36" s="114"/>
      <c r="AZ36" s="114"/>
      <c r="BA36" s="114"/>
      <c r="BB36" s="114"/>
    </row>
    <row r="37" spans="1:54" s="13" customFormat="1" ht="12" customHeight="1" x14ac:dyDescent="0.2">
      <c r="A37" s="1192" t="s">
        <v>8</v>
      </c>
      <c r="B37" s="1193"/>
      <c r="C37" s="1193"/>
      <c r="D37" s="1193"/>
      <c r="E37" s="1193"/>
      <c r="F37" s="1193"/>
      <c r="G37" s="1194"/>
      <c r="H37" s="1201" t="s">
        <v>9</v>
      </c>
      <c r="I37" s="1193"/>
      <c r="J37" s="1193"/>
      <c r="K37" s="1193"/>
      <c r="L37" s="1193"/>
      <c r="M37" s="1193"/>
      <c r="N37" s="1193"/>
      <c r="O37" s="1193"/>
      <c r="P37" s="1193"/>
      <c r="Q37" s="1193"/>
      <c r="R37" s="1193"/>
      <c r="S37" s="1193"/>
      <c r="T37" s="1193"/>
      <c r="U37" s="1193"/>
      <c r="V37" s="1193"/>
      <c r="W37" s="1193"/>
      <c r="X37" s="1193"/>
      <c r="Y37" s="1193"/>
      <c r="Z37" s="1193"/>
      <c r="AA37" s="1193"/>
      <c r="AB37" s="1194"/>
      <c r="AC37" s="1201" t="s">
        <v>10</v>
      </c>
      <c r="AD37" s="1193"/>
      <c r="AE37" s="1193"/>
      <c r="AF37" s="1193"/>
      <c r="AG37" s="1194"/>
      <c r="AH37" s="1210" t="s">
        <v>22</v>
      </c>
      <c r="AI37" s="1265"/>
      <c r="AJ37" s="1265"/>
      <c r="AK37" s="1265"/>
      <c r="AL37" s="1265"/>
      <c r="AM37" s="1266"/>
      <c r="AN37" s="1210" t="s">
        <v>12</v>
      </c>
      <c r="AO37" s="1204"/>
      <c r="AP37" s="1204"/>
      <c r="AQ37" s="1204"/>
      <c r="AR37" s="1205"/>
      <c r="AS37" s="1210" t="s">
        <v>13</v>
      </c>
      <c r="AT37" s="1204"/>
      <c r="AU37" s="1204"/>
      <c r="AV37" s="1204"/>
      <c r="AW37" s="1213"/>
      <c r="AX37" s="1210" t="s">
        <v>14</v>
      </c>
      <c r="AY37" s="1204"/>
      <c r="AZ37" s="1204"/>
      <c r="BA37" s="1204"/>
      <c r="BB37" s="1213"/>
    </row>
    <row r="38" spans="1:54" s="13" customFormat="1" ht="12" customHeight="1" x14ac:dyDescent="0.2">
      <c r="A38" s="1195"/>
      <c r="B38" s="1196"/>
      <c r="C38" s="1196"/>
      <c r="D38" s="1196"/>
      <c r="E38" s="1196"/>
      <c r="F38" s="1196"/>
      <c r="G38" s="1197"/>
      <c r="H38" s="1202"/>
      <c r="I38" s="1196"/>
      <c r="J38" s="1196"/>
      <c r="K38" s="1196"/>
      <c r="L38" s="1196"/>
      <c r="M38" s="1196"/>
      <c r="N38" s="1196"/>
      <c r="O38" s="1196"/>
      <c r="P38" s="1196"/>
      <c r="Q38" s="1196"/>
      <c r="R38" s="1196"/>
      <c r="S38" s="1196"/>
      <c r="T38" s="1196"/>
      <c r="U38" s="1196"/>
      <c r="V38" s="1196"/>
      <c r="W38" s="1196"/>
      <c r="X38" s="1196"/>
      <c r="Y38" s="1196"/>
      <c r="Z38" s="1196"/>
      <c r="AA38" s="1196"/>
      <c r="AB38" s="1197"/>
      <c r="AC38" s="1202"/>
      <c r="AD38" s="1196"/>
      <c r="AE38" s="1196"/>
      <c r="AF38" s="1196"/>
      <c r="AG38" s="1197"/>
      <c r="AH38" s="1267"/>
      <c r="AI38" s="1268"/>
      <c r="AJ38" s="1268"/>
      <c r="AK38" s="1268"/>
      <c r="AL38" s="1268"/>
      <c r="AM38" s="1269"/>
      <c r="AN38" s="1211"/>
      <c r="AO38" s="1206"/>
      <c r="AP38" s="1206"/>
      <c r="AQ38" s="1206"/>
      <c r="AR38" s="1207"/>
      <c r="AS38" s="1211"/>
      <c r="AT38" s="1206"/>
      <c r="AU38" s="1206"/>
      <c r="AV38" s="1206"/>
      <c r="AW38" s="1214"/>
      <c r="AX38" s="1211"/>
      <c r="AY38" s="1206"/>
      <c r="AZ38" s="1206"/>
      <c r="BA38" s="1206"/>
      <c r="BB38" s="1214"/>
    </row>
    <row r="39" spans="1:54" s="13" customFormat="1" ht="11.25" customHeight="1" thickBot="1" x14ac:dyDescent="0.25">
      <c r="A39" s="1198"/>
      <c r="B39" s="1199"/>
      <c r="C39" s="1199"/>
      <c r="D39" s="1199"/>
      <c r="E39" s="1199"/>
      <c r="F39" s="1199"/>
      <c r="G39" s="1200"/>
      <c r="H39" s="1203"/>
      <c r="I39" s="1199"/>
      <c r="J39" s="1199"/>
      <c r="K39" s="1199"/>
      <c r="L39" s="1199"/>
      <c r="M39" s="1199"/>
      <c r="N39" s="1199"/>
      <c r="O39" s="1199"/>
      <c r="P39" s="1199"/>
      <c r="Q39" s="1199"/>
      <c r="R39" s="1199"/>
      <c r="S39" s="1199"/>
      <c r="T39" s="1199"/>
      <c r="U39" s="1199"/>
      <c r="V39" s="1199"/>
      <c r="W39" s="1199"/>
      <c r="X39" s="1199"/>
      <c r="Y39" s="1199"/>
      <c r="Z39" s="1199"/>
      <c r="AA39" s="1199"/>
      <c r="AB39" s="1200"/>
      <c r="AC39" s="1203"/>
      <c r="AD39" s="1199"/>
      <c r="AE39" s="1199"/>
      <c r="AF39" s="1199"/>
      <c r="AG39" s="1200"/>
      <c r="AH39" s="1270"/>
      <c r="AI39" s="1271"/>
      <c r="AJ39" s="1271"/>
      <c r="AK39" s="1271"/>
      <c r="AL39" s="1271"/>
      <c r="AM39" s="1272"/>
      <c r="AN39" s="1212"/>
      <c r="AO39" s="1208"/>
      <c r="AP39" s="1208"/>
      <c r="AQ39" s="1208"/>
      <c r="AR39" s="1209"/>
      <c r="AS39" s="1212"/>
      <c r="AT39" s="1208"/>
      <c r="AU39" s="1208"/>
      <c r="AV39" s="1208"/>
      <c r="AW39" s="1215"/>
      <c r="AX39" s="1212"/>
      <c r="AY39" s="1208"/>
      <c r="AZ39" s="1208"/>
      <c r="BA39" s="1208"/>
      <c r="BB39" s="1215"/>
    </row>
    <row r="40" spans="1:54" ht="18.75" customHeight="1" thickBot="1" x14ac:dyDescent="0.25">
      <c r="A40" s="1219" t="s">
        <v>23</v>
      </c>
      <c r="B40" s="1220"/>
      <c r="C40" s="1220"/>
      <c r="D40" s="1220"/>
      <c r="E40" s="1220"/>
      <c r="F40" s="1220"/>
      <c r="G40" s="1220"/>
      <c r="H40" s="1220"/>
      <c r="I40" s="1220"/>
      <c r="J40" s="1220"/>
      <c r="K40" s="1220"/>
      <c r="L40" s="1220"/>
      <c r="M40" s="1220"/>
      <c r="N40" s="1220"/>
      <c r="O40" s="1220"/>
      <c r="P40" s="1220"/>
      <c r="Q40" s="1220"/>
      <c r="R40" s="1220"/>
      <c r="S40" s="1220"/>
      <c r="T40" s="1220"/>
      <c r="U40" s="1220"/>
      <c r="V40" s="1220"/>
      <c r="W40" s="1220"/>
      <c r="X40" s="1220"/>
      <c r="Y40" s="1220"/>
      <c r="Z40" s="1220"/>
      <c r="AA40" s="1220"/>
      <c r="AB40" s="1220"/>
      <c r="AC40" s="1220"/>
      <c r="AD40" s="1220"/>
      <c r="AE40" s="1220"/>
      <c r="AF40" s="1220"/>
      <c r="AG40" s="1220"/>
      <c r="AH40" s="1220"/>
      <c r="AI40" s="1220"/>
      <c r="AJ40" s="1220"/>
      <c r="AK40" s="1220"/>
      <c r="AL40" s="1220"/>
      <c r="AM40" s="1220"/>
      <c r="AN40" s="1220"/>
      <c r="AO40" s="1220"/>
      <c r="AP40" s="1220"/>
      <c r="AQ40" s="1220"/>
      <c r="AR40" s="1220"/>
      <c r="AS40" s="1220"/>
      <c r="AT40" s="1220"/>
      <c r="AU40" s="1220"/>
      <c r="AV40" s="1220"/>
      <c r="AW40" s="1220"/>
      <c r="AX40" s="1220"/>
      <c r="AY40" s="1220"/>
      <c r="AZ40" s="1220"/>
      <c r="BA40" s="1220"/>
      <c r="BB40" s="1221"/>
    </row>
    <row r="41" spans="1:54" ht="36" customHeight="1" x14ac:dyDescent="0.2">
      <c r="A41" s="1591"/>
      <c r="B41" s="1591"/>
      <c r="C41" s="1591"/>
      <c r="D41" s="1591"/>
      <c r="E41" s="1591"/>
      <c r="F41" s="1591"/>
      <c r="G41" s="1592"/>
      <c r="H41" s="1231" t="s">
        <v>16</v>
      </c>
      <c r="I41" s="1232"/>
      <c r="J41" s="1232"/>
      <c r="K41" s="1232"/>
      <c r="L41" s="1232"/>
      <c r="M41" s="1232"/>
      <c r="N41" s="1232"/>
      <c r="O41" s="1232"/>
      <c r="P41" s="1232"/>
      <c r="Q41" s="1232"/>
      <c r="R41" s="1232"/>
      <c r="S41" s="1232"/>
      <c r="T41" s="1232"/>
      <c r="U41" s="1232"/>
      <c r="V41" s="1232"/>
      <c r="W41" s="1232"/>
      <c r="X41" s="1232"/>
      <c r="Y41" s="1232"/>
      <c r="Z41" s="1237">
        <v>0</v>
      </c>
      <c r="AA41" s="1238"/>
      <c r="AB41" s="1239"/>
      <c r="AC41" s="1611">
        <f>R41*Z43</f>
        <v>0</v>
      </c>
      <c r="AD41" s="1608"/>
      <c r="AE41" s="1608"/>
      <c r="AF41" s="1608"/>
      <c r="AG41" s="1612"/>
      <c r="AH41" s="1597">
        <v>144</v>
      </c>
      <c r="AI41" s="1598"/>
      <c r="AJ41" s="1598"/>
      <c r="AK41" s="1598"/>
      <c r="AL41" s="1598"/>
      <c r="AM41" s="1599"/>
      <c r="AN41" s="1607">
        <f>AC41/AH41</f>
        <v>0</v>
      </c>
      <c r="AO41" s="1608"/>
      <c r="AP41" s="1608"/>
      <c r="AQ41" s="1608"/>
      <c r="AR41" s="1612"/>
      <c r="AS41" s="1617">
        <v>0</v>
      </c>
      <c r="AT41" s="1618"/>
      <c r="AU41" s="1618"/>
      <c r="AV41" s="1618"/>
      <c r="AW41" s="1619"/>
      <c r="AX41" s="1607">
        <f>AN41*AS41</f>
        <v>0</v>
      </c>
      <c r="AY41" s="1608"/>
      <c r="AZ41" s="1608"/>
      <c r="BA41" s="1608"/>
      <c r="BB41" s="1608"/>
    </row>
    <row r="42" spans="1:54" s="11" customFormat="1" ht="0.75" hidden="1" customHeight="1" x14ac:dyDescent="0.2">
      <c r="A42" s="1226"/>
      <c r="B42" s="1226"/>
      <c r="C42" s="1226"/>
      <c r="D42" s="1226"/>
      <c r="E42" s="1226"/>
      <c r="F42" s="1226"/>
      <c r="G42" s="1227"/>
      <c r="H42" s="1233"/>
      <c r="I42" s="1234"/>
      <c r="J42" s="1234"/>
      <c r="K42" s="1234"/>
      <c r="L42" s="1234"/>
      <c r="M42" s="1234"/>
      <c r="N42" s="1234"/>
      <c r="O42" s="1234"/>
      <c r="P42" s="1234"/>
      <c r="Q42" s="1234"/>
      <c r="R42" s="1234"/>
      <c r="S42" s="1234"/>
      <c r="T42" s="1234"/>
      <c r="U42" s="1234"/>
      <c r="V42" s="1234"/>
      <c r="W42" s="1234"/>
      <c r="X42" s="1234"/>
      <c r="Y42" s="1234"/>
      <c r="Z42" s="1240"/>
      <c r="AA42" s="1241"/>
      <c r="AB42" s="1242"/>
      <c r="AC42" s="1613"/>
      <c r="AD42" s="1283"/>
      <c r="AE42" s="1283"/>
      <c r="AF42" s="1283"/>
      <c r="AG42" s="1614"/>
      <c r="AH42" s="1253"/>
      <c r="AI42" s="1254"/>
      <c r="AJ42" s="1254"/>
      <c r="AK42" s="1254"/>
      <c r="AL42" s="1254"/>
      <c r="AM42" s="1255"/>
      <c r="AN42" s="1282"/>
      <c r="AO42" s="1283"/>
      <c r="AP42" s="1283"/>
      <c r="AQ42" s="1283"/>
      <c r="AR42" s="1614"/>
      <c r="AS42" s="974"/>
      <c r="AT42" s="975"/>
      <c r="AU42" s="975"/>
      <c r="AV42" s="975"/>
      <c r="AW42" s="976"/>
      <c r="AX42" s="1282"/>
      <c r="AY42" s="1283"/>
      <c r="AZ42" s="1283"/>
      <c r="BA42" s="1283"/>
      <c r="BB42" s="1283"/>
    </row>
    <row r="43" spans="1:54" ht="22.5" customHeight="1" x14ac:dyDescent="0.2">
      <c r="A43" s="1226"/>
      <c r="B43" s="1226"/>
      <c r="C43" s="1226"/>
      <c r="D43" s="1226"/>
      <c r="E43" s="1226"/>
      <c r="F43" s="1226"/>
      <c r="G43" s="1227"/>
      <c r="H43" s="1233"/>
      <c r="I43" s="1234"/>
      <c r="J43" s="1234"/>
      <c r="K43" s="1234"/>
      <c r="L43" s="1234"/>
      <c r="M43" s="1234"/>
      <c r="N43" s="1234"/>
      <c r="O43" s="1234"/>
      <c r="P43" s="1234"/>
      <c r="Q43" s="1234"/>
      <c r="R43" s="1234"/>
      <c r="S43" s="1234"/>
      <c r="T43" s="1234"/>
      <c r="U43" s="1234"/>
      <c r="V43" s="1234"/>
      <c r="W43" s="1234"/>
      <c r="X43" s="1234"/>
      <c r="Y43" s="1234"/>
      <c r="Z43" s="1240"/>
      <c r="AA43" s="1241"/>
      <c r="AB43" s="1242"/>
      <c r="AC43" s="1613"/>
      <c r="AD43" s="1283"/>
      <c r="AE43" s="1283"/>
      <c r="AF43" s="1283"/>
      <c r="AG43" s="1614"/>
      <c r="AH43" s="1253"/>
      <c r="AI43" s="1254"/>
      <c r="AJ43" s="1254"/>
      <c r="AK43" s="1254"/>
      <c r="AL43" s="1254"/>
      <c r="AM43" s="1255"/>
      <c r="AN43" s="1282"/>
      <c r="AO43" s="1283"/>
      <c r="AP43" s="1283"/>
      <c r="AQ43" s="1283"/>
      <c r="AR43" s="1614"/>
      <c r="AS43" s="974"/>
      <c r="AT43" s="975"/>
      <c r="AU43" s="975"/>
      <c r="AV43" s="975"/>
      <c r="AW43" s="976"/>
      <c r="AX43" s="1282"/>
      <c r="AY43" s="1283"/>
      <c r="AZ43" s="1283"/>
      <c r="BA43" s="1283"/>
      <c r="BB43" s="1283"/>
    </row>
    <row r="44" spans="1:54" s="11" customFormat="1" ht="21" hidden="1" customHeight="1" x14ac:dyDescent="0.2">
      <c r="A44" s="1226"/>
      <c r="B44" s="1226"/>
      <c r="C44" s="1226"/>
      <c r="D44" s="1226"/>
      <c r="E44" s="1226"/>
      <c r="F44" s="1226"/>
      <c r="G44" s="1227"/>
      <c r="H44" s="1233"/>
      <c r="I44" s="1234"/>
      <c r="J44" s="1234"/>
      <c r="K44" s="1234"/>
      <c r="L44" s="1234"/>
      <c r="M44" s="1234"/>
      <c r="N44" s="1234"/>
      <c r="O44" s="1234"/>
      <c r="P44" s="1234"/>
      <c r="Q44" s="1234"/>
      <c r="R44" s="1234"/>
      <c r="S44" s="1234"/>
      <c r="T44" s="1234"/>
      <c r="U44" s="1234"/>
      <c r="V44" s="1234"/>
      <c r="W44" s="1234"/>
      <c r="X44" s="1234"/>
      <c r="Y44" s="1234"/>
      <c r="Z44" s="1240"/>
      <c r="AA44" s="1241"/>
      <c r="AB44" s="1242"/>
      <c r="AC44" s="1613"/>
      <c r="AD44" s="1283"/>
      <c r="AE44" s="1283"/>
      <c r="AF44" s="1283"/>
      <c r="AG44" s="1614"/>
      <c r="AH44" s="1253"/>
      <c r="AI44" s="1254"/>
      <c r="AJ44" s="1254"/>
      <c r="AK44" s="1254"/>
      <c r="AL44" s="1254"/>
      <c r="AM44" s="1255"/>
      <c r="AN44" s="1282"/>
      <c r="AO44" s="1283"/>
      <c r="AP44" s="1283"/>
      <c r="AQ44" s="1283"/>
      <c r="AR44" s="1614"/>
      <c r="AS44" s="974"/>
      <c r="AT44" s="975"/>
      <c r="AU44" s="975"/>
      <c r="AV44" s="975"/>
      <c r="AW44" s="976"/>
      <c r="AX44" s="1282"/>
      <c r="AY44" s="1283"/>
      <c r="AZ44" s="1283"/>
      <c r="BA44" s="1283"/>
      <c r="BB44" s="1283"/>
    </row>
    <row r="45" spans="1:54" s="11" customFormat="1" ht="21.75" hidden="1" customHeight="1" x14ac:dyDescent="0.2">
      <c r="A45" s="1226"/>
      <c r="B45" s="1226"/>
      <c r="C45" s="1226"/>
      <c r="D45" s="1226"/>
      <c r="E45" s="1226"/>
      <c r="F45" s="1226"/>
      <c r="G45" s="1227"/>
      <c r="H45" s="1233"/>
      <c r="I45" s="1234"/>
      <c r="J45" s="1234"/>
      <c r="K45" s="1234"/>
      <c r="L45" s="1234"/>
      <c r="M45" s="1234"/>
      <c r="N45" s="1234"/>
      <c r="O45" s="1234"/>
      <c r="P45" s="1234"/>
      <c r="Q45" s="1234"/>
      <c r="R45" s="1234"/>
      <c r="S45" s="1234"/>
      <c r="T45" s="1234"/>
      <c r="U45" s="1234"/>
      <c r="V45" s="1234"/>
      <c r="W45" s="1234"/>
      <c r="X45" s="1234"/>
      <c r="Y45" s="1234"/>
      <c r="Z45" s="1240"/>
      <c r="AA45" s="1241"/>
      <c r="AB45" s="1242"/>
      <c r="AC45" s="1613"/>
      <c r="AD45" s="1283"/>
      <c r="AE45" s="1283"/>
      <c r="AF45" s="1283"/>
      <c r="AG45" s="1614"/>
      <c r="AH45" s="1253"/>
      <c r="AI45" s="1254"/>
      <c r="AJ45" s="1254"/>
      <c r="AK45" s="1254"/>
      <c r="AL45" s="1254"/>
      <c r="AM45" s="1255"/>
      <c r="AN45" s="1282"/>
      <c r="AO45" s="1283"/>
      <c r="AP45" s="1283"/>
      <c r="AQ45" s="1283"/>
      <c r="AR45" s="1614"/>
      <c r="AS45" s="974"/>
      <c r="AT45" s="975"/>
      <c r="AU45" s="975"/>
      <c r="AV45" s="975"/>
      <c r="AW45" s="976"/>
      <c r="AX45" s="1282"/>
      <c r="AY45" s="1283"/>
      <c r="AZ45" s="1283"/>
      <c r="BA45" s="1283"/>
      <c r="BB45" s="1283"/>
    </row>
    <row r="46" spans="1:54" s="11" customFormat="1" ht="24" hidden="1" customHeight="1" x14ac:dyDescent="0.2">
      <c r="A46" s="1226"/>
      <c r="B46" s="1226"/>
      <c r="C46" s="1226"/>
      <c r="D46" s="1226"/>
      <c r="E46" s="1226"/>
      <c r="F46" s="1226"/>
      <c r="G46" s="1227"/>
      <c r="H46" s="1233"/>
      <c r="I46" s="1234"/>
      <c r="J46" s="1234"/>
      <c r="K46" s="1234"/>
      <c r="L46" s="1234"/>
      <c r="M46" s="1234"/>
      <c r="N46" s="1234"/>
      <c r="O46" s="1234"/>
      <c r="P46" s="1234"/>
      <c r="Q46" s="1234"/>
      <c r="R46" s="1234"/>
      <c r="S46" s="1234"/>
      <c r="T46" s="1234"/>
      <c r="U46" s="1234"/>
      <c r="V46" s="1234"/>
      <c r="W46" s="1234"/>
      <c r="X46" s="1234"/>
      <c r="Y46" s="1234"/>
      <c r="Z46" s="1240"/>
      <c r="AA46" s="1241"/>
      <c r="AB46" s="1242"/>
      <c r="AC46" s="1613"/>
      <c r="AD46" s="1283"/>
      <c r="AE46" s="1283"/>
      <c r="AF46" s="1283"/>
      <c r="AG46" s="1614"/>
      <c r="AH46" s="1253"/>
      <c r="AI46" s="1254"/>
      <c r="AJ46" s="1254"/>
      <c r="AK46" s="1254"/>
      <c r="AL46" s="1254"/>
      <c r="AM46" s="1255"/>
      <c r="AN46" s="1282"/>
      <c r="AO46" s="1283"/>
      <c r="AP46" s="1283"/>
      <c r="AQ46" s="1283"/>
      <c r="AR46" s="1614"/>
      <c r="AS46" s="974"/>
      <c r="AT46" s="975"/>
      <c r="AU46" s="975"/>
      <c r="AV46" s="975"/>
      <c r="AW46" s="976"/>
      <c r="AX46" s="1282"/>
      <c r="AY46" s="1283"/>
      <c r="AZ46" s="1283"/>
      <c r="BA46" s="1283"/>
      <c r="BB46" s="1283"/>
    </row>
    <row r="47" spans="1:54" s="11" customFormat="1" ht="18" hidden="1" customHeight="1" x14ac:dyDescent="0.2">
      <c r="A47" s="1226"/>
      <c r="B47" s="1226"/>
      <c r="C47" s="1226"/>
      <c r="D47" s="1226"/>
      <c r="E47" s="1226"/>
      <c r="F47" s="1226"/>
      <c r="G47" s="1227"/>
      <c r="H47" s="1233"/>
      <c r="I47" s="1234"/>
      <c r="J47" s="1234"/>
      <c r="K47" s="1234"/>
      <c r="L47" s="1234"/>
      <c r="M47" s="1234"/>
      <c r="N47" s="1234"/>
      <c r="O47" s="1234"/>
      <c r="P47" s="1234"/>
      <c r="Q47" s="1234"/>
      <c r="R47" s="1234"/>
      <c r="S47" s="1234"/>
      <c r="T47" s="1234"/>
      <c r="U47" s="1234"/>
      <c r="V47" s="1234"/>
      <c r="W47" s="1234"/>
      <c r="X47" s="1234"/>
      <c r="Y47" s="1234"/>
      <c r="Z47" s="1240"/>
      <c r="AA47" s="1241"/>
      <c r="AB47" s="1242"/>
      <c r="AC47" s="1613"/>
      <c r="AD47" s="1283"/>
      <c r="AE47" s="1283"/>
      <c r="AF47" s="1283"/>
      <c r="AG47" s="1614"/>
      <c r="AH47" s="1253"/>
      <c r="AI47" s="1254"/>
      <c r="AJ47" s="1254"/>
      <c r="AK47" s="1254"/>
      <c r="AL47" s="1254"/>
      <c r="AM47" s="1255"/>
      <c r="AN47" s="1282"/>
      <c r="AO47" s="1283"/>
      <c r="AP47" s="1283"/>
      <c r="AQ47" s="1283"/>
      <c r="AR47" s="1614"/>
      <c r="AS47" s="974"/>
      <c r="AT47" s="975"/>
      <c r="AU47" s="975"/>
      <c r="AV47" s="975"/>
      <c r="AW47" s="976"/>
      <c r="AX47" s="1282"/>
      <c r="AY47" s="1283"/>
      <c r="AZ47" s="1283"/>
      <c r="BA47" s="1283"/>
      <c r="BB47" s="1283"/>
    </row>
    <row r="48" spans="1:54" s="11" customFormat="1" ht="17.25" hidden="1" customHeight="1" x14ac:dyDescent="0.2">
      <c r="A48" s="1226"/>
      <c r="B48" s="1226"/>
      <c r="C48" s="1226"/>
      <c r="D48" s="1226"/>
      <c r="E48" s="1226"/>
      <c r="F48" s="1226"/>
      <c r="G48" s="1227"/>
      <c r="H48" s="1233"/>
      <c r="I48" s="1234"/>
      <c r="J48" s="1234"/>
      <c r="K48" s="1234"/>
      <c r="L48" s="1234"/>
      <c r="M48" s="1234"/>
      <c r="N48" s="1234"/>
      <c r="O48" s="1234"/>
      <c r="P48" s="1234"/>
      <c r="Q48" s="1234"/>
      <c r="R48" s="1234"/>
      <c r="S48" s="1234"/>
      <c r="T48" s="1234"/>
      <c r="U48" s="1234"/>
      <c r="V48" s="1234"/>
      <c r="W48" s="1234"/>
      <c r="X48" s="1234"/>
      <c r="Y48" s="1234"/>
      <c r="Z48" s="1240"/>
      <c r="AA48" s="1241"/>
      <c r="AB48" s="1242"/>
      <c r="AC48" s="1613"/>
      <c r="AD48" s="1283"/>
      <c r="AE48" s="1283"/>
      <c r="AF48" s="1283"/>
      <c r="AG48" s="1614"/>
      <c r="AH48" s="1253"/>
      <c r="AI48" s="1254"/>
      <c r="AJ48" s="1254"/>
      <c r="AK48" s="1254"/>
      <c r="AL48" s="1254"/>
      <c r="AM48" s="1255"/>
      <c r="AN48" s="1282"/>
      <c r="AO48" s="1283"/>
      <c r="AP48" s="1283"/>
      <c r="AQ48" s="1283"/>
      <c r="AR48" s="1614"/>
      <c r="AS48" s="974"/>
      <c r="AT48" s="975"/>
      <c r="AU48" s="975"/>
      <c r="AV48" s="975"/>
      <c r="AW48" s="976"/>
      <c r="AX48" s="1282"/>
      <c r="AY48" s="1283"/>
      <c r="AZ48" s="1283"/>
      <c r="BA48" s="1283"/>
      <c r="BB48" s="1283"/>
    </row>
    <row r="49" spans="1:54" s="11" customFormat="1" ht="14.25" hidden="1" customHeight="1" x14ac:dyDescent="0.2">
      <c r="A49" s="1226"/>
      <c r="B49" s="1226"/>
      <c r="C49" s="1226"/>
      <c r="D49" s="1226"/>
      <c r="E49" s="1226"/>
      <c r="F49" s="1226"/>
      <c r="G49" s="1227"/>
      <c r="H49" s="1233"/>
      <c r="I49" s="1234"/>
      <c r="J49" s="1234"/>
      <c r="K49" s="1234"/>
      <c r="L49" s="1234"/>
      <c r="M49" s="1234"/>
      <c r="N49" s="1234"/>
      <c r="O49" s="1234"/>
      <c r="P49" s="1234"/>
      <c r="Q49" s="1234"/>
      <c r="R49" s="1234"/>
      <c r="S49" s="1234"/>
      <c r="T49" s="1234"/>
      <c r="U49" s="1234"/>
      <c r="V49" s="1234"/>
      <c r="W49" s="1234"/>
      <c r="X49" s="1234"/>
      <c r="Y49" s="1234"/>
      <c r="Z49" s="1240"/>
      <c r="AA49" s="1241"/>
      <c r="AB49" s="1242"/>
      <c r="AC49" s="1613"/>
      <c r="AD49" s="1283"/>
      <c r="AE49" s="1283"/>
      <c r="AF49" s="1283"/>
      <c r="AG49" s="1614"/>
      <c r="AH49" s="1253"/>
      <c r="AI49" s="1254"/>
      <c r="AJ49" s="1254"/>
      <c r="AK49" s="1254"/>
      <c r="AL49" s="1254"/>
      <c r="AM49" s="1255"/>
      <c r="AN49" s="1282"/>
      <c r="AO49" s="1283"/>
      <c r="AP49" s="1283"/>
      <c r="AQ49" s="1283"/>
      <c r="AR49" s="1614"/>
      <c r="AS49" s="974"/>
      <c r="AT49" s="975"/>
      <c r="AU49" s="975"/>
      <c r="AV49" s="975"/>
      <c r="AW49" s="976"/>
      <c r="AX49" s="1282"/>
      <c r="AY49" s="1283"/>
      <c r="AZ49" s="1283"/>
      <c r="BA49" s="1283"/>
      <c r="BB49" s="1283"/>
    </row>
    <row r="50" spans="1:54" ht="4.5" customHeight="1" thickBot="1" x14ac:dyDescent="0.25">
      <c r="A50" s="1593"/>
      <c r="B50" s="1593"/>
      <c r="C50" s="1593"/>
      <c r="D50" s="1593"/>
      <c r="E50" s="1593"/>
      <c r="F50" s="1593"/>
      <c r="G50" s="1594"/>
      <c r="H50" s="1235"/>
      <c r="I50" s="1236"/>
      <c r="J50" s="1236"/>
      <c r="K50" s="1236"/>
      <c r="L50" s="1236"/>
      <c r="M50" s="1236"/>
      <c r="N50" s="1236"/>
      <c r="O50" s="1236"/>
      <c r="P50" s="1236"/>
      <c r="Q50" s="1236"/>
      <c r="R50" s="1236"/>
      <c r="S50" s="1236"/>
      <c r="T50" s="1236"/>
      <c r="U50" s="1236"/>
      <c r="V50" s="1236"/>
      <c r="W50" s="1236"/>
      <c r="X50" s="1236"/>
      <c r="Y50" s="1236"/>
      <c r="Z50" s="1243"/>
      <c r="AA50" s="1244"/>
      <c r="AB50" s="1245"/>
      <c r="AC50" s="1615"/>
      <c r="AD50" s="1610"/>
      <c r="AE50" s="1610"/>
      <c r="AF50" s="1610"/>
      <c r="AG50" s="1616"/>
      <c r="AH50" s="1256"/>
      <c r="AI50" s="1257"/>
      <c r="AJ50" s="1257"/>
      <c r="AK50" s="1257"/>
      <c r="AL50" s="1257"/>
      <c r="AM50" s="1258"/>
      <c r="AN50" s="1609"/>
      <c r="AO50" s="1610"/>
      <c r="AP50" s="1610"/>
      <c r="AQ50" s="1610"/>
      <c r="AR50" s="1616"/>
      <c r="AS50" s="1620"/>
      <c r="AT50" s="1621"/>
      <c r="AU50" s="1621"/>
      <c r="AV50" s="1621"/>
      <c r="AW50" s="1622"/>
      <c r="AX50" s="1609"/>
      <c r="AY50" s="1610"/>
      <c r="AZ50" s="1610"/>
      <c r="BA50" s="1610"/>
      <c r="BB50" s="1610"/>
    </row>
    <row r="51" spans="1:54" s="11" customFormat="1" ht="11.25" customHeight="1" x14ac:dyDescent="0.2">
      <c r="A51" s="12"/>
      <c r="B51" s="12"/>
      <c r="C51" s="12"/>
      <c r="D51" s="12"/>
      <c r="E51" s="12"/>
      <c r="F51" s="12"/>
      <c r="G51" s="12"/>
      <c r="H51" s="1216"/>
      <c r="I51" s="1216"/>
      <c r="J51" s="1216"/>
      <c r="K51" s="1216"/>
      <c r="L51" s="10"/>
      <c r="M51" s="10"/>
      <c r="N51" s="10"/>
      <c r="O51" s="10"/>
      <c r="P51" s="10"/>
      <c r="Q51" s="23"/>
      <c r="R51" s="24" t="s">
        <v>18</v>
      </c>
      <c r="S51" s="9"/>
      <c r="T51" s="9"/>
      <c r="U51" s="8"/>
      <c r="V51" s="8"/>
      <c r="W51" s="8"/>
      <c r="X51" s="8"/>
      <c r="Y51" s="8"/>
      <c r="Z51" s="8"/>
      <c r="AA51" s="8"/>
      <c r="AB51" s="8"/>
      <c r="AC51" s="8"/>
      <c r="AD51" s="8" t="s">
        <v>19</v>
      </c>
      <c r="AE51" s="8" t="s">
        <v>20</v>
      </c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25"/>
      <c r="AS51" s="1217">
        <f>SUM(AN41:AR50)</f>
        <v>0</v>
      </c>
      <c r="AT51" s="1217"/>
      <c r="AU51" s="1217"/>
      <c r="AV51" s="1217"/>
      <c r="AW51" s="1217"/>
      <c r="AX51" s="1217">
        <f>SUM(AX41:BB44)</f>
        <v>0</v>
      </c>
      <c r="AY51" s="1217"/>
      <c r="AZ51" s="1217"/>
      <c r="BA51" s="1217"/>
      <c r="BB51" s="1218"/>
    </row>
    <row r="52" spans="1:54" s="11" customFormat="1" ht="11.25" customHeight="1" thickBot="1" x14ac:dyDescent="0.25">
      <c r="A52" s="12"/>
      <c r="B52" s="12"/>
      <c r="C52" s="12"/>
      <c r="D52" s="12"/>
      <c r="E52" s="12"/>
      <c r="F52" s="12"/>
      <c r="G52" s="12"/>
      <c r="H52" s="109"/>
      <c r="I52" s="109"/>
      <c r="J52" s="109"/>
      <c r="K52" s="109"/>
      <c r="L52" s="10"/>
      <c r="M52" s="10"/>
      <c r="N52" s="10"/>
      <c r="O52" s="10"/>
      <c r="P52" s="10"/>
      <c r="Q52" s="26"/>
      <c r="R52" s="20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 t="s">
        <v>19</v>
      </c>
      <c r="AE52" s="21" t="s">
        <v>21</v>
      </c>
      <c r="AF52" s="21"/>
      <c r="AG52" s="21"/>
      <c r="AH52" s="21"/>
      <c r="AI52" s="21"/>
      <c r="AJ52" s="21"/>
      <c r="AK52" s="21"/>
      <c r="AL52" s="21"/>
      <c r="AM52" s="21"/>
      <c r="AN52" s="21"/>
      <c r="AO52" s="1153">
        <v>0.30199999999999999</v>
      </c>
      <c r="AP52" s="997"/>
      <c r="AQ52" s="997"/>
      <c r="AR52" s="998"/>
      <c r="AS52" s="1154">
        <f>AS51*27.1%</f>
        <v>0</v>
      </c>
      <c r="AT52" s="1154"/>
      <c r="AU52" s="1154"/>
      <c r="AV52" s="1154"/>
      <c r="AW52" s="1154"/>
      <c r="AX52" s="1154">
        <f>AX51*AO52</f>
        <v>0</v>
      </c>
      <c r="AY52" s="1154"/>
      <c r="AZ52" s="1154"/>
      <c r="BA52" s="1154"/>
      <c r="BB52" s="1155"/>
    </row>
    <row r="53" spans="1:54" s="11" customFormat="1" ht="8.25" customHeight="1" thickBot="1" x14ac:dyDescent="0.25">
      <c r="A53" s="12"/>
      <c r="B53" s="12"/>
      <c r="C53" s="12"/>
      <c r="D53" s="12"/>
      <c r="E53" s="12"/>
      <c r="F53" s="12"/>
      <c r="G53" s="12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27"/>
      <c r="AA53" s="27"/>
      <c r="AB53" s="27"/>
      <c r="AC53" s="27"/>
      <c r="AD53" s="27"/>
      <c r="AE53" s="28"/>
      <c r="AF53" s="28"/>
      <c r="AG53" s="28"/>
      <c r="AH53" s="28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13"/>
      <c r="AT53" s="13"/>
      <c r="AU53" s="13"/>
      <c r="AV53" s="13"/>
      <c r="AW53" s="13"/>
      <c r="AX53" s="13"/>
      <c r="AY53" s="13"/>
      <c r="AZ53" s="13"/>
      <c r="BA53" s="13"/>
      <c r="BB53" s="13"/>
    </row>
    <row r="54" spans="1:54" s="11" customFormat="1" ht="12" customHeight="1" x14ac:dyDescent="0.2">
      <c r="A54" s="1192" t="s">
        <v>8</v>
      </c>
      <c r="B54" s="1193"/>
      <c r="C54" s="1193"/>
      <c r="D54" s="1193"/>
      <c r="E54" s="1193"/>
      <c r="F54" s="1193"/>
      <c r="G54" s="1194"/>
      <c r="H54" s="1201" t="s">
        <v>9</v>
      </c>
      <c r="I54" s="1193"/>
      <c r="J54" s="1193"/>
      <c r="K54" s="1193"/>
      <c r="L54" s="1193"/>
      <c r="M54" s="1193"/>
      <c r="N54" s="1193"/>
      <c r="O54" s="1193"/>
      <c r="P54" s="1193"/>
      <c r="Q54" s="1193"/>
      <c r="R54" s="1193"/>
      <c r="S54" s="1193"/>
      <c r="T54" s="1193"/>
      <c r="U54" s="1193"/>
      <c r="V54" s="1193"/>
      <c r="W54" s="1193"/>
      <c r="X54" s="1193"/>
      <c r="Y54" s="1193"/>
      <c r="Z54" s="1193"/>
      <c r="AA54" s="1193"/>
      <c r="AB54" s="1194"/>
      <c r="AC54" s="1201" t="s">
        <v>10</v>
      </c>
      <c r="AD54" s="1193"/>
      <c r="AE54" s="1193"/>
      <c r="AF54" s="1193"/>
      <c r="AG54" s="1194"/>
      <c r="AH54" s="1204" t="s">
        <v>24</v>
      </c>
      <c r="AI54" s="1204"/>
      <c r="AJ54" s="1204"/>
      <c r="AK54" s="1204"/>
      <c r="AL54" s="1204"/>
      <c r="AM54" s="1205"/>
      <c r="AN54" s="1210" t="s">
        <v>12</v>
      </c>
      <c r="AO54" s="1204"/>
      <c r="AP54" s="1204"/>
      <c r="AQ54" s="1204"/>
      <c r="AR54" s="1205"/>
      <c r="AS54" s="1210" t="s">
        <v>13</v>
      </c>
      <c r="AT54" s="1204"/>
      <c r="AU54" s="1204"/>
      <c r="AV54" s="1204"/>
      <c r="AW54" s="1213"/>
      <c r="AX54" s="1210" t="s">
        <v>14</v>
      </c>
      <c r="AY54" s="1204"/>
      <c r="AZ54" s="1204"/>
      <c r="BA54" s="1204"/>
      <c r="BB54" s="1213"/>
    </row>
    <row r="55" spans="1:54" s="11" customFormat="1" ht="12" customHeight="1" x14ac:dyDescent="0.2">
      <c r="A55" s="1195"/>
      <c r="B55" s="1196"/>
      <c r="C55" s="1196"/>
      <c r="D55" s="1196"/>
      <c r="E55" s="1196"/>
      <c r="F55" s="1196"/>
      <c r="G55" s="1197"/>
      <c r="H55" s="1202"/>
      <c r="I55" s="1196"/>
      <c r="J55" s="1196"/>
      <c r="K55" s="1196"/>
      <c r="L55" s="1196"/>
      <c r="M55" s="1196"/>
      <c r="N55" s="1196"/>
      <c r="O55" s="1196"/>
      <c r="P55" s="1196"/>
      <c r="Q55" s="1196"/>
      <c r="R55" s="1196"/>
      <c r="S55" s="1196"/>
      <c r="T55" s="1196"/>
      <c r="U55" s="1196"/>
      <c r="V55" s="1196"/>
      <c r="W55" s="1196"/>
      <c r="X55" s="1196"/>
      <c r="Y55" s="1196"/>
      <c r="Z55" s="1196"/>
      <c r="AA55" s="1196"/>
      <c r="AB55" s="1197"/>
      <c r="AC55" s="1202"/>
      <c r="AD55" s="1196"/>
      <c r="AE55" s="1196"/>
      <c r="AF55" s="1196"/>
      <c r="AG55" s="1197"/>
      <c r="AH55" s="1206"/>
      <c r="AI55" s="1206"/>
      <c r="AJ55" s="1206"/>
      <c r="AK55" s="1206"/>
      <c r="AL55" s="1206"/>
      <c r="AM55" s="1207"/>
      <c r="AN55" s="1211"/>
      <c r="AO55" s="1206"/>
      <c r="AP55" s="1206"/>
      <c r="AQ55" s="1206"/>
      <c r="AR55" s="1207"/>
      <c r="AS55" s="1211"/>
      <c r="AT55" s="1206"/>
      <c r="AU55" s="1206"/>
      <c r="AV55" s="1206"/>
      <c r="AW55" s="1214"/>
      <c r="AX55" s="1211"/>
      <c r="AY55" s="1206"/>
      <c r="AZ55" s="1206"/>
      <c r="BA55" s="1206"/>
      <c r="BB55" s="1214"/>
    </row>
    <row r="56" spans="1:54" s="10" customFormat="1" ht="13.5" customHeight="1" thickBot="1" x14ac:dyDescent="0.25">
      <c r="A56" s="1198"/>
      <c r="B56" s="1199"/>
      <c r="C56" s="1199"/>
      <c r="D56" s="1199"/>
      <c r="E56" s="1199"/>
      <c r="F56" s="1199"/>
      <c r="G56" s="1200"/>
      <c r="H56" s="1203"/>
      <c r="I56" s="1199"/>
      <c r="J56" s="1199"/>
      <c r="K56" s="1199"/>
      <c r="L56" s="1199"/>
      <c r="M56" s="1199"/>
      <c r="N56" s="1199"/>
      <c r="O56" s="1199"/>
      <c r="P56" s="1199"/>
      <c r="Q56" s="1199"/>
      <c r="R56" s="1199"/>
      <c r="S56" s="1199"/>
      <c r="T56" s="1199"/>
      <c r="U56" s="1199"/>
      <c r="V56" s="1199"/>
      <c r="W56" s="1199"/>
      <c r="X56" s="1199"/>
      <c r="Y56" s="1199"/>
      <c r="Z56" s="1199"/>
      <c r="AA56" s="1199"/>
      <c r="AB56" s="1200"/>
      <c r="AC56" s="1203"/>
      <c r="AD56" s="1199"/>
      <c r="AE56" s="1199"/>
      <c r="AF56" s="1199"/>
      <c r="AG56" s="1200"/>
      <c r="AH56" s="1208"/>
      <c r="AI56" s="1208"/>
      <c r="AJ56" s="1208"/>
      <c r="AK56" s="1208"/>
      <c r="AL56" s="1208"/>
      <c r="AM56" s="1209"/>
      <c r="AN56" s="1212"/>
      <c r="AO56" s="1208"/>
      <c r="AP56" s="1208"/>
      <c r="AQ56" s="1208"/>
      <c r="AR56" s="1209"/>
      <c r="AS56" s="1212"/>
      <c r="AT56" s="1208"/>
      <c r="AU56" s="1208"/>
      <c r="AV56" s="1208"/>
      <c r="AW56" s="1215"/>
      <c r="AX56" s="1212"/>
      <c r="AY56" s="1208"/>
      <c r="AZ56" s="1208"/>
      <c r="BA56" s="1208"/>
      <c r="BB56" s="1215"/>
    </row>
    <row r="57" spans="1:54" ht="25.5" customHeight="1" thickBot="1" x14ac:dyDescent="0.25">
      <c r="A57" s="1274" t="s">
        <v>25</v>
      </c>
      <c r="B57" s="1018"/>
      <c r="C57" s="1018"/>
      <c r="D57" s="1018"/>
      <c r="E57" s="1018"/>
      <c r="F57" s="1018"/>
      <c r="G57" s="1018"/>
      <c r="H57" s="1018"/>
      <c r="I57" s="1018"/>
      <c r="J57" s="1018"/>
      <c r="K57" s="1018"/>
      <c r="L57" s="1018"/>
      <c r="M57" s="1018"/>
      <c r="N57" s="1018"/>
      <c r="O57" s="1018"/>
      <c r="P57" s="1018"/>
      <c r="Q57" s="1018"/>
      <c r="R57" s="1018"/>
      <c r="S57" s="1018"/>
      <c r="T57" s="1018"/>
      <c r="U57" s="1018"/>
      <c r="V57" s="1018"/>
      <c r="W57" s="1018"/>
      <c r="X57" s="1018"/>
      <c r="Y57" s="1018"/>
      <c r="Z57" s="1018"/>
      <c r="AA57" s="1018"/>
      <c r="AB57" s="1018"/>
      <c r="AC57" s="1018"/>
      <c r="AD57" s="1018"/>
      <c r="AE57" s="1018"/>
      <c r="AF57" s="1018"/>
      <c r="AG57" s="1018"/>
      <c r="AH57" s="1018"/>
      <c r="AI57" s="1018"/>
      <c r="AJ57" s="1018"/>
      <c r="AK57" s="1018"/>
      <c r="AL57" s="1018"/>
      <c r="AM57" s="1018"/>
      <c r="AN57" s="1018"/>
      <c r="AO57" s="1018"/>
      <c r="AP57" s="1018"/>
      <c r="AQ57" s="1018"/>
      <c r="AR57" s="1018"/>
      <c r="AS57" s="1018"/>
      <c r="AT57" s="1018"/>
      <c r="AU57" s="1018"/>
      <c r="AV57" s="1018"/>
      <c r="AW57" s="1018"/>
      <c r="AX57" s="1018"/>
      <c r="AY57" s="1018"/>
      <c r="AZ57" s="1018"/>
      <c r="BA57" s="1018"/>
      <c r="BB57" s="1275"/>
    </row>
    <row r="58" spans="1:54" ht="13.5" hidden="1" customHeight="1" x14ac:dyDescent="0.2">
      <c r="A58" s="1309" t="s">
        <v>136</v>
      </c>
      <c r="B58" s="1310"/>
      <c r="C58" s="1310"/>
      <c r="D58" s="1310"/>
      <c r="E58" s="1310"/>
      <c r="F58" s="1310"/>
      <c r="G58" s="1310"/>
      <c r="H58" s="29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1" t="e">
        <f>#REF!</f>
        <v>#REF!</v>
      </c>
      <c r="AA58" s="15"/>
      <c r="AB58" s="32"/>
      <c r="AC58" s="1184">
        <f>((R59+(R59*U61)+(R59*Q61)+(R59*M61)+(R59*I61))*Z61)</f>
        <v>22522.5</v>
      </c>
      <c r="AD58" s="1184"/>
      <c r="AE58" s="1184"/>
      <c r="AF58" s="1184"/>
      <c r="AG58" s="1184"/>
      <c r="AH58" s="1184">
        <v>75</v>
      </c>
      <c r="AI58" s="1184"/>
      <c r="AJ58" s="1184"/>
      <c r="AK58" s="1184"/>
      <c r="AL58" s="1184"/>
      <c r="AM58" s="1184"/>
      <c r="AN58" s="662">
        <f>AC58/AH58</f>
        <v>300.3</v>
      </c>
      <c r="AO58" s="662"/>
      <c r="AP58" s="662"/>
      <c r="AQ58" s="662"/>
      <c r="AR58" s="662"/>
      <c r="AS58" s="663">
        <v>1</v>
      </c>
      <c r="AT58" s="663"/>
      <c r="AU58" s="663"/>
      <c r="AV58" s="663"/>
      <c r="AW58" s="663"/>
      <c r="AX58" s="662">
        <f>AN58*AS58</f>
        <v>300.3</v>
      </c>
      <c r="AY58" s="662"/>
      <c r="AZ58" s="662"/>
      <c r="BA58" s="662"/>
      <c r="BB58" s="684"/>
    </row>
    <row r="59" spans="1:54" s="11" customFormat="1" ht="20.25" customHeight="1" x14ac:dyDescent="0.2">
      <c r="A59" s="1311"/>
      <c r="B59" s="1312"/>
      <c r="C59" s="1312"/>
      <c r="D59" s="1312"/>
      <c r="E59" s="1312"/>
      <c r="F59" s="1312"/>
      <c r="G59" s="1312"/>
      <c r="H59" s="1260" t="s">
        <v>26</v>
      </c>
      <c r="I59" s="1234"/>
      <c r="J59" s="1234"/>
      <c r="K59" s="1234"/>
      <c r="L59" s="1234"/>
      <c r="M59" s="1234"/>
      <c r="N59" s="1248">
        <v>1.5</v>
      </c>
      <c r="O59" s="1248"/>
      <c r="P59" s="1248"/>
      <c r="Q59" s="103" t="s">
        <v>27</v>
      </c>
      <c r="R59" s="1248">
        <f>$AX$19*N59</f>
        <v>8250</v>
      </c>
      <c r="S59" s="1248"/>
      <c r="T59" s="1248"/>
      <c r="U59" s="1248"/>
      <c r="V59" s="1248"/>
      <c r="W59" s="103" t="s">
        <v>28</v>
      </c>
      <c r="X59" s="103" t="s">
        <v>29</v>
      </c>
      <c r="Y59" s="103"/>
      <c r="Z59" s="103"/>
      <c r="AA59" s="103"/>
      <c r="AB59" s="104"/>
      <c r="AC59" s="1185"/>
      <c r="AD59" s="1185"/>
      <c r="AE59" s="1185"/>
      <c r="AF59" s="1185"/>
      <c r="AG59" s="1185"/>
      <c r="AH59" s="1185"/>
      <c r="AI59" s="1185"/>
      <c r="AJ59" s="1185"/>
      <c r="AK59" s="1185"/>
      <c r="AL59" s="1185"/>
      <c r="AM59" s="1185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1" customFormat="1" ht="4.5" customHeight="1" x14ac:dyDescent="0.2">
      <c r="A60" s="1311"/>
      <c r="B60" s="1312"/>
      <c r="C60" s="1312"/>
      <c r="D60" s="1312"/>
      <c r="E60" s="1312"/>
      <c r="F60" s="1312"/>
      <c r="G60" s="1312"/>
      <c r="H60" s="102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4"/>
      <c r="AC60" s="1185"/>
      <c r="AD60" s="1185"/>
      <c r="AE60" s="1185"/>
      <c r="AF60" s="1185"/>
      <c r="AG60" s="1185"/>
      <c r="AH60" s="1185"/>
      <c r="AI60" s="1185"/>
      <c r="AJ60" s="1185"/>
      <c r="AK60" s="1185"/>
      <c r="AL60" s="1185"/>
      <c r="AM60" s="1185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1" customFormat="1" ht="11.25" customHeight="1" x14ac:dyDescent="0.2">
      <c r="A61" s="1311"/>
      <c r="B61" s="1312"/>
      <c r="C61" s="1312"/>
      <c r="D61" s="1312"/>
      <c r="E61" s="1312"/>
      <c r="F61" s="1312"/>
      <c r="G61" s="1312"/>
      <c r="H61" s="58" t="s">
        <v>30</v>
      </c>
      <c r="I61" s="1623">
        <v>0.05</v>
      </c>
      <c r="J61" s="1623"/>
      <c r="K61" s="1623"/>
      <c r="L61" s="103" t="s">
        <v>79</v>
      </c>
      <c r="M61" s="1623">
        <v>0</v>
      </c>
      <c r="N61" s="1623"/>
      <c r="O61" s="1623"/>
      <c r="P61" s="103" t="s">
        <v>79</v>
      </c>
      <c r="Q61" s="1623">
        <v>0</v>
      </c>
      <c r="R61" s="1623"/>
      <c r="S61" s="1623"/>
      <c r="T61" s="103" t="s">
        <v>79</v>
      </c>
      <c r="U61" s="1623">
        <v>0</v>
      </c>
      <c r="V61" s="1623"/>
      <c r="W61" s="1623"/>
      <c r="X61" s="103" t="s">
        <v>31</v>
      </c>
      <c r="Y61" s="103" t="s">
        <v>28</v>
      </c>
      <c r="Z61" s="1248">
        <v>2.6</v>
      </c>
      <c r="AA61" s="1248"/>
      <c r="AB61" s="1249"/>
      <c r="AC61" s="1185"/>
      <c r="AD61" s="1185"/>
      <c r="AE61" s="1185"/>
      <c r="AF61" s="1185"/>
      <c r="AG61" s="1185"/>
      <c r="AH61" s="1185"/>
      <c r="AI61" s="1185"/>
      <c r="AJ61" s="1185"/>
      <c r="AK61" s="1185"/>
      <c r="AL61" s="1185"/>
      <c r="AM61" s="1185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1" customFormat="1" ht="15" customHeight="1" thickBot="1" x14ac:dyDescent="0.25">
      <c r="A62" s="1311"/>
      <c r="B62" s="1312"/>
      <c r="C62" s="1312"/>
      <c r="D62" s="1312"/>
      <c r="E62" s="1312"/>
      <c r="F62" s="1312"/>
      <c r="G62" s="1312"/>
      <c r="H62" s="59"/>
      <c r="I62" s="113"/>
      <c r="J62" s="113"/>
      <c r="K62" s="113"/>
      <c r="L62" s="113"/>
      <c r="M62" s="113"/>
      <c r="N62" s="113"/>
      <c r="O62" s="113"/>
      <c r="P62" s="113"/>
      <c r="Q62" s="113"/>
      <c r="R62" s="113"/>
      <c r="S62" s="113"/>
      <c r="T62" s="113"/>
      <c r="U62" s="113"/>
      <c r="V62" s="113"/>
      <c r="W62" s="113"/>
      <c r="X62" s="113"/>
      <c r="Y62" s="113"/>
      <c r="Z62" s="113"/>
      <c r="AA62" s="113"/>
      <c r="AB62" s="60"/>
      <c r="AC62" s="1185"/>
      <c r="AD62" s="1185"/>
      <c r="AE62" s="1185"/>
      <c r="AF62" s="1185"/>
      <c r="AG62" s="1185"/>
      <c r="AH62" s="1185"/>
      <c r="AI62" s="1185"/>
      <c r="AJ62" s="1185"/>
      <c r="AK62" s="1185"/>
      <c r="AL62" s="1185"/>
      <c r="AM62" s="1185"/>
      <c r="AN62" s="601"/>
      <c r="AO62" s="601"/>
      <c r="AP62" s="601"/>
      <c r="AQ62" s="601"/>
      <c r="AR62" s="601"/>
      <c r="AS62" s="664"/>
      <c r="AT62" s="664"/>
      <c r="AU62" s="664"/>
      <c r="AV62" s="664"/>
      <c r="AW62" s="664"/>
      <c r="AX62" s="601"/>
      <c r="AY62" s="601"/>
      <c r="AZ62" s="601"/>
      <c r="BA62" s="601"/>
      <c r="BB62" s="655"/>
    </row>
    <row r="63" spans="1:54" ht="5.0999999999999996" hidden="1" customHeight="1" x14ac:dyDescent="0.2">
      <c r="A63" s="1182"/>
      <c r="B63" s="1183"/>
      <c r="C63" s="1183"/>
      <c r="D63" s="1183"/>
      <c r="E63" s="1183"/>
      <c r="F63" s="1183"/>
      <c r="G63" s="1183"/>
      <c r="H63" s="39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40" t="e">
        <f>#REF!</f>
        <v>#REF!</v>
      </c>
      <c r="AA63" s="27"/>
      <c r="AB63" s="33"/>
      <c r="AC63" s="970">
        <f>((R64+(R64*U66)+(R64*Q66)+(R64*M66)+(R64*I66))*Z66)*1.15</f>
        <v>0</v>
      </c>
      <c r="AD63" s="970"/>
      <c r="AE63" s="970"/>
      <c r="AF63" s="970"/>
      <c r="AG63" s="970"/>
      <c r="AH63" s="992">
        <v>1</v>
      </c>
      <c r="AI63" s="992"/>
      <c r="AJ63" s="992"/>
      <c r="AK63" s="992"/>
      <c r="AL63" s="992"/>
      <c r="AM63" s="992"/>
      <c r="AN63" s="529">
        <f>AC63/AH63</f>
        <v>0</v>
      </c>
      <c r="AO63" s="529"/>
      <c r="AP63" s="529"/>
      <c r="AQ63" s="529"/>
      <c r="AR63" s="529"/>
      <c r="AS63" s="663">
        <f t="shared" ref="AS63" si="0">U17</f>
        <v>0</v>
      </c>
      <c r="AT63" s="663"/>
      <c r="AU63" s="663"/>
      <c r="AV63" s="663"/>
      <c r="AW63" s="663"/>
      <c r="AX63" s="529">
        <f>AN63*AS63</f>
        <v>0</v>
      </c>
      <c r="AY63" s="529"/>
      <c r="AZ63" s="529"/>
      <c r="BA63" s="529"/>
      <c r="BB63" s="665"/>
    </row>
    <row r="64" spans="1:54" s="11" customFormat="1" ht="11.25" hidden="1" customHeight="1" x14ac:dyDescent="0.2">
      <c r="A64" s="1182"/>
      <c r="B64" s="1183"/>
      <c r="C64" s="1183"/>
      <c r="D64" s="1183"/>
      <c r="E64" s="1183"/>
      <c r="F64" s="1183"/>
      <c r="G64" s="1183"/>
      <c r="H64" s="1174" t="s">
        <v>26</v>
      </c>
      <c r="I64" s="1175"/>
      <c r="J64" s="1175"/>
      <c r="K64" s="1175"/>
      <c r="L64" s="1175"/>
      <c r="M64" s="1175"/>
      <c r="N64" s="1176">
        <v>0</v>
      </c>
      <c r="O64" s="1176"/>
      <c r="P64" s="1176"/>
      <c r="Q64" s="27" t="s">
        <v>27</v>
      </c>
      <c r="R64" s="1176">
        <f>$AX$19*N64</f>
        <v>0</v>
      </c>
      <c r="S64" s="1176"/>
      <c r="T64" s="1176"/>
      <c r="U64" s="1176"/>
      <c r="V64" s="1176"/>
      <c r="W64" s="27" t="s">
        <v>28</v>
      </c>
      <c r="X64" s="27" t="s">
        <v>29</v>
      </c>
      <c r="Y64" s="27"/>
      <c r="Z64" s="27"/>
      <c r="AA64" s="27"/>
      <c r="AB64" s="33"/>
      <c r="AC64" s="992"/>
      <c r="AD64" s="992"/>
      <c r="AE64" s="992"/>
      <c r="AF64" s="992"/>
      <c r="AG64" s="992"/>
      <c r="AH64" s="992"/>
      <c r="AI64" s="992"/>
      <c r="AJ64" s="992"/>
      <c r="AK64" s="992"/>
      <c r="AL64" s="992"/>
      <c r="AM64" s="992"/>
      <c r="AN64" s="529"/>
      <c r="AO64" s="529"/>
      <c r="AP64" s="529"/>
      <c r="AQ64" s="529"/>
      <c r="AR64" s="529"/>
      <c r="AS64" s="664"/>
      <c r="AT64" s="664"/>
      <c r="AU64" s="664"/>
      <c r="AV64" s="664"/>
      <c r="AW64" s="664"/>
      <c r="AX64" s="529"/>
      <c r="AY64" s="529"/>
      <c r="AZ64" s="529"/>
      <c r="BA64" s="529"/>
      <c r="BB64" s="665"/>
    </row>
    <row r="65" spans="1:54" s="11" customFormat="1" ht="5.0999999999999996" hidden="1" customHeight="1" x14ac:dyDescent="0.2">
      <c r="A65" s="1182"/>
      <c r="B65" s="1183"/>
      <c r="C65" s="1183"/>
      <c r="D65" s="1183"/>
      <c r="E65" s="1183"/>
      <c r="F65" s="1183"/>
      <c r="G65" s="1183"/>
      <c r="H65" s="34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27"/>
      <c r="AA65" s="27"/>
      <c r="AB65" s="33"/>
      <c r="AC65" s="992"/>
      <c r="AD65" s="992"/>
      <c r="AE65" s="992"/>
      <c r="AF65" s="992"/>
      <c r="AG65" s="992"/>
      <c r="AH65" s="992"/>
      <c r="AI65" s="992"/>
      <c r="AJ65" s="992"/>
      <c r="AK65" s="992"/>
      <c r="AL65" s="992"/>
      <c r="AM65" s="992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1" customFormat="1" ht="11.25" hidden="1" customHeight="1" x14ac:dyDescent="0.2">
      <c r="A66" s="1182"/>
      <c r="B66" s="1183"/>
      <c r="C66" s="1183"/>
      <c r="D66" s="1183"/>
      <c r="E66" s="1183"/>
      <c r="F66" s="1183"/>
      <c r="G66" s="1183"/>
      <c r="H66" s="35" t="s">
        <v>30</v>
      </c>
      <c r="I66" s="1177">
        <v>0</v>
      </c>
      <c r="J66" s="1177"/>
      <c r="K66" s="1177"/>
      <c r="L66" s="27" t="s">
        <v>28</v>
      </c>
      <c r="M66" s="1177">
        <v>0</v>
      </c>
      <c r="N66" s="1177"/>
      <c r="O66" s="1177"/>
      <c r="P66" s="27" t="s">
        <v>28</v>
      </c>
      <c r="Q66" s="1177"/>
      <c r="R66" s="1177"/>
      <c r="S66" s="1177"/>
      <c r="T66" s="27" t="s">
        <v>28</v>
      </c>
      <c r="U66" s="1177"/>
      <c r="V66" s="1177"/>
      <c r="W66" s="1177"/>
      <c r="X66" s="27" t="s">
        <v>31</v>
      </c>
      <c r="Y66" s="27" t="s">
        <v>28</v>
      </c>
      <c r="Z66" s="1176">
        <v>2.6</v>
      </c>
      <c r="AA66" s="1176"/>
      <c r="AB66" s="1186"/>
      <c r="AC66" s="992"/>
      <c r="AD66" s="992"/>
      <c r="AE66" s="992"/>
      <c r="AF66" s="992"/>
      <c r="AG66" s="992"/>
      <c r="AH66" s="992"/>
      <c r="AI66" s="992"/>
      <c r="AJ66" s="992"/>
      <c r="AK66" s="992"/>
      <c r="AL66" s="992"/>
      <c r="AM66" s="992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1" customFormat="1" ht="5.0999999999999996" hidden="1" customHeight="1" thickBot="1" x14ac:dyDescent="0.25">
      <c r="A67" s="1182"/>
      <c r="B67" s="1183"/>
      <c r="C67" s="1183"/>
      <c r="D67" s="1183"/>
      <c r="E67" s="1183"/>
      <c r="F67" s="1183"/>
      <c r="G67" s="1183"/>
      <c r="H67" s="36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111"/>
      <c r="AA67" s="111"/>
      <c r="AB67" s="38"/>
      <c r="AC67" s="992"/>
      <c r="AD67" s="992"/>
      <c r="AE67" s="992"/>
      <c r="AF67" s="992"/>
      <c r="AG67" s="992"/>
      <c r="AH67" s="992"/>
      <c r="AI67" s="992"/>
      <c r="AJ67" s="992"/>
      <c r="AK67" s="992"/>
      <c r="AL67" s="992"/>
      <c r="AM67" s="992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1" customFormat="1" ht="5.0999999999999996" hidden="1" customHeight="1" x14ac:dyDescent="0.2">
      <c r="A68" s="1182"/>
      <c r="B68" s="1183"/>
      <c r="C68" s="1183"/>
      <c r="D68" s="1183"/>
      <c r="E68" s="1183"/>
      <c r="F68" s="1183"/>
      <c r="G68" s="1183"/>
      <c r="H68" s="39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40" t="e">
        <f>#REF!</f>
        <v>#REF!</v>
      </c>
      <c r="AA68" s="27"/>
      <c r="AB68" s="33"/>
      <c r="AC68" s="970">
        <f>((R69+(R69*U71)+(R69*Q71)+(R69*M71)+(R69*I71))*Z71)*1.15</f>
        <v>0</v>
      </c>
      <c r="AD68" s="970"/>
      <c r="AE68" s="970"/>
      <c r="AF68" s="970"/>
      <c r="AG68" s="970"/>
      <c r="AH68" s="992">
        <v>1</v>
      </c>
      <c r="AI68" s="992"/>
      <c r="AJ68" s="992"/>
      <c r="AK68" s="992"/>
      <c r="AL68" s="992"/>
      <c r="AM68" s="992"/>
      <c r="AN68" s="529">
        <f>AC68/AH68</f>
        <v>0</v>
      </c>
      <c r="AO68" s="529"/>
      <c r="AP68" s="529"/>
      <c r="AQ68" s="529"/>
      <c r="AR68" s="529"/>
      <c r="AS68" s="663">
        <f t="shared" ref="AS68" si="1">U22</f>
        <v>0</v>
      </c>
      <c r="AT68" s="663"/>
      <c r="AU68" s="663"/>
      <c r="AV68" s="663"/>
      <c r="AW68" s="663"/>
      <c r="AX68" s="529">
        <f>AN68*AS68</f>
        <v>0</v>
      </c>
      <c r="AY68" s="529"/>
      <c r="AZ68" s="529"/>
      <c r="BA68" s="529"/>
      <c r="BB68" s="665"/>
    </row>
    <row r="69" spans="1:54" s="11" customFormat="1" ht="11.25" hidden="1" customHeight="1" x14ac:dyDescent="0.2">
      <c r="A69" s="1182"/>
      <c r="B69" s="1183"/>
      <c r="C69" s="1183"/>
      <c r="D69" s="1183"/>
      <c r="E69" s="1183"/>
      <c r="F69" s="1183"/>
      <c r="G69" s="1183"/>
      <c r="H69" s="1174" t="s">
        <v>26</v>
      </c>
      <c r="I69" s="1175"/>
      <c r="J69" s="1175"/>
      <c r="K69" s="1175"/>
      <c r="L69" s="1175"/>
      <c r="M69" s="1175"/>
      <c r="N69" s="1176">
        <v>0</v>
      </c>
      <c r="O69" s="1176"/>
      <c r="P69" s="1176"/>
      <c r="Q69" s="27" t="s">
        <v>27</v>
      </c>
      <c r="R69" s="1176">
        <f>$AX$19*N69</f>
        <v>0</v>
      </c>
      <c r="S69" s="1176"/>
      <c r="T69" s="1176"/>
      <c r="U69" s="1176"/>
      <c r="V69" s="1176"/>
      <c r="W69" s="27" t="s">
        <v>28</v>
      </c>
      <c r="X69" s="27" t="s">
        <v>29</v>
      </c>
      <c r="Y69" s="27"/>
      <c r="Z69" s="27"/>
      <c r="AA69" s="27"/>
      <c r="AB69" s="33"/>
      <c r="AC69" s="992"/>
      <c r="AD69" s="992"/>
      <c r="AE69" s="992"/>
      <c r="AF69" s="992"/>
      <c r="AG69" s="992"/>
      <c r="AH69" s="992"/>
      <c r="AI69" s="992"/>
      <c r="AJ69" s="992"/>
      <c r="AK69" s="992"/>
      <c r="AL69" s="992"/>
      <c r="AM69" s="992"/>
      <c r="AN69" s="529"/>
      <c r="AO69" s="529"/>
      <c r="AP69" s="529"/>
      <c r="AQ69" s="529"/>
      <c r="AR69" s="529"/>
      <c r="AS69" s="664"/>
      <c r="AT69" s="664"/>
      <c r="AU69" s="664"/>
      <c r="AV69" s="664"/>
      <c r="AW69" s="664"/>
      <c r="AX69" s="529"/>
      <c r="AY69" s="529"/>
      <c r="AZ69" s="529"/>
      <c r="BA69" s="529"/>
      <c r="BB69" s="665"/>
    </row>
    <row r="70" spans="1:54" ht="5.0999999999999996" hidden="1" customHeight="1" x14ac:dyDescent="0.2">
      <c r="A70" s="1182"/>
      <c r="B70" s="1183"/>
      <c r="C70" s="1183"/>
      <c r="D70" s="1183"/>
      <c r="E70" s="1183"/>
      <c r="F70" s="1183"/>
      <c r="G70" s="1183"/>
      <c r="H70" s="34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27"/>
      <c r="AA70" s="27"/>
      <c r="AB70" s="33"/>
      <c r="AC70" s="992"/>
      <c r="AD70" s="992"/>
      <c r="AE70" s="992"/>
      <c r="AF70" s="992"/>
      <c r="AG70" s="992"/>
      <c r="AH70" s="992"/>
      <c r="AI70" s="992"/>
      <c r="AJ70" s="992"/>
      <c r="AK70" s="992"/>
      <c r="AL70" s="992"/>
      <c r="AM70" s="992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s="11" customFormat="1" ht="11.25" hidden="1" customHeight="1" x14ac:dyDescent="0.2">
      <c r="A71" s="1182"/>
      <c r="B71" s="1183"/>
      <c r="C71" s="1183"/>
      <c r="D71" s="1183"/>
      <c r="E71" s="1183"/>
      <c r="F71" s="1183"/>
      <c r="G71" s="1183"/>
      <c r="H71" s="35" t="s">
        <v>30</v>
      </c>
      <c r="I71" s="1177">
        <v>0</v>
      </c>
      <c r="J71" s="1177"/>
      <c r="K71" s="1177"/>
      <c r="L71" s="27" t="s">
        <v>28</v>
      </c>
      <c r="M71" s="1177">
        <v>0</v>
      </c>
      <c r="N71" s="1177"/>
      <c r="O71" s="1177"/>
      <c r="P71" s="27" t="s">
        <v>28</v>
      </c>
      <c r="Q71" s="1177"/>
      <c r="R71" s="1177"/>
      <c r="S71" s="1177"/>
      <c r="T71" s="27" t="s">
        <v>28</v>
      </c>
      <c r="U71" s="1177"/>
      <c r="V71" s="1177"/>
      <c r="W71" s="1177"/>
      <c r="X71" s="27" t="s">
        <v>31</v>
      </c>
      <c r="Y71" s="27" t="s">
        <v>28</v>
      </c>
      <c r="Z71" s="1176">
        <v>2.6</v>
      </c>
      <c r="AA71" s="1176"/>
      <c r="AB71" s="1186"/>
      <c r="AC71" s="992"/>
      <c r="AD71" s="992"/>
      <c r="AE71" s="992"/>
      <c r="AF71" s="992"/>
      <c r="AG71" s="992"/>
      <c r="AH71" s="992"/>
      <c r="AI71" s="992"/>
      <c r="AJ71" s="992"/>
      <c r="AK71" s="992"/>
      <c r="AL71" s="992"/>
      <c r="AM71" s="992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1" customFormat="1" ht="11.25" hidden="1" customHeight="1" thickBot="1" x14ac:dyDescent="0.25">
      <c r="A72" s="1182"/>
      <c r="B72" s="1183"/>
      <c r="C72" s="1183"/>
      <c r="D72" s="1183"/>
      <c r="E72" s="1183"/>
      <c r="F72" s="1183"/>
      <c r="G72" s="1183"/>
      <c r="H72" s="36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111"/>
      <c r="AA72" s="111"/>
      <c r="AB72" s="38"/>
      <c r="AC72" s="992"/>
      <c r="AD72" s="992"/>
      <c r="AE72" s="992"/>
      <c r="AF72" s="992"/>
      <c r="AG72" s="992"/>
      <c r="AH72" s="992"/>
      <c r="AI72" s="992"/>
      <c r="AJ72" s="992"/>
      <c r="AK72" s="992"/>
      <c r="AL72" s="992"/>
      <c r="AM72" s="992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1" customFormat="1" ht="15" hidden="1" customHeight="1" x14ac:dyDescent="0.2">
      <c r="A73" s="1180" t="s">
        <v>84</v>
      </c>
      <c r="B73" s="1181"/>
      <c r="C73" s="1181"/>
      <c r="D73" s="1181"/>
      <c r="E73" s="1181"/>
      <c r="F73" s="1181"/>
      <c r="G73" s="1181"/>
      <c r="H73" s="39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40" t="e">
        <f>#REF!</f>
        <v>#REF!</v>
      </c>
      <c r="AA73" s="27"/>
      <c r="AB73" s="33"/>
      <c r="AC73" s="970">
        <f>((R74+(R74*U76)+(R74*Q76)+(R74*M76)+(R74*I76))*Z76)</f>
        <v>0</v>
      </c>
      <c r="AD73" s="970"/>
      <c r="AE73" s="970"/>
      <c r="AF73" s="970"/>
      <c r="AG73" s="970"/>
      <c r="AH73" s="992">
        <v>75</v>
      </c>
      <c r="AI73" s="992"/>
      <c r="AJ73" s="992"/>
      <c r="AK73" s="992"/>
      <c r="AL73" s="992"/>
      <c r="AM73" s="992"/>
      <c r="AN73" s="529">
        <f>AC73/AH73</f>
        <v>0</v>
      </c>
      <c r="AO73" s="529"/>
      <c r="AP73" s="529"/>
      <c r="AQ73" s="529"/>
      <c r="AR73" s="529"/>
      <c r="AS73" s="663">
        <f t="shared" ref="AS73" si="2">U27</f>
        <v>0</v>
      </c>
      <c r="AT73" s="663"/>
      <c r="AU73" s="663"/>
      <c r="AV73" s="663"/>
      <c r="AW73" s="663"/>
      <c r="AX73" s="529">
        <f>AN73*AS73</f>
        <v>0</v>
      </c>
      <c r="AY73" s="529"/>
      <c r="AZ73" s="529"/>
      <c r="BA73" s="529"/>
      <c r="BB73" s="665"/>
    </row>
    <row r="74" spans="1:54" s="11" customFormat="1" ht="21" hidden="1" customHeight="1" thickBot="1" x14ac:dyDescent="0.25">
      <c r="A74" s="1182"/>
      <c r="B74" s="1183"/>
      <c r="C74" s="1183"/>
      <c r="D74" s="1183"/>
      <c r="E74" s="1183"/>
      <c r="F74" s="1183"/>
      <c r="G74" s="1183"/>
      <c r="H74" s="1174" t="s">
        <v>26</v>
      </c>
      <c r="I74" s="1175"/>
      <c r="J74" s="1175"/>
      <c r="K74" s="1175"/>
      <c r="L74" s="1175"/>
      <c r="M74" s="1175"/>
      <c r="N74" s="1176">
        <v>0</v>
      </c>
      <c r="O74" s="1176"/>
      <c r="P74" s="1176"/>
      <c r="Q74" s="27" t="s">
        <v>27</v>
      </c>
      <c r="R74" s="1176">
        <f>$AX$19*N74</f>
        <v>0</v>
      </c>
      <c r="S74" s="1176"/>
      <c r="T74" s="1176"/>
      <c r="U74" s="1176"/>
      <c r="V74" s="1176"/>
      <c r="W74" s="27" t="s">
        <v>28</v>
      </c>
      <c r="X74" s="27" t="s">
        <v>29</v>
      </c>
      <c r="Y74" s="27"/>
      <c r="Z74" s="27"/>
      <c r="AA74" s="27"/>
      <c r="AB74" s="33"/>
      <c r="AC74" s="992"/>
      <c r="AD74" s="992"/>
      <c r="AE74" s="992"/>
      <c r="AF74" s="992"/>
      <c r="AG74" s="992"/>
      <c r="AH74" s="992"/>
      <c r="AI74" s="992"/>
      <c r="AJ74" s="992"/>
      <c r="AK74" s="992"/>
      <c r="AL74" s="992"/>
      <c r="AM74" s="992"/>
      <c r="AN74" s="529"/>
      <c r="AO74" s="529"/>
      <c r="AP74" s="529"/>
      <c r="AQ74" s="529"/>
      <c r="AR74" s="529"/>
      <c r="AS74" s="664"/>
      <c r="AT74" s="664"/>
      <c r="AU74" s="664"/>
      <c r="AV74" s="664"/>
      <c r="AW74" s="664"/>
      <c r="AX74" s="529"/>
      <c r="AY74" s="529"/>
      <c r="AZ74" s="529"/>
      <c r="BA74" s="529"/>
      <c r="BB74" s="665"/>
    </row>
    <row r="75" spans="1:54" s="11" customFormat="1" ht="12" hidden="1" customHeight="1" thickBot="1" x14ac:dyDescent="0.25">
      <c r="A75" s="1182"/>
      <c r="B75" s="1183"/>
      <c r="C75" s="1183"/>
      <c r="D75" s="1183"/>
      <c r="E75" s="1183"/>
      <c r="F75" s="1183"/>
      <c r="G75" s="1183"/>
      <c r="H75" s="34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27"/>
      <c r="AA75" s="27"/>
      <c r="AB75" s="33"/>
      <c r="AC75" s="992"/>
      <c r="AD75" s="992"/>
      <c r="AE75" s="992"/>
      <c r="AF75" s="992"/>
      <c r="AG75" s="992"/>
      <c r="AH75" s="992"/>
      <c r="AI75" s="992"/>
      <c r="AJ75" s="992"/>
      <c r="AK75" s="992"/>
      <c r="AL75" s="992"/>
      <c r="AM75" s="992"/>
      <c r="AN75" s="529"/>
      <c r="AO75" s="529"/>
      <c r="AP75" s="529"/>
      <c r="AQ75" s="529"/>
      <c r="AR75" s="529"/>
      <c r="AS75" s="664"/>
      <c r="AT75" s="664"/>
      <c r="AU75" s="664"/>
      <c r="AV75" s="664"/>
      <c r="AW75" s="664"/>
      <c r="AX75" s="529"/>
      <c r="AY75" s="529"/>
      <c r="AZ75" s="529"/>
      <c r="BA75" s="529"/>
      <c r="BB75" s="665"/>
    </row>
    <row r="76" spans="1:54" s="11" customFormat="1" ht="15.75" hidden="1" customHeight="1" thickBot="1" x14ac:dyDescent="0.25">
      <c r="A76" s="1182"/>
      <c r="B76" s="1183"/>
      <c r="C76" s="1183"/>
      <c r="D76" s="1183"/>
      <c r="E76" s="1183"/>
      <c r="F76" s="1183"/>
      <c r="G76" s="1183"/>
      <c r="H76" s="35" t="s">
        <v>30</v>
      </c>
      <c r="I76" s="1177">
        <v>0.2</v>
      </c>
      <c r="J76" s="1177"/>
      <c r="K76" s="1177"/>
      <c r="L76" s="27" t="s">
        <v>28</v>
      </c>
      <c r="M76" s="1177">
        <v>0.15</v>
      </c>
      <c r="N76" s="1177"/>
      <c r="O76" s="1177"/>
      <c r="P76" s="27" t="s">
        <v>28</v>
      </c>
      <c r="Q76" s="1177">
        <v>0.5</v>
      </c>
      <c r="R76" s="1177"/>
      <c r="S76" s="1177"/>
      <c r="T76" s="27" t="s">
        <v>28</v>
      </c>
      <c r="U76" s="1177">
        <v>0</v>
      </c>
      <c r="V76" s="1177"/>
      <c r="W76" s="1177"/>
      <c r="X76" s="27" t="s">
        <v>31</v>
      </c>
      <c r="Y76" s="27" t="s">
        <v>28</v>
      </c>
      <c r="Z76" s="1176">
        <v>2.6</v>
      </c>
      <c r="AA76" s="1176"/>
      <c r="AB76" s="1186"/>
      <c r="AC76" s="992"/>
      <c r="AD76" s="992"/>
      <c r="AE76" s="992"/>
      <c r="AF76" s="992"/>
      <c r="AG76" s="992"/>
      <c r="AH76" s="992"/>
      <c r="AI76" s="992"/>
      <c r="AJ76" s="992"/>
      <c r="AK76" s="992"/>
      <c r="AL76" s="992"/>
      <c r="AM76" s="992"/>
      <c r="AN76" s="529"/>
      <c r="AO76" s="529"/>
      <c r="AP76" s="529"/>
      <c r="AQ76" s="529"/>
      <c r="AR76" s="529"/>
      <c r="AS76" s="664"/>
      <c r="AT76" s="664"/>
      <c r="AU76" s="664"/>
      <c r="AV76" s="664"/>
      <c r="AW76" s="664"/>
      <c r="AX76" s="529"/>
      <c r="AY76" s="529"/>
      <c r="AZ76" s="529"/>
      <c r="BA76" s="529"/>
      <c r="BB76" s="665"/>
    </row>
    <row r="77" spans="1:54" ht="13.5" hidden="1" customHeight="1" thickBot="1" x14ac:dyDescent="0.25">
      <c r="A77" s="1182"/>
      <c r="B77" s="1183"/>
      <c r="C77" s="1183"/>
      <c r="D77" s="1183"/>
      <c r="E77" s="1183"/>
      <c r="F77" s="1183"/>
      <c r="G77" s="1183"/>
      <c r="H77" s="36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111"/>
      <c r="AA77" s="111"/>
      <c r="AB77" s="38"/>
      <c r="AC77" s="992"/>
      <c r="AD77" s="992"/>
      <c r="AE77" s="992"/>
      <c r="AF77" s="992"/>
      <c r="AG77" s="992"/>
      <c r="AH77" s="992"/>
      <c r="AI77" s="992"/>
      <c r="AJ77" s="992"/>
      <c r="AK77" s="992"/>
      <c r="AL77" s="992"/>
      <c r="AM77" s="992"/>
      <c r="AN77" s="529"/>
      <c r="AO77" s="529"/>
      <c r="AP77" s="529"/>
      <c r="AQ77" s="529"/>
      <c r="AR77" s="529"/>
      <c r="AS77" s="664"/>
      <c r="AT77" s="664"/>
      <c r="AU77" s="664"/>
      <c r="AV77" s="664"/>
      <c r="AW77" s="664"/>
      <c r="AX77" s="529"/>
      <c r="AY77" s="529"/>
      <c r="AZ77" s="529"/>
      <c r="BA77" s="529"/>
      <c r="BB77" s="665"/>
    </row>
    <row r="78" spans="1:54" s="11" customFormat="1" ht="8.25" hidden="1" customHeight="1" x14ac:dyDescent="0.2">
      <c r="A78" s="1180" t="s">
        <v>86</v>
      </c>
      <c r="B78" s="1181"/>
      <c r="C78" s="1181"/>
      <c r="D78" s="1181"/>
      <c r="E78" s="1181"/>
      <c r="F78" s="1181"/>
      <c r="G78" s="1181"/>
      <c r="H78" s="39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40" t="e">
        <f>#REF!</f>
        <v>#REF!</v>
      </c>
      <c r="AA78" s="27"/>
      <c r="AB78" s="33"/>
      <c r="AC78" s="970">
        <f>((R79+(R79*U81)+(R79*Q81)+(R79*M81)+(R79*I81))*Z81)*1.15</f>
        <v>0</v>
      </c>
      <c r="AD78" s="970"/>
      <c r="AE78" s="970"/>
      <c r="AF78" s="970"/>
      <c r="AG78" s="970"/>
      <c r="AH78" s="992">
        <v>144</v>
      </c>
      <c r="AI78" s="992"/>
      <c r="AJ78" s="992"/>
      <c r="AK78" s="992"/>
      <c r="AL78" s="992"/>
      <c r="AM78" s="992"/>
      <c r="AN78" s="529">
        <f>AC78/AH78</f>
        <v>0</v>
      </c>
      <c r="AO78" s="529"/>
      <c r="AP78" s="529"/>
      <c r="AQ78" s="529"/>
      <c r="AR78" s="529"/>
      <c r="AS78" s="663">
        <v>1</v>
      </c>
      <c r="AT78" s="663"/>
      <c r="AU78" s="663"/>
      <c r="AV78" s="663"/>
      <c r="AW78" s="663"/>
      <c r="AX78" s="529">
        <f>AN78*AS78</f>
        <v>0</v>
      </c>
      <c r="AY78" s="529"/>
      <c r="AZ78" s="529"/>
      <c r="BA78" s="529"/>
      <c r="BB78" s="665"/>
    </row>
    <row r="79" spans="1:54" s="11" customFormat="1" ht="16.5" hidden="1" customHeight="1" thickBot="1" x14ac:dyDescent="0.25">
      <c r="A79" s="1182"/>
      <c r="B79" s="1183"/>
      <c r="C79" s="1183"/>
      <c r="D79" s="1183"/>
      <c r="E79" s="1183"/>
      <c r="F79" s="1183"/>
      <c r="G79" s="1183"/>
      <c r="H79" s="1174" t="s">
        <v>26</v>
      </c>
      <c r="I79" s="1175"/>
      <c r="J79" s="1175"/>
      <c r="K79" s="1175"/>
      <c r="L79" s="1175"/>
      <c r="M79" s="1175"/>
      <c r="N79" s="1176">
        <v>0</v>
      </c>
      <c r="O79" s="1176"/>
      <c r="P79" s="1176"/>
      <c r="Q79" s="27" t="s">
        <v>27</v>
      </c>
      <c r="R79" s="1176">
        <f>$AX$19*N79</f>
        <v>0</v>
      </c>
      <c r="S79" s="1176"/>
      <c r="T79" s="1176"/>
      <c r="U79" s="1176"/>
      <c r="V79" s="1176"/>
      <c r="W79" s="27" t="s">
        <v>28</v>
      </c>
      <c r="X79" s="27" t="s">
        <v>29</v>
      </c>
      <c r="Y79" s="27"/>
      <c r="Z79" s="27"/>
      <c r="AA79" s="27"/>
      <c r="AB79" s="33"/>
      <c r="AC79" s="992"/>
      <c r="AD79" s="992"/>
      <c r="AE79" s="992"/>
      <c r="AF79" s="992"/>
      <c r="AG79" s="992"/>
      <c r="AH79" s="992"/>
      <c r="AI79" s="992"/>
      <c r="AJ79" s="992"/>
      <c r="AK79" s="992"/>
      <c r="AL79" s="992"/>
      <c r="AM79" s="992"/>
      <c r="AN79" s="529"/>
      <c r="AO79" s="529"/>
      <c r="AP79" s="529"/>
      <c r="AQ79" s="529"/>
      <c r="AR79" s="529"/>
      <c r="AS79" s="664"/>
      <c r="AT79" s="664"/>
      <c r="AU79" s="664"/>
      <c r="AV79" s="664"/>
      <c r="AW79" s="664"/>
      <c r="AX79" s="529"/>
      <c r="AY79" s="529"/>
      <c r="AZ79" s="529"/>
      <c r="BA79" s="529"/>
      <c r="BB79" s="665"/>
    </row>
    <row r="80" spans="1:54" s="11" customFormat="1" ht="12.75" hidden="1" customHeight="1" thickBot="1" x14ac:dyDescent="0.25">
      <c r="A80" s="1182"/>
      <c r="B80" s="1183"/>
      <c r="C80" s="1183"/>
      <c r="D80" s="1183"/>
      <c r="E80" s="1183"/>
      <c r="F80" s="1183"/>
      <c r="G80" s="1183"/>
      <c r="H80" s="34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27"/>
      <c r="AA80" s="27"/>
      <c r="AB80" s="33"/>
      <c r="AC80" s="992"/>
      <c r="AD80" s="992"/>
      <c r="AE80" s="992"/>
      <c r="AF80" s="992"/>
      <c r="AG80" s="992"/>
      <c r="AH80" s="992"/>
      <c r="AI80" s="992"/>
      <c r="AJ80" s="992"/>
      <c r="AK80" s="992"/>
      <c r="AL80" s="992"/>
      <c r="AM80" s="992"/>
      <c r="AN80" s="529"/>
      <c r="AO80" s="529"/>
      <c r="AP80" s="529"/>
      <c r="AQ80" s="529"/>
      <c r="AR80" s="529"/>
      <c r="AS80" s="664"/>
      <c r="AT80" s="664"/>
      <c r="AU80" s="664"/>
      <c r="AV80" s="664"/>
      <c r="AW80" s="664"/>
      <c r="AX80" s="529"/>
      <c r="AY80" s="529"/>
      <c r="AZ80" s="529"/>
      <c r="BA80" s="529"/>
      <c r="BB80" s="665"/>
    </row>
    <row r="81" spans="1:54" ht="10.5" hidden="1" customHeight="1" thickBot="1" x14ac:dyDescent="0.25">
      <c r="A81" s="1182"/>
      <c r="B81" s="1183"/>
      <c r="C81" s="1183"/>
      <c r="D81" s="1183"/>
      <c r="E81" s="1183"/>
      <c r="F81" s="1183"/>
      <c r="G81" s="1183"/>
      <c r="H81" s="35" t="s">
        <v>30</v>
      </c>
      <c r="I81" s="1177">
        <v>0.2</v>
      </c>
      <c r="J81" s="1177"/>
      <c r="K81" s="1177"/>
      <c r="L81" s="27" t="s">
        <v>28</v>
      </c>
      <c r="M81" s="1177">
        <v>0</v>
      </c>
      <c r="N81" s="1177"/>
      <c r="O81" s="1177"/>
      <c r="P81" s="27" t="s">
        <v>28</v>
      </c>
      <c r="Q81" s="1177">
        <v>0</v>
      </c>
      <c r="R81" s="1177"/>
      <c r="S81" s="1177"/>
      <c r="T81" s="27" t="s">
        <v>28</v>
      </c>
      <c r="U81" s="1177">
        <v>0</v>
      </c>
      <c r="V81" s="1177"/>
      <c r="W81" s="1177"/>
      <c r="X81" s="27" t="s">
        <v>31</v>
      </c>
      <c r="Y81" s="27" t="s">
        <v>28</v>
      </c>
      <c r="Z81" s="1176">
        <v>2.6</v>
      </c>
      <c r="AA81" s="1176"/>
      <c r="AB81" s="1186"/>
      <c r="AC81" s="992"/>
      <c r="AD81" s="992"/>
      <c r="AE81" s="992"/>
      <c r="AF81" s="992"/>
      <c r="AG81" s="992"/>
      <c r="AH81" s="992"/>
      <c r="AI81" s="992"/>
      <c r="AJ81" s="992"/>
      <c r="AK81" s="992"/>
      <c r="AL81" s="992"/>
      <c r="AM81" s="992"/>
      <c r="AN81" s="529"/>
      <c r="AO81" s="529"/>
      <c r="AP81" s="529"/>
      <c r="AQ81" s="529"/>
      <c r="AR81" s="529"/>
      <c r="AS81" s="664"/>
      <c r="AT81" s="664"/>
      <c r="AU81" s="664"/>
      <c r="AV81" s="664"/>
      <c r="AW81" s="664"/>
      <c r="AX81" s="529"/>
      <c r="AY81" s="529"/>
      <c r="AZ81" s="529"/>
      <c r="BA81" s="529"/>
      <c r="BB81" s="665"/>
    </row>
    <row r="82" spans="1:54" ht="15" hidden="1" customHeight="1" thickBot="1" x14ac:dyDescent="0.25">
      <c r="A82" s="1182"/>
      <c r="B82" s="1183"/>
      <c r="C82" s="1183"/>
      <c r="D82" s="1183"/>
      <c r="E82" s="1183"/>
      <c r="F82" s="1183"/>
      <c r="G82" s="1183"/>
      <c r="H82" s="41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3"/>
      <c r="AA82" s="43"/>
      <c r="AB82" s="44"/>
      <c r="AC82" s="992"/>
      <c r="AD82" s="992"/>
      <c r="AE82" s="992"/>
      <c r="AF82" s="992"/>
      <c r="AG82" s="992"/>
      <c r="AH82" s="959"/>
      <c r="AI82" s="959"/>
      <c r="AJ82" s="959"/>
      <c r="AK82" s="959"/>
      <c r="AL82" s="959"/>
      <c r="AM82" s="959"/>
      <c r="AN82" s="483"/>
      <c r="AO82" s="483"/>
      <c r="AP82" s="483"/>
      <c r="AQ82" s="483"/>
      <c r="AR82" s="483"/>
      <c r="AS82" s="664"/>
      <c r="AT82" s="664"/>
      <c r="AU82" s="664"/>
      <c r="AV82" s="664"/>
      <c r="AW82" s="664"/>
      <c r="AX82" s="483"/>
      <c r="AY82" s="483"/>
      <c r="AZ82" s="483"/>
      <c r="BA82" s="483"/>
      <c r="BB82" s="484"/>
    </row>
    <row r="83" spans="1:54" ht="11.25" customHeight="1" x14ac:dyDescent="0.2">
      <c r="R83" s="16" t="s">
        <v>18</v>
      </c>
      <c r="S83" s="17"/>
      <c r="T83" s="17"/>
      <c r="U83" s="18"/>
      <c r="V83" s="18"/>
      <c r="W83" s="18"/>
      <c r="X83" s="18"/>
      <c r="Y83" s="18"/>
      <c r="Z83" s="18"/>
      <c r="AA83" s="18"/>
      <c r="AB83" s="18"/>
      <c r="AC83" s="18"/>
      <c r="AD83" s="18" t="s">
        <v>19</v>
      </c>
      <c r="AE83" s="18" t="s">
        <v>20</v>
      </c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9"/>
      <c r="AS83" s="1178">
        <f>AX83/4</f>
        <v>75.075000000000003</v>
      </c>
      <c r="AT83" s="1178"/>
      <c r="AU83" s="1178"/>
      <c r="AV83" s="1178"/>
      <c r="AW83" s="1178"/>
      <c r="AX83" s="1178">
        <f>SUM(AX58:BB82)</f>
        <v>300.3</v>
      </c>
      <c r="AY83" s="1178"/>
      <c r="AZ83" s="1178"/>
      <c r="BA83" s="1178"/>
      <c r="BB83" s="1179"/>
    </row>
    <row r="84" spans="1:54" ht="11.25" customHeight="1" thickBot="1" x14ac:dyDescent="0.25">
      <c r="R84" s="20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 t="s">
        <v>19</v>
      </c>
      <c r="AE84" s="21" t="s">
        <v>21</v>
      </c>
      <c r="AF84" s="21"/>
      <c r="AG84" s="21"/>
      <c r="AH84" s="21"/>
      <c r="AI84" s="21"/>
      <c r="AJ84" s="21"/>
      <c r="AK84" s="21"/>
      <c r="AL84" s="21"/>
      <c r="AM84" s="21"/>
      <c r="AN84" s="21"/>
      <c r="AO84" s="1153">
        <v>0.30199999999999999</v>
      </c>
      <c r="AP84" s="997"/>
      <c r="AQ84" s="997"/>
      <c r="AR84" s="998"/>
      <c r="AS84" s="1154">
        <f>AX84/U12</f>
        <v>90.690600000000003</v>
      </c>
      <c r="AT84" s="1154"/>
      <c r="AU84" s="1154"/>
      <c r="AV84" s="1154"/>
      <c r="AW84" s="1154"/>
      <c r="AX84" s="1154">
        <f>AX83*AO84</f>
        <v>90.690600000000003</v>
      </c>
      <c r="AY84" s="1154"/>
      <c r="AZ84" s="1154"/>
      <c r="BA84" s="1154"/>
      <c r="BB84" s="1155"/>
    </row>
    <row r="85" spans="1:54" ht="11.25" customHeight="1" thickBot="1" x14ac:dyDescent="0.25">
      <c r="M85" s="10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45"/>
      <c r="AP85" s="114"/>
      <c r="AQ85" s="114"/>
      <c r="AR85" s="114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</row>
    <row r="86" spans="1:54" ht="12" customHeight="1" x14ac:dyDescent="0.2">
      <c r="A86" s="1156" t="s">
        <v>32</v>
      </c>
      <c r="B86" s="1156"/>
      <c r="C86" s="1156"/>
      <c r="D86" s="1156"/>
      <c r="E86" s="1156"/>
      <c r="F86" s="1156"/>
      <c r="G86" s="1156"/>
      <c r="H86" s="1156"/>
      <c r="I86" s="1156"/>
      <c r="J86" s="1156"/>
      <c r="K86" s="1156"/>
      <c r="L86" s="1156"/>
      <c r="M86" s="1156"/>
      <c r="N86" s="1156"/>
      <c r="O86" s="1157" t="s">
        <v>33</v>
      </c>
      <c r="P86" s="1158"/>
      <c r="Q86" s="1158"/>
      <c r="R86" s="1158"/>
      <c r="S86" s="1158"/>
      <c r="T86" s="1158"/>
      <c r="U86" s="1158"/>
      <c r="V86" s="1158"/>
      <c r="W86" s="1158"/>
      <c r="X86" s="1158"/>
      <c r="Y86" s="1158"/>
      <c r="Z86" s="1158"/>
      <c r="AA86" s="1158"/>
      <c r="AB86" s="1158"/>
      <c r="AC86" s="1158"/>
      <c r="AD86" s="1158"/>
      <c r="AE86" s="1158"/>
      <c r="AF86" s="1158"/>
      <c r="AG86" s="1158"/>
      <c r="AH86" s="1158"/>
      <c r="AI86" s="1158"/>
      <c r="AJ86" s="1158"/>
      <c r="AK86" s="1158"/>
      <c r="AL86" s="1158"/>
      <c r="AM86" s="1158"/>
      <c r="AN86" s="1158"/>
      <c r="AO86" s="1159">
        <f>AS34+AS51+AS83</f>
        <v>105.105</v>
      </c>
      <c r="AP86" s="1159"/>
      <c r="AQ86" s="1159"/>
      <c r="AR86" s="1159"/>
      <c r="AS86" s="1159"/>
      <c r="AT86" s="1159"/>
      <c r="AU86" s="1159"/>
      <c r="AV86" s="1159">
        <f>AX34+AX51+AX83</f>
        <v>330.33000000000004</v>
      </c>
      <c r="AW86" s="1159"/>
      <c r="AX86" s="1159"/>
      <c r="AY86" s="1159"/>
      <c r="AZ86" s="1159"/>
      <c r="BA86" s="1159"/>
      <c r="BB86" s="1160"/>
    </row>
    <row r="87" spans="1:54" ht="12" customHeight="1" thickBot="1" x14ac:dyDescent="0.25">
      <c r="M87" s="9"/>
      <c r="O87" s="1166" t="s">
        <v>34</v>
      </c>
      <c r="P87" s="1167"/>
      <c r="Q87" s="1167"/>
      <c r="R87" s="1167"/>
      <c r="S87" s="1167"/>
      <c r="T87" s="1167"/>
      <c r="U87" s="1167"/>
      <c r="V87" s="1167"/>
      <c r="W87" s="1167"/>
      <c r="X87" s="1167"/>
      <c r="Y87" s="1167"/>
      <c r="Z87" s="1167"/>
      <c r="AA87" s="1167"/>
      <c r="AB87" s="1167"/>
      <c r="AC87" s="1167"/>
      <c r="AD87" s="1167"/>
      <c r="AE87" s="1167"/>
      <c r="AF87" s="1167"/>
      <c r="AG87" s="1167"/>
      <c r="AH87" s="1167"/>
      <c r="AI87" s="1167"/>
      <c r="AJ87" s="1167"/>
      <c r="AK87" s="1167"/>
      <c r="AL87" s="1167"/>
      <c r="AM87" s="1167"/>
      <c r="AN87" s="1167"/>
      <c r="AO87" s="1168">
        <f>AS35+AS52+AS84</f>
        <v>99.759659999999997</v>
      </c>
      <c r="AP87" s="1168"/>
      <c r="AQ87" s="1168"/>
      <c r="AR87" s="1168"/>
      <c r="AS87" s="1168"/>
      <c r="AT87" s="1168"/>
      <c r="AU87" s="1168"/>
      <c r="AV87" s="1168">
        <f>AX35+AX52+AX84</f>
        <v>99.759659999999997</v>
      </c>
      <c r="AW87" s="1168"/>
      <c r="AX87" s="1168"/>
      <c r="AY87" s="1168"/>
      <c r="AZ87" s="1168"/>
      <c r="BA87" s="1168"/>
      <c r="BB87" s="1169"/>
    </row>
    <row r="88" spans="1:54" ht="12" customHeight="1" thickBot="1" x14ac:dyDescent="0.25">
      <c r="M88" s="46" t="s">
        <v>35</v>
      </c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8"/>
      <c r="AO88" s="1170">
        <f>AO87+AO86</f>
        <v>204.86466000000001</v>
      </c>
      <c r="AP88" s="1171"/>
      <c r="AQ88" s="1171"/>
      <c r="AR88" s="1171"/>
      <c r="AS88" s="1171"/>
      <c r="AT88" s="1171"/>
      <c r="AU88" s="1171"/>
      <c r="AV88" s="1171">
        <f>AV86+AV87</f>
        <v>430.08966000000004</v>
      </c>
      <c r="AW88" s="1171"/>
      <c r="AX88" s="1171"/>
      <c r="AY88" s="1171"/>
      <c r="AZ88" s="1171"/>
      <c r="BA88" s="1171"/>
      <c r="BB88" s="1172"/>
    </row>
    <row r="89" spans="1:54" ht="10.5" customHeight="1" x14ac:dyDescent="0.2"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</row>
    <row r="90" spans="1:54" s="5" customFormat="1" ht="15" customHeight="1" x14ac:dyDescent="0.2">
      <c r="A90" s="55" t="s">
        <v>36</v>
      </c>
      <c r="B90" s="55"/>
      <c r="C90" s="55" t="s">
        <v>37</v>
      </c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6"/>
      <c r="AY90" s="56"/>
      <c r="AZ90" s="56"/>
      <c r="BA90" s="56"/>
      <c r="BB90" s="56"/>
    </row>
    <row r="91" spans="1:54" ht="12" customHeight="1" thickBot="1" x14ac:dyDescent="0.2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</row>
    <row r="92" spans="1:54" s="9" customFormat="1" ht="39" customHeight="1" x14ac:dyDescent="0.2">
      <c r="A92" s="1173" t="s">
        <v>38</v>
      </c>
      <c r="B92" s="1161"/>
      <c r="C92" s="1161"/>
      <c r="D92" s="1161"/>
      <c r="E92" s="1161"/>
      <c r="F92" s="1161"/>
      <c r="G92" s="1161"/>
      <c r="H92" s="1161"/>
      <c r="I92" s="1161"/>
      <c r="J92" s="1161"/>
      <c r="K92" s="1161"/>
      <c r="L92" s="1161"/>
      <c r="M92" s="1161"/>
      <c r="N92" s="1161"/>
      <c r="O92" s="1161"/>
      <c r="P92" s="1161"/>
      <c r="Q92" s="1000" t="s">
        <v>39</v>
      </c>
      <c r="R92" s="1000"/>
      <c r="S92" s="1000"/>
      <c r="T92" s="1000"/>
      <c r="U92" s="1000"/>
      <c r="V92" s="1000"/>
      <c r="W92" s="1000"/>
      <c r="X92" s="1000" t="s">
        <v>40</v>
      </c>
      <c r="Y92" s="1000"/>
      <c r="Z92" s="1000"/>
      <c r="AA92" s="1000"/>
      <c r="AB92" s="1000"/>
      <c r="AC92" s="1000"/>
      <c r="AD92" s="1000"/>
      <c r="AE92" s="1000" t="s">
        <v>41</v>
      </c>
      <c r="AF92" s="1000"/>
      <c r="AG92" s="1000"/>
      <c r="AH92" s="1000"/>
      <c r="AI92" s="1000"/>
      <c r="AJ92" s="1000"/>
      <c r="AK92" s="1000"/>
      <c r="AL92" s="1000"/>
      <c r="AM92" s="1161" t="s">
        <v>42</v>
      </c>
      <c r="AN92" s="1161"/>
      <c r="AO92" s="1161"/>
      <c r="AP92" s="1161"/>
      <c r="AQ92" s="1161"/>
      <c r="AR92" s="1161"/>
      <c r="AS92" s="1161"/>
      <c r="AT92" s="1161"/>
      <c r="AU92" s="1161"/>
      <c r="AV92" s="1161" t="s">
        <v>43</v>
      </c>
      <c r="AW92" s="1161"/>
      <c r="AX92" s="1161"/>
      <c r="AY92" s="1161"/>
      <c r="AZ92" s="1161"/>
      <c r="BA92" s="1161"/>
      <c r="BB92" s="1162"/>
    </row>
    <row r="93" spans="1:54" s="9" customFormat="1" ht="12" customHeight="1" thickBot="1" x14ac:dyDescent="0.25">
      <c r="A93" s="1163">
        <v>1</v>
      </c>
      <c r="B93" s="1164"/>
      <c r="C93" s="1164"/>
      <c r="D93" s="1164"/>
      <c r="E93" s="1164"/>
      <c r="F93" s="1164"/>
      <c r="G93" s="1164"/>
      <c r="H93" s="1164"/>
      <c r="I93" s="1164"/>
      <c r="J93" s="1164"/>
      <c r="K93" s="1164"/>
      <c r="L93" s="1164"/>
      <c r="M93" s="1164"/>
      <c r="N93" s="1164"/>
      <c r="O93" s="1164"/>
      <c r="P93" s="1164"/>
      <c r="Q93" s="1164">
        <v>2</v>
      </c>
      <c r="R93" s="1164"/>
      <c r="S93" s="1164"/>
      <c r="T93" s="1164"/>
      <c r="U93" s="1164"/>
      <c r="V93" s="1164"/>
      <c r="W93" s="1164"/>
      <c r="X93" s="1164">
        <v>3</v>
      </c>
      <c r="Y93" s="1164"/>
      <c r="Z93" s="1164"/>
      <c r="AA93" s="1164"/>
      <c r="AB93" s="1164"/>
      <c r="AC93" s="1164"/>
      <c r="AD93" s="1164"/>
      <c r="AE93" s="1164">
        <v>4</v>
      </c>
      <c r="AF93" s="1164"/>
      <c r="AG93" s="1164"/>
      <c r="AH93" s="1164"/>
      <c r="AI93" s="1164"/>
      <c r="AJ93" s="1164"/>
      <c r="AK93" s="1164"/>
      <c r="AL93" s="1164"/>
      <c r="AM93" s="1164">
        <v>5</v>
      </c>
      <c r="AN93" s="1164"/>
      <c r="AO93" s="1164"/>
      <c r="AP93" s="1164"/>
      <c r="AQ93" s="1164"/>
      <c r="AR93" s="1164"/>
      <c r="AS93" s="1164"/>
      <c r="AT93" s="1164"/>
      <c r="AU93" s="1164"/>
      <c r="AV93" s="1164">
        <v>6</v>
      </c>
      <c r="AW93" s="1164"/>
      <c r="AX93" s="1164"/>
      <c r="AY93" s="1164"/>
      <c r="AZ93" s="1164"/>
      <c r="BA93" s="1164"/>
      <c r="BB93" s="1165"/>
    </row>
    <row r="94" spans="1:54" ht="15" customHeight="1" x14ac:dyDescent="0.2">
      <c r="A94" s="1142" t="s">
        <v>44</v>
      </c>
      <c r="B94" s="1143"/>
      <c r="C94" s="1143"/>
      <c r="D94" s="1143"/>
      <c r="E94" s="1143"/>
      <c r="F94" s="1143"/>
      <c r="G94" s="1143"/>
      <c r="H94" s="1143"/>
      <c r="I94" s="1143"/>
      <c r="J94" s="1143"/>
      <c r="K94" s="1143"/>
      <c r="L94" s="1143"/>
      <c r="M94" s="1143"/>
      <c r="N94" s="1143"/>
      <c r="O94" s="1143"/>
      <c r="P94" s="1143"/>
      <c r="Q94" s="1114">
        <v>5014.7</v>
      </c>
      <c r="R94" s="1115"/>
      <c r="S94" s="1115"/>
      <c r="T94" s="1115"/>
      <c r="U94" s="1115"/>
      <c r="V94" s="1115"/>
      <c r="W94" s="1116"/>
      <c r="X94" s="1114">
        <v>71.7</v>
      </c>
      <c r="Y94" s="1115"/>
      <c r="Z94" s="1115"/>
      <c r="AA94" s="1115"/>
      <c r="AB94" s="1115"/>
      <c r="AC94" s="1115"/>
      <c r="AD94" s="1116"/>
      <c r="AE94" s="946">
        <v>1221400.24</v>
      </c>
      <c r="AF94" s="946"/>
      <c r="AG94" s="946"/>
      <c r="AH94" s="946"/>
      <c r="AI94" s="946"/>
      <c r="AJ94" s="946"/>
      <c r="AK94" s="946"/>
      <c r="AL94" s="946"/>
      <c r="AM94" s="1144" t="s">
        <v>45</v>
      </c>
      <c r="AN94" s="1145"/>
      <c r="AO94" s="1145"/>
      <c r="AP94" s="1145"/>
      <c r="AQ94" s="1145"/>
      <c r="AR94" s="1145"/>
      <c r="AS94" s="1145"/>
      <c r="AT94" s="1145"/>
      <c r="AU94" s="1146"/>
      <c r="AV94" s="1138">
        <f>AE94/$Q$94*$X$94/($AN$95*$AN$96)</f>
        <v>7.0989986357183055</v>
      </c>
      <c r="AW94" s="1138"/>
      <c r="AX94" s="1138"/>
      <c r="AY94" s="1138"/>
      <c r="AZ94" s="1138"/>
      <c r="BA94" s="1138"/>
      <c r="BB94" s="1139"/>
    </row>
    <row r="95" spans="1:54" ht="15" customHeight="1" x14ac:dyDescent="0.2">
      <c r="A95" s="1142" t="s">
        <v>46</v>
      </c>
      <c r="B95" s="1143"/>
      <c r="C95" s="1143"/>
      <c r="D95" s="1143"/>
      <c r="E95" s="1143"/>
      <c r="F95" s="1143"/>
      <c r="G95" s="1143"/>
      <c r="H95" s="1143"/>
      <c r="I95" s="1143"/>
      <c r="J95" s="1143"/>
      <c r="K95" s="1143"/>
      <c r="L95" s="1143"/>
      <c r="M95" s="1143"/>
      <c r="N95" s="1143"/>
      <c r="O95" s="1143"/>
      <c r="P95" s="1143"/>
      <c r="Q95" s="1114"/>
      <c r="R95" s="1115"/>
      <c r="S95" s="1115"/>
      <c r="T95" s="1115"/>
      <c r="U95" s="1115"/>
      <c r="V95" s="1115"/>
      <c r="W95" s="1116"/>
      <c r="X95" s="1114"/>
      <c r="Y95" s="1115"/>
      <c r="Z95" s="1115"/>
      <c r="AA95" s="1115"/>
      <c r="AB95" s="1115"/>
      <c r="AC95" s="1115"/>
      <c r="AD95" s="1116"/>
      <c r="AE95" s="1401">
        <v>2351731.0299999998</v>
      </c>
      <c r="AF95" s="1401"/>
      <c r="AG95" s="1401"/>
      <c r="AH95" s="1401"/>
      <c r="AI95" s="1401"/>
      <c r="AJ95" s="1401"/>
      <c r="AK95" s="1401"/>
      <c r="AL95" s="1401"/>
      <c r="AM95" s="88"/>
      <c r="AN95" s="1147">
        <v>205</v>
      </c>
      <c r="AO95" s="1147"/>
      <c r="AP95" s="1147"/>
      <c r="AQ95" s="1141" t="s">
        <v>47</v>
      </c>
      <c r="AR95" s="1141"/>
      <c r="AS95" s="1141"/>
      <c r="AT95" s="1141"/>
      <c r="AU95" s="89"/>
      <c r="AV95" s="1138">
        <f>AE95/$Q$94*$X$94/($AN$95*$AN$96)</f>
        <v>13.668685191634157</v>
      </c>
      <c r="AW95" s="1138"/>
      <c r="AX95" s="1138"/>
      <c r="AY95" s="1138"/>
      <c r="AZ95" s="1138"/>
      <c r="BA95" s="1138"/>
      <c r="BB95" s="1139"/>
    </row>
    <row r="96" spans="1:54" ht="15" customHeight="1" x14ac:dyDescent="0.2">
      <c r="A96" s="1120" t="s">
        <v>48</v>
      </c>
      <c r="B96" s="1121"/>
      <c r="C96" s="1121"/>
      <c r="D96" s="1121"/>
      <c r="E96" s="1121"/>
      <c r="F96" s="1121"/>
      <c r="G96" s="1121"/>
      <c r="H96" s="1121"/>
      <c r="I96" s="1121"/>
      <c r="J96" s="1121"/>
      <c r="K96" s="1121"/>
      <c r="L96" s="1121"/>
      <c r="M96" s="1121"/>
      <c r="N96" s="1121"/>
      <c r="O96" s="1121"/>
      <c r="P96" s="1122"/>
      <c r="Q96" s="1114"/>
      <c r="R96" s="1115"/>
      <c r="S96" s="1115"/>
      <c r="T96" s="1115"/>
      <c r="U96" s="1115"/>
      <c r="V96" s="1115"/>
      <c r="W96" s="1116"/>
      <c r="X96" s="1114"/>
      <c r="Y96" s="1115"/>
      <c r="Z96" s="1115"/>
      <c r="AA96" s="1115"/>
      <c r="AB96" s="1115"/>
      <c r="AC96" s="1115"/>
      <c r="AD96" s="1116"/>
      <c r="AE96" s="1401">
        <v>2952072.16</v>
      </c>
      <c r="AF96" s="1401"/>
      <c r="AG96" s="1401"/>
      <c r="AH96" s="1401"/>
      <c r="AI96" s="1401"/>
      <c r="AJ96" s="1401"/>
      <c r="AK96" s="1401"/>
      <c r="AL96" s="1401"/>
      <c r="AM96" s="88"/>
      <c r="AN96" s="1140">
        <v>12</v>
      </c>
      <c r="AO96" s="1140"/>
      <c r="AP96" s="1140"/>
      <c r="AQ96" s="1141" t="s">
        <v>49</v>
      </c>
      <c r="AR96" s="1141"/>
      <c r="AS96" s="1141"/>
      <c r="AT96" s="1141"/>
      <c r="AU96" s="89"/>
      <c r="AV96" s="1138">
        <f>AE96/$Q$94*$X$94/($AN$95*$AN$96)</f>
        <v>17.157976190001399</v>
      </c>
      <c r="AW96" s="1138"/>
      <c r="AX96" s="1138"/>
      <c r="AY96" s="1138"/>
      <c r="AZ96" s="1138"/>
      <c r="BA96" s="1138"/>
      <c r="BB96" s="1139"/>
    </row>
    <row r="97" spans="1:54" ht="15" customHeight="1" thickBot="1" x14ac:dyDescent="0.25">
      <c r="A97" s="1148" t="s">
        <v>50</v>
      </c>
      <c r="B97" s="1149"/>
      <c r="C97" s="1149"/>
      <c r="D97" s="1149"/>
      <c r="E97" s="1149"/>
      <c r="F97" s="1149"/>
      <c r="G97" s="1149"/>
      <c r="H97" s="1149"/>
      <c r="I97" s="1149"/>
      <c r="J97" s="1149"/>
      <c r="K97" s="1149"/>
      <c r="L97" s="1149"/>
      <c r="M97" s="1149"/>
      <c r="N97" s="1149"/>
      <c r="O97" s="1149"/>
      <c r="P97" s="1150"/>
      <c r="Q97" s="1114"/>
      <c r="R97" s="1115"/>
      <c r="S97" s="1115"/>
      <c r="T97" s="1115"/>
      <c r="U97" s="1115"/>
      <c r="V97" s="1115"/>
      <c r="W97" s="1116"/>
      <c r="X97" s="1114"/>
      <c r="Y97" s="1115"/>
      <c r="Z97" s="1115"/>
      <c r="AA97" s="1115"/>
      <c r="AB97" s="1115"/>
      <c r="AC97" s="1115"/>
      <c r="AD97" s="1116"/>
      <c r="AE97" s="1402">
        <v>1175308.21</v>
      </c>
      <c r="AF97" s="1402"/>
      <c r="AG97" s="1402"/>
      <c r="AH97" s="1402"/>
      <c r="AI97" s="1402"/>
      <c r="AJ97" s="1402"/>
      <c r="AK97" s="1402"/>
      <c r="AL97" s="1402"/>
      <c r="AM97" s="88"/>
      <c r="AN97" s="90"/>
      <c r="AO97" s="90"/>
      <c r="AP97" s="90"/>
      <c r="AQ97" s="90"/>
      <c r="AR97" s="90"/>
      <c r="AS97" s="90"/>
      <c r="AT97" s="90"/>
      <c r="AU97" s="89"/>
      <c r="AV97" s="1151">
        <f>AE97/$Q$94*$X$94/($AN$95*$AN$96)</f>
        <v>6.8311034385735212</v>
      </c>
      <c r="AW97" s="1151"/>
      <c r="AX97" s="1151"/>
      <c r="AY97" s="1151"/>
      <c r="AZ97" s="1151"/>
      <c r="BA97" s="1151"/>
      <c r="BB97" s="1152"/>
    </row>
    <row r="98" spans="1:54" s="7" customFormat="1" ht="15" customHeight="1" thickBot="1" x14ac:dyDescent="0.25">
      <c r="A98" s="1128" t="s">
        <v>51</v>
      </c>
      <c r="B98" s="1129"/>
      <c r="C98" s="1129"/>
      <c r="D98" s="1129"/>
      <c r="E98" s="1129"/>
      <c r="F98" s="1129"/>
      <c r="G98" s="1129"/>
      <c r="H98" s="1129"/>
      <c r="I98" s="1129"/>
      <c r="J98" s="1129"/>
      <c r="K98" s="1129"/>
      <c r="L98" s="1129"/>
      <c r="M98" s="1129"/>
      <c r="N98" s="1129"/>
      <c r="O98" s="1129"/>
      <c r="P98" s="1129"/>
      <c r="Q98" s="1130">
        <f>Q94</f>
        <v>5014.7</v>
      </c>
      <c r="R98" s="1065"/>
      <c r="S98" s="1065"/>
      <c r="T98" s="1065"/>
      <c r="U98" s="1065"/>
      <c r="V98" s="1065"/>
      <c r="W98" s="1066"/>
      <c r="X98" s="1130">
        <f>X94</f>
        <v>71.7</v>
      </c>
      <c r="Y98" s="1065"/>
      <c r="Z98" s="1065"/>
      <c r="AA98" s="1065"/>
      <c r="AB98" s="1065"/>
      <c r="AC98" s="1065"/>
      <c r="AD98" s="1066"/>
      <c r="AE98" s="1590">
        <f>SUM(AE94:AL97)</f>
        <v>7700511.6399999997</v>
      </c>
      <c r="AF98" s="1590"/>
      <c r="AG98" s="1590"/>
      <c r="AH98" s="1590"/>
      <c r="AI98" s="1590"/>
      <c r="AJ98" s="1590"/>
      <c r="AK98" s="1590"/>
      <c r="AL98" s="1590"/>
      <c r="AM98" s="1130" t="s">
        <v>17</v>
      </c>
      <c r="AN98" s="1065"/>
      <c r="AO98" s="1065"/>
      <c r="AP98" s="1065"/>
      <c r="AQ98" s="1065"/>
      <c r="AR98" s="1065"/>
      <c r="AS98" s="1065"/>
      <c r="AT98" s="1065"/>
      <c r="AU98" s="1066"/>
      <c r="AV98" s="1131">
        <f>SUM(AV94:BB97)</f>
        <v>44.756763455927384</v>
      </c>
      <c r="AW98" s="1131"/>
      <c r="AX98" s="1131"/>
      <c r="AY98" s="1131"/>
      <c r="AZ98" s="1131"/>
      <c r="BA98" s="1131"/>
      <c r="BB98" s="1132"/>
    </row>
    <row r="99" spans="1:54" ht="12" customHeight="1" x14ac:dyDescent="0.2"/>
    <row r="100" spans="1:54" s="5" customFormat="1" ht="15" customHeight="1" x14ac:dyDescent="0.2">
      <c r="A100" s="55" t="s">
        <v>52</v>
      </c>
      <c r="B100" s="55"/>
      <c r="C100" s="55" t="s">
        <v>53</v>
      </c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6"/>
      <c r="AY100" s="56"/>
      <c r="AZ100" s="56"/>
      <c r="BA100" s="56"/>
      <c r="BB100" s="56"/>
    </row>
    <row r="101" spans="1:54" ht="12" customHeight="1" thickBot="1" x14ac:dyDescent="0.2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</row>
    <row r="102" spans="1:54" ht="39" customHeight="1" x14ac:dyDescent="0.2">
      <c r="A102" s="1133" t="s">
        <v>54</v>
      </c>
      <c r="B102" s="1134"/>
      <c r="C102" s="1134"/>
      <c r="D102" s="1134"/>
      <c r="E102" s="1134"/>
      <c r="F102" s="1134"/>
      <c r="G102" s="1134"/>
      <c r="H102" s="1134"/>
      <c r="I102" s="1134"/>
      <c r="J102" s="1134"/>
      <c r="K102" s="1134"/>
      <c r="L102" s="1134"/>
      <c r="M102" s="1134"/>
      <c r="N102" s="1134"/>
      <c r="O102" s="1134"/>
      <c r="P102" s="1134"/>
      <c r="Q102" s="1134"/>
      <c r="R102" s="1134"/>
      <c r="S102" s="1134"/>
      <c r="T102" s="1134"/>
      <c r="U102" s="1134"/>
      <c r="V102" s="1134"/>
      <c r="W102" s="1134"/>
      <c r="X102" s="1134"/>
      <c r="Y102" s="1134"/>
      <c r="Z102" s="1135"/>
      <c r="AA102" s="1001" t="s">
        <v>55</v>
      </c>
      <c r="AB102" s="1002"/>
      <c r="AC102" s="1002"/>
      <c r="AD102" s="1002"/>
      <c r="AE102" s="1002"/>
      <c r="AF102" s="1003"/>
      <c r="AG102" s="1001" t="s">
        <v>56</v>
      </c>
      <c r="AH102" s="1002"/>
      <c r="AI102" s="1002"/>
      <c r="AJ102" s="1002"/>
      <c r="AK102" s="1002"/>
      <c r="AL102" s="1003"/>
      <c r="AM102" s="1136" t="s">
        <v>57</v>
      </c>
      <c r="AN102" s="1134"/>
      <c r="AO102" s="1134"/>
      <c r="AP102" s="1134"/>
      <c r="AQ102" s="1134"/>
      <c r="AR102" s="1134"/>
      <c r="AS102" s="1134"/>
      <c r="AT102" s="1135"/>
      <c r="AU102" s="1136" t="s">
        <v>43</v>
      </c>
      <c r="AV102" s="1134"/>
      <c r="AW102" s="1134"/>
      <c r="AX102" s="1134"/>
      <c r="AY102" s="1134"/>
      <c r="AZ102" s="1134"/>
      <c r="BA102" s="1134"/>
      <c r="BB102" s="1137"/>
    </row>
    <row r="103" spans="1:54" ht="15.75" customHeight="1" thickBot="1" x14ac:dyDescent="0.25">
      <c r="A103" s="1123">
        <v>1</v>
      </c>
      <c r="B103" s="1124"/>
      <c r="C103" s="1124"/>
      <c r="D103" s="1124"/>
      <c r="E103" s="1124"/>
      <c r="F103" s="1124"/>
      <c r="G103" s="1124"/>
      <c r="H103" s="1124"/>
      <c r="I103" s="1124"/>
      <c r="J103" s="1124"/>
      <c r="K103" s="1124"/>
      <c r="L103" s="1124"/>
      <c r="M103" s="1124"/>
      <c r="N103" s="1124"/>
      <c r="O103" s="1124"/>
      <c r="P103" s="1124"/>
      <c r="Q103" s="1124"/>
      <c r="R103" s="1124"/>
      <c r="S103" s="1124"/>
      <c r="T103" s="1124"/>
      <c r="U103" s="1124"/>
      <c r="V103" s="1124"/>
      <c r="W103" s="1124"/>
      <c r="X103" s="1124"/>
      <c r="Y103" s="1124"/>
      <c r="Z103" s="1125"/>
      <c r="AA103" s="1126">
        <v>2</v>
      </c>
      <c r="AB103" s="1124"/>
      <c r="AC103" s="1124"/>
      <c r="AD103" s="1124"/>
      <c r="AE103" s="1124"/>
      <c r="AF103" s="1125"/>
      <c r="AG103" s="1126">
        <v>3</v>
      </c>
      <c r="AH103" s="1124"/>
      <c r="AI103" s="1124"/>
      <c r="AJ103" s="1124"/>
      <c r="AK103" s="1124"/>
      <c r="AL103" s="1125"/>
      <c r="AM103" s="1126">
        <v>4</v>
      </c>
      <c r="AN103" s="1124"/>
      <c r="AO103" s="1124"/>
      <c r="AP103" s="1124"/>
      <c r="AQ103" s="1124"/>
      <c r="AR103" s="1124"/>
      <c r="AS103" s="1124"/>
      <c r="AT103" s="1125"/>
      <c r="AU103" s="1126">
        <v>5</v>
      </c>
      <c r="AV103" s="1124"/>
      <c r="AW103" s="1124"/>
      <c r="AX103" s="1124"/>
      <c r="AY103" s="1124"/>
      <c r="AZ103" s="1124"/>
      <c r="BA103" s="1124"/>
      <c r="BB103" s="1127"/>
    </row>
    <row r="104" spans="1:54" ht="15" hidden="1" customHeight="1" x14ac:dyDescent="0.2">
      <c r="A104" s="1105" t="s">
        <v>77</v>
      </c>
      <c r="B104" s="1106"/>
      <c r="C104" s="1106"/>
      <c r="D104" s="1106"/>
      <c r="E104" s="1106"/>
      <c r="F104" s="1106"/>
      <c r="G104" s="1106"/>
      <c r="H104" s="1106"/>
      <c r="I104" s="1106"/>
      <c r="J104" s="1106"/>
      <c r="K104" s="1106"/>
      <c r="L104" s="1106"/>
      <c r="M104" s="1106"/>
      <c r="N104" s="1106"/>
      <c r="O104" s="1106"/>
      <c r="P104" s="1106"/>
      <c r="Q104" s="1106"/>
      <c r="R104" s="1106"/>
      <c r="S104" s="1106"/>
      <c r="T104" s="1106"/>
      <c r="U104" s="1106"/>
      <c r="V104" s="1106"/>
      <c r="W104" s="1106"/>
      <c r="X104" s="1106"/>
      <c r="Y104" s="1106"/>
      <c r="Z104" s="1107"/>
      <c r="AA104" s="1108"/>
      <c r="AB104" s="1109"/>
      <c r="AC104" s="1109"/>
      <c r="AD104" s="1109"/>
      <c r="AE104" s="1109"/>
      <c r="AF104" s="1110"/>
      <c r="AG104" s="1111">
        <f>U12</f>
        <v>1</v>
      </c>
      <c r="AH104" s="1112"/>
      <c r="AI104" s="1112"/>
      <c r="AJ104" s="1112"/>
      <c r="AK104" s="1112"/>
      <c r="AL104" s="1113"/>
      <c r="AM104" s="1111" t="s">
        <v>58</v>
      </c>
      <c r="AN104" s="1112"/>
      <c r="AO104" s="1112"/>
      <c r="AP104" s="1112"/>
      <c r="AQ104" s="1112"/>
      <c r="AR104" s="1112"/>
      <c r="AS104" s="1112"/>
      <c r="AT104" s="1113"/>
      <c r="AU104" s="1117">
        <f>AA104/AG104</f>
        <v>0</v>
      </c>
      <c r="AV104" s="1118"/>
      <c r="AW104" s="1118"/>
      <c r="AX104" s="1118"/>
      <c r="AY104" s="1118"/>
      <c r="AZ104" s="1118"/>
      <c r="BA104" s="1118"/>
      <c r="BB104" s="1119"/>
    </row>
    <row r="105" spans="1:54" ht="15" hidden="1" customHeight="1" x14ac:dyDescent="0.2">
      <c r="A105" s="1120" t="s">
        <v>76</v>
      </c>
      <c r="B105" s="1121"/>
      <c r="C105" s="1121"/>
      <c r="D105" s="1121"/>
      <c r="E105" s="1121"/>
      <c r="F105" s="1121"/>
      <c r="G105" s="1121"/>
      <c r="H105" s="1121"/>
      <c r="I105" s="1121"/>
      <c r="J105" s="1121"/>
      <c r="K105" s="1121"/>
      <c r="L105" s="1121"/>
      <c r="M105" s="1121"/>
      <c r="N105" s="1121"/>
      <c r="O105" s="1121"/>
      <c r="P105" s="1121"/>
      <c r="Q105" s="1121"/>
      <c r="R105" s="1121"/>
      <c r="S105" s="1121"/>
      <c r="T105" s="1121"/>
      <c r="U105" s="1121"/>
      <c r="V105" s="1121"/>
      <c r="W105" s="1121"/>
      <c r="X105" s="1121"/>
      <c r="Y105" s="1121"/>
      <c r="Z105" s="1122"/>
      <c r="AA105" s="1093"/>
      <c r="AB105" s="1094"/>
      <c r="AC105" s="1094"/>
      <c r="AD105" s="1094"/>
      <c r="AE105" s="1094"/>
      <c r="AF105" s="1095"/>
      <c r="AG105" s="1114"/>
      <c r="AH105" s="1115"/>
      <c r="AI105" s="1115"/>
      <c r="AJ105" s="1115"/>
      <c r="AK105" s="1115"/>
      <c r="AL105" s="1116"/>
      <c r="AM105" s="1114"/>
      <c r="AN105" s="1115"/>
      <c r="AO105" s="1115"/>
      <c r="AP105" s="1115"/>
      <c r="AQ105" s="1115"/>
      <c r="AR105" s="1115"/>
      <c r="AS105" s="1115"/>
      <c r="AT105" s="1116"/>
      <c r="AU105" s="1096">
        <f>AA105/AG104</f>
        <v>0</v>
      </c>
      <c r="AV105" s="1097"/>
      <c r="AW105" s="1097"/>
      <c r="AX105" s="1097"/>
      <c r="AY105" s="1097"/>
      <c r="AZ105" s="1097"/>
      <c r="BA105" s="1097"/>
      <c r="BB105" s="1098"/>
    </row>
    <row r="106" spans="1:54" ht="12" hidden="1" x14ac:dyDescent="0.2">
      <c r="A106" s="1120" t="s">
        <v>118</v>
      </c>
      <c r="B106" s="1121"/>
      <c r="C106" s="1121"/>
      <c r="D106" s="1121"/>
      <c r="E106" s="1121"/>
      <c r="F106" s="1121"/>
      <c r="G106" s="1121"/>
      <c r="H106" s="1121"/>
      <c r="I106" s="1121"/>
      <c r="J106" s="1121"/>
      <c r="K106" s="1121"/>
      <c r="L106" s="1121"/>
      <c r="M106" s="1121"/>
      <c r="N106" s="1121"/>
      <c r="O106" s="1121"/>
      <c r="P106" s="1121"/>
      <c r="Q106" s="1121"/>
      <c r="R106" s="1121"/>
      <c r="S106" s="1121"/>
      <c r="T106" s="1121"/>
      <c r="U106" s="1121"/>
      <c r="V106" s="1121"/>
      <c r="W106" s="1121"/>
      <c r="X106" s="1121"/>
      <c r="Y106" s="1121"/>
      <c r="Z106" s="1122"/>
      <c r="AA106" s="1093"/>
      <c r="AB106" s="1094"/>
      <c r="AC106" s="1094"/>
      <c r="AD106" s="1094"/>
      <c r="AE106" s="1094"/>
      <c r="AF106" s="1095"/>
      <c r="AG106" s="1114"/>
      <c r="AH106" s="1115"/>
      <c r="AI106" s="1115"/>
      <c r="AJ106" s="1115"/>
      <c r="AK106" s="1115"/>
      <c r="AL106" s="1116"/>
      <c r="AM106" s="1114"/>
      <c r="AN106" s="1115"/>
      <c r="AO106" s="1115"/>
      <c r="AP106" s="1115"/>
      <c r="AQ106" s="1115"/>
      <c r="AR106" s="1115"/>
      <c r="AS106" s="1115"/>
      <c r="AT106" s="1116"/>
      <c r="AU106" s="1096">
        <f>AA106/AG104</f>
        <v>0</v>
      </c>
      <c r="AV106" s="1097"/>
      <c r="AW106" s="1097"/>
      <c r="AX106" s="1097"/>
      <c r="AY106" s="1097"/>
      <c r="AZ106" s="1097"/>
      <c r="BA106" s="1097"/>
      <c r="BB106" s="1098"/>
    </row>
    <row r="107" spans="1:54" ht="15.75" hidden="1" customHeight="1" x14ac:dyDescent="0.2">
      <c r="A107" s="1090" t="s">
        <v>119</v>
      </c>
      <c r="B107" s="1091"/>
      <c r="C107" s="1091"/>
      <c r="D107" s="1091"/>
      <c r="E107" s="1091"/>
      <c r="F107" s="1091"/>
      <c r="G107" s="1091"/>
      <c r="H107" s="1091"/>
      <c r="I107" s="1091"/>
      <c r="J107" s="1091"/>
      <c r="K107" s="1091"/>
      <c r="L107" s="1091"/>
      <c r="M107" s="1091"/>
      <c r="N107" s="1091"/>
      <c r="O107" s="1091"/>
      <c r="P107" s="1091"/>
      <c r="Q107" s="1091"/>
      <c r="R107" s="1091"/>
      <c r="S107" s="1091"/>
      <c r="T107" s="1091"/>
      <c r="U107" s="1091"/>
      <c r="V107" s="1091"/>
      <c r="W107" s="1091"/>
      <c r="X107" s="1091"/>
      <c r="Y107" s="1091"/>
      <c r="Z107" s="1092"/>
      <c r="AA107" s="1093"/>
      <c r="AB107" s="1094"/>
      <c r="AC107" s="1094"/>
      <c r="AD107" s="1094"/>
      <c r="AE107" s="1094"/>
      <c r="AF107" s="1095"/>
      <c r="AG107" s="1114"/>
      <c r="AH107" s="1115"/>
      <c r="AI107" s="1115"/>
      <c r="AJ107" s="1115"/>
      <c r="AK107" s="1115"/>
      <c r="AL107" s="1116"/>
      <c r="AM107" s="1114"/>
      <c r="AN107" s="1115"/>
      <c r="AO107" s="1115"/>
      <c r="AP107" s="1115"/>
      <c r="AQ107" s="1115"/>
      <c r="AR107" s="1115"/>
      <c r="AS107" s="1115"/>
      <c r="AT107" s="1116"/>
      <c r="AU107" s="1096">
        <f>AA107/AG104</f>
        <v>0</v>
      </c>
      <c r="AV107" s="1097"/>
      <c r="AW107" s="1097"/>
      <c r="AX107" s="1097"/>
      <c r="AY107" s="1097"/>
      <c r="AZ107" s="1097"/>
      <c r="BA107" s="1097"/>
      <c r="BB107" s="1098"/>
    </row>
    <row r="108" spans="1:54" ht="15" hidden="1" customHeight="1" x14ac:dyDescent="0.2">
      <c r="A108" s="1090" t="s">
        <v>120</v>
      </c>
      <c r="B108" s="1091"/>
      <c r="C108" s="1091"/>
      <c r="D108" s="1091"/>
      <c r="E108" s="1091"/>
      <c r="F108" s="1091"/>
      <c r="G108" s="1091"/>
      <c r="H108" s="1091"/>
      <c r="I108" s="1091"/>
      <c r="J108" s="1091"/>
      <c r="K108" s="1091"/>
      <c r="L108" s="1091"/>
      <c r="M108" s="1091"/>
      <c r="N108" s="1091"/>
      <c r="O108" s="1091"/>
      <c r="P108" s="1091"/>
      <c r="Q108" s="1091"/>
      <c r="R108" s="1091"/>
      <c r="S108" s="1091"/>
      <c r="T108" s="1091"/>
      <c r="U108" s="1091"/>
      <c r="V108" s="1091"/>
      <c r="W108" s="1091"/>
      <c r="X108" s="1091"/>
      <c r="Y108" s="1091"/>
      <c r="Z108" s="1092"/>
      <c r="AA108" s="1093"/>
      <c r="AB108" s="1094"/>
      <c r="AC108" s="1094"/>
      <c r="AD108" s="1094"/>
      <c r="AE108" s="1094"/>
      <c r="AF108" s="1095"/>
      <c r="AG108" s="1114"/>
      <c r="AH108" s="1115"/>
      <c r="AI108" s="1115"/>
      <c r="AJ108" s="1115"/>
      <c r="AK108" s="1115"/>
      <c r="AL108" s="1116"/>
      <c r="AM108" s="1114"/>
      <c r="AN108" s="1115"/>
      <c r="AO108" s="1115"/>
      <c r="AP108" s="1115"/>
      <c r="AQ108" s="1115"/>
      <c r="AR108" s="1115"/>
      <c r="AS108" s="1115"/>
      <c r="AT108" s="1116"/>
      <c r="AU108" s="1096">
        <f>AA108/AG104</f>
        <v>0</v>
      </c>
      <c r="AV108" s="1097"/>
      <c r="AW108" s="1097"/>
      <c r="AX108" s="1097"/>
      <c r="AY108" s="1097"/>
      <c r="AZ108" s="1097"/>
      <c r="BA108" s="1097"/>
      <c r="BB108" s="1098"/>
    </row>
    <row r="109" spans="1:54" ht="15" hidden="1" customHeight="1" x14ac:dyDescent="0.2">
      <c r="A109" s="1090" t="s">
        <v>121</v>
      </c>
      <c r="B109" s="1091"/>
      <c r="C109" s="1091"/>
      <c r="D109" s="1091"/>
      <c r="E109" s="1091"/>
      <c r="F109" s="1091"/>
      <c r="G109" s="1091"/>
      <c r="H109" s="1091"/>
      <c r="I109" s="1091"/>
      <c r="J109" s="1091"/>
      <c r="K109" s="1091"/>
      <c r="L109" s="1091"/>
      <c r="M109" s="1091"/>
      <c r="N109" s="1091"/>
      <c r="O109" s="1091"/>
      <c r="P109" s="1091"/>
      <c r="Q109" s="1091"/>
      <c r="R109" s="1091"/>
      <c r="S109" s="1091"/>
      <c r="T109" s="1091"/>
      <c r="U109" s="1091"/>
      <c r="V109" s="1091"/>
      <c r="W109" s="1091"/>
      <c r="X109" s="1091"/>
      <c r="Y109" s="1091"/>
      <c r="Z109" s="1092"/>
      <c r="AA109" s="1093"/>
      <c r="AB109" s="1094"/>
      <c r="AC109" s="1094"/>
      <c r="AD109" s="1094"/>
      <c r="AE109" s="1094"/>
      <c r="AF109" s="1095"/>
      <c r="AG109" s="1114"/>
      <c r="AH109" s="1115"/>
      <c r="AI109" s="1115"/>
      <c r="AJ109" s="1115"/>
      <c r="AK109" s="1115"/>
      <c r="AL109" s="1116"/>
      <c r="AM109" s="1114"/>
      <c r="AN109" s="1115"/>
      <c r="AO109" s="1115"/>
      <c r="AP109" s="1115"/>
      <c r="AQ109" s="1115"/>
      <c r="AR109" s="1115"/>
      <c r="AS109" s="1115"/>
      <c r="AT109" s="1116"/>
      <c r="AU109" s="1096">
        <f>AA109/AG104</f>
        <v>0</v>
      </c>
      <c r="AV109" s="1097"/>
      <c r="AW109" s="1097"/>
      <c r="AX109" s="1097"/>
      <c r="AY109" s="1097"/>
      <c r="AZ109" s="1097"/>
      <c r="BA109" s="1097"/>
      <c r="BB109" s="1098"/>
    </row>
    <row r="110" spans="1:54" ht="1.5" customHeight="1" x14ac:dyDescent="0.2">
      <c r="A110" s="1588"/>
      <c r="B110" s="1091"/>
      <c r="C110" s="1091"/>
      <c r="D110" s="1091"/>
      <c r="E110" s="1091"/>
      <c r="F110" s="1091"/>
      <c r="G110" s="1091"/>
      <c r="H110" s="1091"/>
      <c r="I110" s="1091"/>
      <c r="J110" s="1091"/>
      <c r="K110" s="1091"/>
      <c r="L110" s="1091"/>
      <c r="M110" s="1091"/>
      <c r="N110" s="1091"/>
      <c r="O110" s="1091"/>
      <c r="P110" s="1091"/>
      <c r="Q110" s="1091"/>
      <c r="R110" s="1091"/>
      <c r="S110" s="1091"/>
      <c r="T110" s="1091"/>
      <c r="U110" s="1091"/>
      <c r="V110" s="1091"/>
      <c r="W110" s="1091"/>
      <c r="X110" s="1091"/>
      <c r="Y110" s="1091"/>
      <c r="Z110" s="1092"/>
      <c r="AA110" s="1093"/>
      <c r="AB110" s="1094"/>
      <c r="AC110" s="1094"/>
      <c r="AD110" s="1094"/>
      <c r="AE110" s="1094"/>
      <c r="AF110" s="1095"/>
      <c r="AG110" s="1114"/>
      <c r="AH110" s="1115"/>
      <c r="AI110" s="1115"/>
      <c r="AJ110" s="1115"/>
      <c r="AK110" s="1115"/>
      <c r="AL110" s="1116"/>
      <c r="AM110" s="1114"/>
      <c r="AN110" s="1115"/>
      <c r="AO110" s="1115"/>
      <c r="AP110" s="1115"/>
      <c r="AQ110" s="1115"/>
      <c r="AR110" s="1115"/>
      <c r="AS110" s="1115"/>
      <c r="AT110" s="1116"/>
      <c r="AU110" s="1096">
        <f>AA110/AG104</f>
        <v>0</v>
      </c>
      <c r="AV110" s="1097"/>
      <c r="AW110" s="1097"/>
      <c r="AX110" s="1097"/>
      <c r="AY110" s="1097"/>
      <c r="AZ110" s="1097"/>
      <c r="BA110" s="1097"/>
      <c r="BB110" s="1589"/>
    </row>
    <row r="111" spans="1:54" ht="15.75" customHeight="1" x14ac:dyDescent="0.2">
      <c r="A111" s="1588" t="s">
        <v>90</v>
      </c>
      <c r="B111" s="1091"/>
      <c r="C111" s="1091"/>
      <c r="D111" s="1091"/>
      <c r="E111" s="1091"/>
      <c r="F111" s="1091"/>
      <c r="G111" s="1091"/>
      <c r="H111" s="1091"/>
      <c r="I111" s="1091"/>
      <c r="J111" s="1091"/>
      <c r="K111" s="1091"/>
      <c r="L111" s="1091"/>
      <c r="M111" s="1091"/>
      <c r="N111" s="1091"/>
      <c r="O111" s="1091"/>
      <c r="P111" s="1091"/>
      <c r="Q111" s="1091"/>
      <c r="R111" s="1091"/>
      <c r="S111" s="1091"/>
      <c r="T111" s="1091"/>
      <c r="U111" s="1091"/>
      <c r="V111" s="1091"/>
      <c r="W111" s="1091"/>
      <c r="X111" s="1091"/>
      <c r="Y111" s="1091"/>
      <c r="Z111" s="1092"/>
      <c r="AA111" s="1093">
        <v>10</v>
      </c>
      <c r="AB111" s="1094"/>
      <c r="AC111" s="1094"/>
      <c r="AD111" s="1094"/>
      <c r="AE111" s="1094"/>
      <c r="AF111" s="1095"/>
      <c r="AG111" s="1114"/>
      <c r="AH111" s="1115"/>
      <c r="AI111" s="1115"/>
      <c r="AJ111" s="1115"/>
      <c r="AK111" s="1115"/>
      <c r="AL111" s="1116"/>
      <c r="AM111" s="1114"/>
      <c r="AN111" s="1115"/>
      <c r="AO111" s="1115"/>
      <c r="AP111" s="1115"/>
      <c r="AQ111" s="1115"/>
      <c r="AR111" s="1115"/>
      <c r="AS111" s="1115"/>
      <c r="AT111" s="1116"/>
      <c r="AU111" s="1096">
        <f>AA111/AG104</f>
        <v>10</v>
      </c>
      <c r="AV111" s="1097"/>
      <c r="AW111" s="1097"/>
      <c r="AX111" s="1097"/>
      <c r="AY111" s="1097"/>
      <c r="AZ111" s="1097"/>
      <c r="BA111" s="1097"/>
      <c r="BB111" s="1589"/>
    </row>
    <row r="112" spans="1:54" ht="27" customHeight="1" x14ac:dyDescent="0.2">
      <c r="A112" s="1588" t="s">
        <v>215</v>
      </c>
      <c r="B112" s="1091"/>
      <c r="C112" s="1091"/>
      <c r="D112" s="1091"/>
      <c r="E112" s="1091"/>
      <c r="F112" s="1091"/>
      <c r="G112" s="1091"/>
      <c r="H112" s="1091"/>
      <c r="I112" s="1091"/>
      <c r="J112" s="1091"/>
      <c r="K112" s="1091"/>
      <c r="L112" s="1091"/>
      <c r="M112" s="1091"/>
      <c r="N112" s="1091"/>
      <c r="O112" s="1091"/>
      <c r="P112" s="1091"/>
      <c r="Q112" s="1091"/>
      <c r="R112" s="1091"/>
      <c r="S112" s="1091"/>
      <c r="T112" s="1091"/>
      <c r="U112" s="1091"/>
      <c r="V112" s="1091"/>
      <c r="W112" s="1091"/>
      <c r="X112" s="1091"/>
      <c r="Y112" s="1091"/>
      <c r="Z112" s="1092"/>
      <c r="AA112" s="1093">
        <v>18</v>
      </c>
      <c r="AB112" s="1094"/>
      <c r="AC112" s="1094"/>
      <c r="AD112" s="1094"/>
      <c r="AE112" s="1094"/>
      <c r="AF112" s="1095"/>
      <c r="AG112" s="1114"/>
      <c r="AH112" s="1115"/>
      <c r="AI112" s="1115"/>
      <c r="AJ112" s="1115"/>
      <c r="AK112" s="1115"/>
      <c r="AL112" s="1116"/>
      <c r="AM112" s="1114"/>
      <c r="AN112" s="1115"/>
      <c r="AO112" s="1115"/>
      <c r="AP112" s="1115"/>
      <c r="AQ112" s="1115"/>
      <c r="AR112" s="1115"/>
      <c r="AS112" s="1115"/>
      <c r="AT112" s="1116"/>
      <c r="AU112" s="1096">
        <f>AA112/AG104</f>
        <v>18</v>
      </c>
      <c r="AV112" s="1097"/>
      <c r="AW112" s="1097"/>
      <c r="AX112" s="1097"/>
      <c r="AY112" s="1097"/>
      <c r="AZ112" s="1097"/>
      <c r="BA112" s="1097"/>
      <c r="BB112" s="1589"/>
    </row>
    <row r="113" spans="1:54" ht="17.25" hidden="1" customHeight="1" x14ac:dyDescent="0.2">
      <c r="A113" s="1588"/>
      <c r="B113" s="1091"/>
      <c r="C113" s="1091"/>
      <c r="D113" s="1091"/>
      <c r="E113" s="1091"/>
      <c r="F113" s="1091"/>
      <c r="G113" s="1091"/>
      <c r="H113" s="1091"/>
      <c r="I113" s="1091"/>
      <c r="J113" s="1091"/>
      <c r="K113" s="1091"/>
      <c r="L113" s="1091"/>
      <c r="M113" s="1091"/>
      <c r="N113" s="1091"/>
      <c r="O113" s="1091"/>
      <c r="P113" s="1091"/>
      <c r="Q113" s="1091"/>
      <c r="R113" s="1091"/>
      <c r="S113" s="1091"/>
      <c r="T113" s="1091"/>
      <c r="U113" s="1091"/>
      <c r="V113" s="1091"/>
      <c r="W113" s="1091"/>
      <c r="X113" s="1091"/>
      <c r="Y113" s="1091"/>
      <c r="Z113" s="1092"/>
      <c r="AA113" s="1093"/>
      <c r="AB113" s="1094"/>
      <c r="AC113" s="1094"/>
      <c r="AD113" s="1094"/>
      <c r="AE113" s="1094"/>
      <c r="AF113" s="1095"/>
      <c r="AG113" s="1114"/>
      <c r="AH113" s="1115"/>
      <c r="AI113" s="1115"/>
      <c r="AJ113" s="1115"/>
      <c r="AK113" s="1115"/>
      <c r="AL113" s="1116"/>
      <c r="AM113" s="1114"/>
      <c r="AN113" s="1115"/>
      <c r="AO113" s="1115"/>
      <c r="AP113" s="1115"/>
      <c r="AQ113" s="1115"/>
      <c r="AR113" s="1115"/>
      <c r="AS113" s="1115"/>
      <c r="AT113" s="1116"/>
      <c r="AU113" s="1096">
        <f>AA113/AG104</f>
        <v>0</v>
      </c>
      <c r="AV113" s="1097"/>
      <c r="AW113" s="1097"/>
      <c r="AX113" s="1097"/>
      <c r="AY113" s="1097"/>
      <c r="AZ113" s="1097"/>
      <c r="BA113" s="1097"/>
      <c r="BB113" s="1589"/>
    </row>
    <row r="114" spans="1:54" ht="17.25" hidden="1" customHeight="1" thickBot="1" x14ac:dyDescent="0.25">
      <c r="A114" s="1588"/>
      <c r="B114" s="1091"/>
      <c r="C114" s="1091"/>
      <c r="D114" s="1091"/>
      <c r="E114" s="1091"/>
      <c r="F114" s="1091"/>
      <c r="G114" s="1091"/>
      <c r="H114" s="1091"/>
      <c r="I114" s="1091"/>
      <c r="J114" s="1091"/>
      <c r="K114" s="1091"/>
      <c r="L114" s="1091"/>
      <c r="M114" s="1091"/>
      <c r="N114" s="1091"/>
      <c r="O114" s="1091"/>
      <c r="P114" s="1091"/>
      <c r="Q114" s="1091"/>
      <c r="R114" s="1091"/>
      <c r="S114" s="1091"/>
      <c r="T114" s="1091"/>
      <c r="U114" s="1091"/>
      <c r="V114" s="1091"/>
      <c r="W114" s="1091"/>
      <c r="X114" s="1091"/>
      <c r="Y114" s="1091"/>
      <c r="Z114" s="1092"/>
      <c r="AA114" s="1093"/>
      <c r="AB114" s="1094"/>
      <c r="AC114" s="1094"/>
      <c r="AD114" s="1094"/>
      <c r="AE114" s="1094"/>
      <c r="AF114" s="1095"/>
      <c r="AG114" s="1114"/>
      <c r="AH114" s="1115"/>
      <c r="AI114" s="1115"/>
      <c r="AJ114" s="1115"/>
      <c r="AK114" s="1115"/>
      <c r="AL114" s="1116"/>
      <c r="AM114" s="1114"/>
      <c r="AN114" s="1115"/>
      <c r="AO114" s="1115"/>
      <c r="AP114" s="1115"/>
      <c r="AQ114" s="1115"/>
      <c r="AR114" s="1115"/>
      <c r="AS114" s="1115"/>
      <c r="AT114" s="1116"/>
      <c r="AU114" s="1096">
        <f>AA114/AG104</f>
        <v>0</v>
      </c>
      <c r="AV114" s="1097"/>
      <c r="AW114" s="1097"/>
      <c r="AX114" s="1097"/>
      <c r="AY114" s="1097"/>
      <c r="AZ114" s="1097"/>
      <c r="BA114" s="1097"/>
      <c r="BB114" s="1589"/>
    </row>
    <row r="115" spans="1:54" s="7" customFormat="1" ht="19.5" hidden="1" customHeight="1" thickBot="1" x14ac:dyDescent="0.25">
      <c r="A115" s="1588"/>
      <c r="B115" s="1091"/>
      <c r="C115" s="1091"/>
      <c r="D115" s="1091"/>
      <c r="E115" s="1091"/>
      <c r="F115" s="1091"/>
      <c r="G115" s="1091"/>
      <c r="H115" s="1091"/>
      <c r="I115" s="1091"/>
      <c r="J115" s="1091"/>
      <c r="K115" s="1091"/>
      <c r="L115" s="1091"/>
      <c r="M115" s="1091"/>
      <c r="N115" s="1091"/>
      <c r="O115" s="1091"/>
      <c r="P115" s="1091"/>
      <c r="Q115" s="1091"/>
      <c r="R115" s="1091"/>
      <c r="S115" s="1091"/>
      <c r="T115" s="1091"/>
      <c r="U115" s="1091"/>
      <c r="V115" s="1091"/>
      <c r="W115" s="1091"/>
      <c r="X115" s="1091"/>
      <c r="Y115" s="1091"/>
      <c r="Z115" s="1092"/>
      <c r="AA115" s="1093"/>
      <c r="AB115" s="1094"/>
      <c r="AC115" s="1094"/>
      <c r="AD115" s="1094"/>
      <c r="AE115" s="1094"/>
      <c r="AF115" s="1095"/>
      <c r="AG115" s="1114"/>
      <c r="AH115" s="1115"/>
      <c r="AI115" s="1115"/>
      <c r="AJ115" s="1115"/>
      <c r="AK115" s="1115"/>
      <c r="AL115" s="1116"/>
      <c r="AM115" s="1114"/>
      <c r="AN115" s="1115"/>
      <c r="AO115" s="1115"/>
      <c r="AP115" s="1115"/>
      <c r="AQ115" s="1115"/>
      <c r="AR115" s="1115"/>
      <c r="AS115" s="1115"/>
      <c r="AT115" s="1116"/>
      <c r="AU115" s="1096">
        <f>AA115/AG104</f>
        <v>0</v>
      </c>
      <c r="AV115" s="1097"/>
      <c r="AW115" s="1097"/>
      <c r="AX115" s="1097"/>
      <c r="AY115" s="1097"/>
      <c r="AZ115" s="1097"/>
      <c r="BA115" s="1097"/>
      <c r="BB115" s="1589"/>
    </row>
    <row r="116" spans="1:54" ht="1.5" hidden="1" customHeight="1" thickBot="1" x14ac:dyDescent="0.25">
      <c r="A116" s="1588"/>
      <c r="B116" s="1091"/>
      <c r="C116" s="1091"/>
      <c r="D116" s="1091"/>
      <c r="E116" s="1091"/>
      <c r="F116" s="1091"/>
      <c r="G116" s="1091"/>
      <c r="H116" s="1091"/>
      <c r="I116" s="1091"/>
      <c r="J116" s="1091"/>
      <c r="K116" s="1091"/>
      <c r="L116" s="1091"/>
      <c r="M116" s="1091"/>
      <c r="N116" s="1091"/>
      <c r="O116" s="1091"/>
      <c r="P116" s="1091"/>
      <c r="Q116" s="1091"/>
      <c r="R116" s="1091"/>
      <c r="S116" s="1091"/>
      <c r="T116" s="1091"/>
      <c r="U116" s="1091"/>
      <c r="V116" s="1091"/>
      <c r="W116" s="1091"/>
      <c r="X116" s="1091"/>
      <c r="Y116" s="1091"/>
      <c r="Z116" s="1092"/>
      <c r="AA116" s="1093"/>
      <c r="AB116" s="1094"/>
      <c r="AC116" s="1094"/>
      <c r="AD116" s="1094"/>
      <c r="AE116" s="1094"/>
      <c r="AF116" s="1095"/>
      <c r="AG116" s="1114"/>
      <c r="AH116" s="1115"/>
      <c r="AI116" s="1115"/>
      <c r="AJ116" s="1115"/>
      <c r="AK116" s="1115"/>
      <c r="AL116" s="1116"/>
      <c r="AM116" s="1114"/>
      <c r="AN116" s="1115"/>
      <c r="AO116" s="1115"/>
      <c r="AP116" s="1115"/>
      <c r="AQ116" s="1115"/>
      <c r="AR116" s="1115"/>
      <c r="AS116" s="1115"/>
      <c r="AT116" s="1116"/>
      <c r="AU116" s="1096">
        <f>AA116/AG104</f>
        <v>0</v>
      </c>
      <c r="AV116" s="1097"/>
      <c r="AW116" s="1097"/>
      <c r="AX116" s="1097"/>
      <c r="AY116" s="1097"/>
      <c r="AZ116" s="1097"/>
      <c r="BA116" s="1097"/>
      <c r="BB116" s="1589"/>
    </row>
    <row r="117" spans="1:54" s="5" customFormat="1" ht="17.25" hidden="1" customHeight="1" thickBot="1" x14ac:dyDescent="0.25">
      <c r="A117" s="1588"/>
      <c r="B117" s="1091"/>
      <c r="C117" s="1091"/>
      <c r="D117" s="1091"/>
      <c r="E117" s="1091"/>
      <c r="F117" s="1091"/>
      <c r="G117" s="1091"/>
      <c r="H117" s="1091"/>
      <c r="I117" s="1091"/>
      <c r="J117" s="1091"/>
      <c r="K117" s="1091"/>
      <c r="L117" s="1091"/>
      <c r="M117" s="1091"/>
      <c r="N117" s="1091"/>
      <c r="O117" s="1091"/>
      <c r="P117" s="1091"/>
      <c r="Q117" s="1091"/>
      <c r="R117" s="1091"/>
      <c r="S117" s="1091"/>
      <c r="T117" s="1091"/>
      <c r="U117" s="1091"/>
      <c r="V117" s="1091"/>
      <c r="W117" s="1091"/>
      <c r="X117" s="1091"/>
      <c r="Y117" s="1091"/>
      <c r="Z117" s="1092"/>
      <c r="AA117" s="1093"/>
      <c r="AB117" s="1094"/>
      <c r="AC117" s="1094"/>
      <c r="AD117" s="1094"/>
      <c r="AE117" s="1094"/>
      <c r="AF117" s="1095"/>
      <c r="AG117" s="1114"/>
      <c r="AH117" s="1115"/>
      <c r="AI117" s="1115"/>
      <c r="AJ117" s="1115"/>
      <c r="AK117" s="1115"/>
      <c r="AL117" s="1116"/>
      <c r="AM117" s="1114"/>
      <c r="AN117" s="1115"/>
      <c r="AO117" s="1115"/>
      <c r="AP117" s="1115"/>
      <c r="AQ117" s="1115"/>
      <c r="AR117" s="1115"/>
      <c r="AS117" s="1115"/>
      <c r="AT117" s="1116"/>
      <c r="AU117" s="1096">
        <f>AA117/AG104</f>
        <v>0</v>
      </c>
      <c r="AV117" s="1097"/>
      <c r="AW117" s="1097"/>
      <c r="AX117" s="1097"/>
      <c r="AY117" s="1097"/>
      <c r="AZ117" s="1097"/>
      <c r="BA117" s="1097"/>
      <c r="BB117" s="1589"/>
    </row>
    <row r="118" spans="1:54" ht="20.25" hidden="1" customHeight="1" thickBot="1" x14ac:dyDescent="0.25">
      <c r="A118" s="1588"/>
      <c r="B118" s="1091"/>
      <c r="C118" s="1091"/>
      <c r="D118" s="1091"/>
      <c r="E118" s="1091"/>
      <c r="F118" s="1091"/>
      <c r="G118" s="1091"/>
      <c r="H118" s="1091"/>
      <c r="I118" s="1091"/>
      <c r="J118" s="1091"/>
      <c r="K118" s="1091"/>
      <c r="L118" s="1091"/>
      <c r="M118" s="1091"/>
      <c r="N118" s="1091"/>
      <c r="O118" s="1091"/>
      <c r="P118" s="1091"/>
      <c r="Q118" s="1091"/>
      <c r="R118" s="1091"/>
      <c r="S118" s="1091"/>
      <c r="T118" s="1091"/>
      <c r="U118" s="1091"/>
      <c r="V118" s="1091"/>
      <c r="W118" s="1091"/>
      <c r="X118" s="1091"/>
      <c r="Y118" s="1091"/>
      <c r="Z118" s="1092"/>
      <c r="AA118" s="1093"/>
      <c r="AB118" s="1094"/>
      <c r="AC118" s="1094"/>
      <c r="AD118" s="1094"/>
      <c r="AE118" s="1094"/>
      <c r="AF118" s="1095"/>
      <c r="AG118" s="1114"/>
      <c r="AH118" s="1115"/>
      <c r="AI118" s="1115"/>
      <c r="AJ118" s="1115"/>
      <c r="AK118" s="1115"/>
      <c r="AL118" s="1116"/>
      <c r="AM118" s="1114"/>
      <c r="AN118" s="1115"/>
      <c r="AO118" s="1115"/>
      <c r="AP118" s="1115"/>
      <c r="AQ118" s="1115"/>
      <c r="AR118" s="1115"/>
      <c r="AS118" s="1115"/>
      <c r="AT118" s="1116"/>
      <c r="AU118" s="1096">
        <f>AA118/AG104</f>
        <v>0</v>
      </c>
      <c r="AV118" s="1097"/>
      <c r="AW118" s="1097"/>
      <c r="AX118" s="1097"/>
      <c r="AY118" s="1097"/>
      <c r="AZ118" s="1097"/>
      <c r="BA118" s="1097"/>
      <c r="BB118" s="1589"/>
    </row>
    <row r="119" spans="1:54" ht="3.75" hidden="1" customHeight="1" thickBot="1" x14ac:dyDescent="0.25">
      <c r="A119" s="1588"/>
      <c r="B119" s="1091"/>
      <c r="C119" s="1091"/>
      <c r="D119" s="1091"/>
      <c r="E119" s="1091"/>
      <c r="F119" s="1091"/>
      <c r="G119" s="1091"/>
      <c r="H119" s="1091"/>
      <c r="I119" s="1091"/>
      <c r="J119" s="1091"/>
      <c r="K119" s="1091"/>
      <c r="L119" s="1091"/>
      <c r="M119" s="1091"/>
      <c r="N119" s="1091"/>
      <c r="O119" s="1091"/>
      <c r="P119" s="1091"/>
      <c r="Q119" s="1091"/>
      <c r="R119" s="1091"/>
      <c r="S119" s="1091"/>
      <c r="T119" s="1091"/>
      <c r="U119" s="1091"/>
      <c r="V119" s="1091"/>
      <c r="W119" s="1091"/>
      <c r="X119" s="1091"/>
      <c r="Y119" s="1091"/>
      <c r="Z119" s="1092"/>
      <c r="AA119" s="1093"/>
      <c r="AB119" s="1094"/>
      <c r="AC119" s="1094"/>
      <c r="AD119" s="1094"/>
      <c r="AE119" s="1094"/>
      <c r="AF119" s="1095"/>
      <c r="AG119" s="1114"/>
      <c r="AH119" s="1115"/>
      <c r="AI119" s="1115"/>
      <c r="AJ119" s="1115"/>
      <c r="AK119" s="1115"/>
      <c r="AL119" s="1116"/>
      <c r="AM119" s="1114"/>
      <c r="AN119" s="1115"/>
      <c r="AO119" s="1115"/>
      <c r="AP119" s="1115"/>
      <c r="AQ119" s="1115"/>
      <c r="AR119" s="1115"/>
      <c r="AS119" s="1115"/>
      <c r="AT119" s="1116"/>
      <c r="AU119" s="1096">
        <f>AA119/AG104</f>
        <v>0</v>
      </c>
      <c r="AV119" s="1097"/>
      <c r="AW119" s="1097"/>
      <c r="AX119" s="1097"/>
      <c r="AY119" s="1097"/>
      <c r="AZ119" s="1097"/>
      <c r="BA119" s="1097"/>
      <c r="BB119" s="1589"/>
    </row>
    <row r="120" spans="1:54" ht="18" hidden="1" customHeight="1" thickBot="1" x14ac:dyDescent="0.25">
      <c r="A120" s="1588"/>
      <c r="B120" s="1091"/>
      <c r="C120" s="1091"/>
      <c r="D120" s="1091"/>
      <c r="E120" s="1091"/>
      <c r="F120" s="1091"/>
      <c r="G120" s="1091"/>
      <c r="H120" s="1091"/>
      <c r="I120" s="1091"/>
      <c r="J120" s="1091"/>
      <c r="K120" s="1091"/>
      <c r="L120" s="1091"/>
      <c r="M120" s="1091"/>
      <c r="N120" s="1091"/>
      <c r="O120" s="1091"/>
      <c r="P120" s="1091"/>
      <c r="Q120" s="1091"/>
      <c r="R120" s="1091"/>
      <c r="S120" s="1091"/>
      <c r="T120" s="1091"/>
      <c r="U120" s="1091"/>
      <c r="V120" s="1091"/>
      <c r="W120" s="1091"/>
      <c r="X120" s="1091"/>
      <c r="Y120" s="1091"/>
      <c r="Z120" s="1092"/>
      <c r="AA120" s="1093"/>
      <c r="AB120" s="1094"/>
      <c r="AC120" s="1094"/>
      <c r="AD120" s="1094"/>
      <c r="AE120" s="1094"/>
      <c r="AF120" s="1095"/>
      <c r="AG120" s="1114"/>
      <c r="AH120" s="1115"/>
      <c r="AI120" s="1115"/>
      <c r="AJ120" s="1115"/>
      <c r="AK120" s="1115"/>
      <c r="AL120" s="1116"/>
      <c r="AM120" s="1114"/>
      <c r="AN120" s="1115"/>
      <c r="AO120" s="1115"/>
      <c r="AP120" s="1115"/>
      <c r="AQ120" s="1115"/>
      <c r="AR120" s="1115"/>
      <c r="AS120" s="1115"/>
      <c r="AT120" s="1116"/>
      <c r="AU120" s="1096">
        <f>AA120/AG104</f>
        <v>0</v>
      </c>
      <c r="AV120" s="1097"/>
      <c r="AW120" s="1097"/>
      <c r="AX120" s="1097"/>
      <c r="AY120" s="1097"/>
      <c r="AZ120" s="1097"/>
      <c r="BA120" s="1097"/>
      <c r="BB120" s="1589"/>
    </row>
    <row r="121" spans="1:54" ht="12.75" hidden="1" customHeight="1" thickBot="1" x14ac:dyDescent="0.25">
      <c r="A121" s="1588"/>
      <c r="B121" s="1091"/>
      <c r="C121" s="1091"/>
      <c r="D121" s="1091"/>
      <c r="E121" s="1091"/>
      <c r="F121" s="1091"/>
      <c r="G121" s="1091"/>
      <c r="H121" s="1091"/>
      <c r="I121" s="1091"/>
      <c r="J121" s="1091"/>
      <c r="K121" s="1091"/>
      <c r="L121" s="1091"/>
      <c r="M121" s="1091"/>
      <c r="N121" s="1091"/>
      <c r="O121" s="1091"/>
      <c r="P121" s="1091"/>
      <c r="Q121" s="1091"/>
      <c r="R121" s="1091"/>
      <c r="S121" s="1091"/>
      <c r="T121" s="1091"/>
      <c r="U121" s="1091"/>
      <c r="V121" s="1091"/>
      <c r="W121" s="1091"/>
      <c r="X121" s="1091"/>
      <c r="Y121" s="1091"/>
      <c r="Z121" s="1092"/>
      <c r="AA121" s="1093"/>
      <c r="AB121" s="1094"/>
      <c r="AC121" s="1094"/>
      <c r="AD121" s="1094"/>
      <c r="AE121" s="1094"/>
      <c r="AF121" s="1095"/>
      <c r="AG121" s="1114"/>
      <c r="AH121" s="1115"/>
      <c r="AI121" s="1115"/>
      <c r="AJ121" s="1115"/>
      <c r="AK121" s="1115"/>
      <c r="AL121" s="1116"/>
      <c r="AM121" s="1114"/>
      <c r="AN121" s="1115"/>
      <c r="AO121" s="1115"/>
      <c r="AP121" s="1115"/>
      <c r="AQ121" s="1115"/>
      <c r="AR121" s="1115"/>
      <c r="AS121" s="1115"/>
      <c r="AT121" s="1116"/>
      <c r="AU121" s="1096">
        <f>AA121/AG104</f>
        <v>0</v>
      </c>
      <c r="AV121" s="1097"/>
      <c r="AW121" s="1097"/>
      <c r="AX121" s="1097"/>
      <c r="AY121" s="1097"/>
      <c r="AZ121" s="1097"/>
      <c r="BA121" s="1097"/>
      <c r="BB121" s="1589"/>
    </row>
    <row r="122" spans="1:54" ht="12.75" hidden="1" customHeight="1" thickBot="1" x14ac:dyDescent="0.25">
      <c r="A122" s="1588"/>
      <c r="B122" s="1091"/>
      <c r="C122" s="1091"/>
      <c r="D122" s="1091"/>
      <c r="E122" s="1091"/>
      <c r="F122" s="1091"/>
      <c r="G122" s="1091"/>
      <c r="H122" s="1091"/>
      <c r="I122" s="1091"/>
      <c r="J122" s="1091"/>
      <c r="K122" s="1091"/>
      <c r="L122" s="1091"/>
      <c r="M122" s="1091"/>
      <c r="N122" s="1091"/>
      <c r="O122" s="1091"/>
      <c r="P122" s="1091"/>
      <c r="Q122" s="1091"/>
      <c r="R122" s="1091"/>
      <c r="S122" s="1091"/>
      <c r="T122" s="1091"/>
      <c r="U122" s="1091"/>
      <c r="V122" s="1091"/>
      <c r="W122" s="1091"/>
      <c r="X122" s="1091"/>
      <c r="Y122" s="1091"/>
      <c r="Z122" s="1092"/>
      <c r="AA122" s="1093"/>
      <c r="AB122" s="1094"/>
      <c r="AC122" s="1094"/>
      <c r="AD122" s="1094"/>
      <c r="AE122" s="1094"/>
      <c r="AF122" s="1095"/>
      <c r="AG122" s="1114"/>
      <c r="AH122" s="1115"/>
      <c r="AI122" s="1115"/>
      <c r="AJ122" s="1115"/>
      <c r="AK122" s="1115"/>
      <c r="AL122" s="1116"/>
      <c r="AM122" s="1114"/>
      <c r="AN122" s="1115"/>
      <c r="AO122" s="1115"/>
      <c r="AP122" s="1115"/>
      <c r="AQ122" s="1115"/>
      <c r="AR122" s="1115"/>
      <c r="AS122" s="1115"/>
      <c r="AT122" s="1116"/>
      <c r="AU122" s="1096">
        <f>AA122/AG104</f>
        <v>0</v>
      </c>
      <c r="AV122" s="1097"/>
      <c r="AW122" s="1097"/>
      <c r="AX122" s="1097"/>
      <c r="AY122" s="1097"/>
      <c r="AZ122" s="1097"/>
      <c r="BA122" s="1097"/>
      <c r="BB122" s="1589"/>
    </row>
    <row r="123" spans="1:54" ht="16.5" customHeight="1" x14ac:dyDescent="0.2">
      <c r="A123" s="1081" t="s">
        <v>105</v>
      </c>
      <c r="B123" s="1081"/>
      <c r="C123" s="1081"/>
      <c r="D123" s="1081"/>
      <c r="E123" s="1081"/>
      <c r="F123" s="1081"/>
      <c r="G123" s="1081"/>
      <c r="H123" s="1081"/>
      <c r="I123" s="1081"/>
      <c r="J123" s="1081"/>
      <c r="K123" s="1081"/>
      <c r="L123" s="1081"/>
      <c r="M123" s="1081"/>
      <c r="N123" s="1081"/>
      <c r="O123" s="1081"/>
      <c r="P123" s="1081"/>
      <c r="Q123" s="1081"/>
      <c r="R123" s="1081"/>
      <c r="S123" s="1081"/>
      <c r="T123" s="1081"/>
      <c r="U123" s="1081"/>
      <c r="V123" s="1081"/>
      <c r="W123" s="1081"/>
      <c r="X123" s="1081"/>
      <c r="Y123" s="1081"/>
      <c r="Z123" s="1081"/>
      <c r="AA123" s="1093">
        <v>7.84</v>
      </c>
      <c r="AB123" s="1094"/>
      <c r="AC123" s="1094"/>
      <c r="AD123" s="1094"/>
      <c r="AE123" s="1094"/>
      <c r="AF123" s="1095"/>
      <c r="AG123" s="1114"/>
      <c r="AH123" s="1115"/>
      <c r="AI123" s="1115"/>
      <c r="AJ123" s="1115"/>
      <c r="AK123" s="1115"/>
      <c r="AL123" s="1116"/>
      <c r="AM123" s="1114"/>
      <c r="AN123" s="1115"/>
      <c r="AO123" s="1115"/>
      <c r="AP123" s="1115"/>
      <c r="AQ123" s="1115"/>
      <c r="AR123" s="1115"/>
      <c r="AS123" s="1115"/>
      <c r="AT123" s="1116"/>
      <c r="AU123" s="1083">
        <f>AA123/AG104</f>
        <v>7.84</v>
      </c>
      <c r="AV123" s="1083"/>
      <c r="AW123" s="1083"/>
      <c r="AX123" s="1083"/>
      <c r="AY123" s="1083"/>
      <c r="AZ123" s="1083"/>
      <c r="BA123" s="1083"/>
      <c r="BB123" s="1083"/>
    </row>
    <row r="124" spans="1:54" ht="17.25" customHeight="1" thickBot="1" x14ac:dyDescent="0.25">
      <c r="A124" s="1086" t="s">
        <v>216</v>
      </c>
      <c r="B124" s="1086"/>
      <c r="C124" s="1086"/>
      <c r="D124" s="1086"/>
      <c r="E124" s="1086"/>
      <c r="F124" s="1086"/>
      <c r="G124" s="1086"/>
      <c r="H124" s="1086"/>
      <c r="I124" s="1086"/>
      <c r="J124" s="1086"/>
      <c r="K124" s="1086"/>
      <c r="L124" s="1086"/>
      <c r="M124" s="1086"/>
      <c r="N124" s="1086"/>
      <c r="O124" s="1086"/>
      <c r="P124" s="1086"/>
      <c r="Q124" s="1086"/>
      <c r="R124" s="1086"/>
      <c r="S124" s="1086"/>
      <c r="T124" s="1086"/>
      <c r="U124" s="1086"/>
      <c r="V124" s="1086"/>
      <c r="W124" s="1086"/>
      <c r="X124" s="1086"/>
      <c r="Y124" s="1086"/>
      <c r="Z124" s="1086"/>
      <c r="AA124" s="1498">
        <v>3</v>
      </c>
      <c r="AB124" s="1499"/>
      <c r="AC124" s="1499"/>
      <c r="AD124" s="1499"/>
      <c r="AE124" s="1499"/>
      <c r="AF124" s="1500"/>
      <c r="AG124" s="1114"/>
      <c r="AH124" s="1115"/>
      <c r="AI124" s="1115"/>
      <c r="AJ124" s="1115"/>
      <c r="AK124" s="1115"/>
      <c r="AL124" s="1116"/>
      <c r="AM124" s="1114"/>
      <c r="AN124" s="1115"/>
      <c r="AO124" s="1115"/>
      <c r="AP124" s="1115"/>
      <c r="AQ124" s="1115"/>
      <c r="AR124" s="1115"/>
      <c r="AS124" s="1115"/>
      <c r="AT124" s="1116"/>
      <c r="AU124" s="1088">
        <f>AA124/AG104</f>
        <v>3</v>
      </c>
      <c r="AV124" s="1088"/>
      <c r="AW124" s="1088"/>
      <c r="AX124" s="1088"/>
      <c r="AY124" s="1088"/>
      <c r="AZ124" s="1088"/>
      <c r="BA124" s="1088"/>
      <c r="BB124" s="1088"/>
    </row>
    <row r="125" spans="1:54" ht="16.5" customHeight="1" thickBot="1" x14ac:dyDescent="0.25">
      <c r="A125" s="1059" t="s">
        <v>51</v>
      </c>
      <c r="B125" s="1060"/>
      <c r="C125" s="1060"/>
      <c r="D125" s="1060"/>
      <c r="E125" s="1060"/>
      <c r="F125" s="1060"/>
      <c r="G125" s="1060"/>
      <c r="H125" s="1060"/>
      <c r="I125" s="1060"/>
      <c r="J125" s="1060"/>
      <c r="K125" s="1060"/>
      <c r="L125" s="1060"/>
      <c r="M125" s="1060"/>
      <c r="N125" s="1060"/>
      <c r="O125" s="1060"/>
      <c r="P125" s="1060"/>
      <c r="Q125" s="1060"/>
      <c r="R125" s="1060"/>
      <c r="S125" s="1060"/>
      <c r="T125" s="1060"/>
      <c r="U125" s="1060"/>
      <c r="V125" s="1060"/>
      <c r="W125" s="1060"/>
      <c r="X125" s="1060"/>
      <c r="Y125" s="1060"/>
      <c r="Z125" s="1061"/>
      <c r="AA125" s="1062">
        <f>SUM(AA104:AF124)</f>
        <v>38.840000000000003</v>
      </c>
      <c r="AB125" s="1063"/>
      <c r="AC125" s="1063"/>
      <c r="AD125" s="1063"/>
      <c r="AE125" s="1063"/>
      <c r="AF125" s="1063"/>
      <c r="AG125" s="1064">
        <f>AG104</f>
        <v>1</v>
      </c>
      <c r="AH125" s="1065"/>
      <c r="AI125" s="1065"/>
      <c r="AJ125" s="1065"/>
      <c r="AK125" s="1065"/>
      <c r="AL125" s="1066"/>
      <c r="AM125" s="1067" t="s">
        <v>17</v>
      </c>
      <c r="AN125" s="1068"/>
      <c r="AO125" s="1068"/>
      <c r="AP125" s="1068"/>
      <c r="AQ125" s="1068"/>
      <c r="AR125" s="1068"/>
      <c r="AS125" s="1068"/>
      <c r="AT125" s="1069"/>
      <c r="AU125" s="1070">
        <f>SUM(AU104:BB124)</f>
        <v>38.840000000000003</v>
      </c>
      <c r="AV125" s="1070"/>
      <c r="AW125" s="1070"/>
      <c r="AX125" s="1070"/>
      <c r="AY125" s="1070"/>
      <c r="AZ125" s="1070"/>
      <c r="BA125" s="1070"/>
      <c r="BB125" s="1071"/>
    </row>
    <row r="126" spans="1:54" ht="12.75" customHeight="1" x14ac:dyDescent="0.2"/>
    <row r="127" spans="1:54" s="7" customFormat="1" ht="15" customHeight="1" x14ac:dyDescent="0.2">
      <c r="A127" s="5" t="s">
        <v>59</v>
      </c>
      <c r="B127" s="5"/>
      <c r="C127" s="5" t="s">
        <v>60</v>
      </c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6"/>
      <c r="AY127" s="6"/>
      <c r="AZ127" s="6"/>
      <c r="BA127" s="6"/>
      <c r="BB127" s="6"/>
    </row>
    <row r="128" spans="1:54" ht="12" customHeight="1" thickBot="1" x14ac:dyDescent="0.25"/>
    <row r="129" spans="1:54" s="5" customFormat="1" ht="36.75" customHeight="1" x14ac:dyDescent="0.2">
      <c r="A129" s="1072" t="s">
        <v>54</v>
      </c>
      <c r="B129" s="1073"/>
      <c r="C129" s="1073"/>
      <c r="D129" s="1073"/>
      <c r="E129" s="1073"/>
      <c r="F129" s="1073"/>
      <c r="G129" s="1073"/>
      <c r="H129" s="1073"/>
      <c r="I129" s="1073"/>
      <c r="J129" s="1073"/>
      <c r="K129" s="1073"/>
      <c r="L129" s="1073"/>
      <c r="M129" s="1073"/>
      <c r="N129" s="1073"/>
      <c r="O129" s="1073"/>
      <c r="P129" s="1073"/>
      <c r="Q129" s="1073"/>
      <c r="R129" s="1073"/>
      <c r="S129" s="1073"/>
      <c r="T129" s="1073"/>
      <c r="U129" s="1073"/>
      <c r="V129" s="1073"/>
      <c r="W129" s="1073"/>
      <c r="X129" s="1073"/>
      <c r="Y129" s="1073"/>
      <c r="Z129" s="1074"/>
      <c r="AA129" s="1075" t="s">
        <v>55</v>
      </c>
      <c r="AB129" s="1076"/>
      <c r="AC129" s="1076"/>
      <c r="AD129" s="1076"/>
      <c r="AE129" s="1076"/>
      <c r="AF129" s="1077"/>
      <c r="AG129" s="1075" t="s">
        <v>56</v>
      </c>
      <c r="AH129" s="1076"/>
      <c r="AI129" s="1076"/>
      <c r="AJ129" s="1076"/>
      <c r="AK129" s="1076"/>
      <c r="AL129" s="1077"/>
      <c r="AM129" s="1078" t="s">
        <v>57</v>
      </c>
      <c r="AN129" s="1073"/>
      <c r="AO129" s="1073"/>
      <c r="AP129" s="1073"/>
      <c r="AQ129" s="1073"/>
      <c r="AR129" s="1073"/>
      <c r="AS129" s="1073"/>
      <c r="AT129" s="1074"/>
      <c r="AU129" s="1078" t="s">
        <v>43</v>
      </c>
      <c r="AV129" s="1073"/>
      <c r="AW129" s="1073"/>
      <c r="AX129" s="1073"/>
      <c r="AY129" s="1073"/>
      <c r="AZ129" s="1073"/>
      <c r="BA129" s="1073"/>
      <c r="BB129" s="1079"/>
    </row>
    <row r="130" spans="1:54" ht="12" customHeight="1" thickBot="1" x14ac:dyDescent="0.25">
      <c r="A130" s="1038">
        <v>1</v>
      </c>
      <c r="B130" s="1039"/>
      <c r="C130" s="1039"/>
      <c r="D130" s="1039"/>
      <c r="E130" s="1039"/>
      <c r="F130" s="1039"/>
      <c r="G130" s="1039"/>
      <c r="H130" s="1039"/>
      <c r="I130" s="1039"/>
      <c r="J130" s="1039"/>
      <c r="K130" s="1039"/>
      <c r="L130" s="1039"/>
      <c r="M130" s="1039"/>
      <c r="N130" s="1039"/>
      <c r="O130" s="1039"/>
      <c r="P130" s="1039"/>
      <c r="Q130" s="1039"/>
      <c r="R130" s="1039"/>
      <c r="S130" s="1039"/>
      <c r="T130" s="1039"/>
      <c r="U130" s="1039"/>
      <c r="V130" s="1039"/>
      <c r="W130" s="1039"/>
      <c r="X130" s="1039"/>
      <c r="Y130" s="1039"/>
      <c r="Z130" s="1040"/>
      <c r="AA130" s="1041">
        <v>2</v>
      </c>
      <c r="AB130" s="1039"/>
      <c r="AC130" s="1039"/>
      <c r="AD130" s="1039"/>
      <c r="AE130" s="1039"/>
      <c r="AF130" s="1040"/>
      <c r="AG130" s="1041">
        <v>3</v>
      </c>
      <c r="AH130" s="1039"/>
      <c r="AI130" s="1039"/>
      <c r="AJ130" s="1039"/>
      <c r="AK130" s="1039"/>
      <c r="AL130" s="1040"/>
      <c r="AM130" s="1041">
        <v>4</v>
      </c>
      <c r="AN130" s="1039"/>
      <c r="AO130" s="1039"/>
      <c r="AP130" s="1039"/>
      <c r="AQ130" s="1039"/>
      <c r="AR130" s="1039"/>
      <c r="AS130" s="1039"/>
      <c r="AT130" s="1040"/>
      <c r="AU130" s="1041">
        <v>5</v>
      </c>
      <c r="AV130" s="1039"/>
      <c r="AW130" s="1039"/>
      <c r="AX130" s="1039"/>
      <c r="AY130" s="1039"/>
      <c r="AZ130" s="1039"/>
      <c r="BA130" s="1039"/>
      <c r="BB130" s="1042"/>
    </row>
    <row r="131" spans="1:54" ht="31.5" hidden="1" customHeight="1" x14ac:dyDescent="0.2">
      <c r="A131" s="1043"/>
      <c r="B131" s="1044"/>
      <c r="C131" s="1044"/>
      <c r="D131" s="1044"/>
      <c r="E131" s="1044"/>
      <c r="F131" s="1044"/>
      <c r="G131" s="1044"/>
      <c r="H131" s="1044"/>
      <c r="I131" s="1044"/>
      <c r="J131" s="1044"/>
      <c r="K131" s="1044"/>
      <c r="L131" s="1044"/>
      <c r="M131" s="1044"/>
      <c r="N131" s="1044"/>
      <c r="O131" s="1044"/>
      <c r="P131" s="1044"/>
      <c r="Q131" s="1044"/>
      <c r="R131" s="1044"/>
      <c r="S131" s="1044"/>
      <c r="T131" s="1044"/>
      <c r="U131" s="1044"/>
      <c r="V131" s="1044"/>
      <c r="W131" s="1044"/>
      <c r="X131" s="1044"/>
      <c r="Y131" s="1044"/>
      <c r="Z131" s="1045"/>
      <c r="AA131" s="1046">
        <v>0</v>
      </c>
      <c r="AB131" s="1047"/>
      <c r="AC131" s="1047"/>
      <c r="AD131" s="1047"/>
      <c r="AE131" s="1047"/>
      <c r="AF131" s="1048"/>
      <c r="AG131" s="1046">
        <f>U12</f>
        <v>1</v>
      </c>
      <c r="AH131" s="1047"/>
      <c r="AI131" s="1047"/>
      <c r="AJ131" s="1047"/>
      <c r="AK131" s="1047"/>
      <c r="AL131" s="1048"/>
      <c r="AM131" s="1046" t="s">
        <v>61</v>
      </c>
      <c r="AN131" s="1047"/>
      <c r="AO131" s="1047"/>
      <c r="AP131" s="1047"/>
      <c r="AQ131" s="1047"/>
      <c r="AR131" s="1047"/>
      <c r="AS131" s="1047"/>
      <c r="AT131" s="1048"/>
      <c r="AU131" s="1030">
        <f>AA131/AG131</f>
        <v>0</v>
      </c>
      <c r="AV131" s="1031"/>
      <c r="AW131" s="1031"/>
      <c r="AX131" s="1031"/>
      <c r="AY131" s="1031"/>
      <c r="AZ131" s="1031"/>
      <c r="BA131" s="1031"/>
      <c r="BB131" s="1032"/>
    </row>
    <row r="132" spans="1:54" ht="12.75" hidden="1" customHeight="1" x14ac:dyDescent="0.2">
      <c r="A132" s="1034"/>
      <c r="B132" s="1035"/>
      <c r="C132" s="1035"/>
      <c r="D132" s="1035"/>
      <c r="E132" s="1035"/>
      <c r="F132" s="1035"/>
      <c r="G132" s="1035"/>
      <c r="H132" s="1035"/>
      <c r="I132" s="1035"/>
      <c r="J132" s="1035"/>
      <c r="K132" s="1035"/>
      <c r="L132" s="1035"/>
      <c r="M132" s="1035"/>
      <c r="N132" s="1035"/>
      <c r="O132" s="1035"/>
      <c r="P132" s="1035"/>
      <c r="Q132" s="1035"/>
      <c r="R132" s="1035"/>
      <c r="S132" s="1035"/>
      <c r="T132" s="1035"/>
      <c r="U132" s="1035"/>
      <c r="V132" s="1035"/>
      <c r="W132" s="1035"/>
      <c r="X132" s="1035"/>
      <c r="Y132" s="1035"/>
      <c r="Z132" s="1036"/>
      <c r="AA132" s="981"/>
      <c r="AB132" s="981"/>
      <c r="AC132" s="981"/>
      <c r="AD132" s="981"/>
      <c r="AE132" s="981"/>
      <c r="AF132" s="981"/>
      <c r="AG132" s="1049"/>
      <c r="AH132" s="1050"/>
      <c r="AI132" s="1050"/>
      <c r="AJ132" s="1050"/>
      <c r="AK132" s="1050"/>
      <c r="AL132" s="1051"/>
      <c r="AM132" s="1049"/>
      <c r="AN132" s="1050"/>
      <c r="AO132" s="1050"/>
      <c r="AP132" s="1050"/>
      <c r="AQ132" s="1050"/>
      <c r="AR132" s="1050"/>
      <c r="AS132" s="1050"/>
      <c r="AT132" s="1051"/>
      <c r="AU132" s="1030">
        <f>AA132/AG131</f>
        <v>0</v>
      </c>
      <c r="AV132" s="1031"/>
      <c r="AW132" s="1031"/>
      <c r="AX132" s="1031"/>
      <c r="AY132" s="1031"/>
      <c r="AZ132" s="1031"/>
      <c r="BA132" s="1031"/>
      <c r="BB132" s="1032"/>
    </row>
    <row r="133" spans="1:54" ht="21" customHeight="1" x14ac:dyDescent="0.2">
      <c r="A133" s="1026"/>
      <c r="B133" s="1027"/>
      <c r="C133" s="1027"/>
      <c r="D133" s="1027"/>
      <c r="E133" s="1027"/>
      <c r="F133" s="1027"/>
      <c r="G133" s="1027"/>
      <c r="H133" s="1027"/>
      <c r="I133" s="1027"/>
      <c r="J133" s="1027"/>
      <c r="K133" s="1027"/>
      <c r="L133" s="1027"/>
      <c r="M133" s="1027"/>
      <c r="N133" s="1027"/>
      <c r="O133" s="1027"/>
      <c r="P133" s="1027"/>
      <c r="Q133" s="1027"/>
      <c r="R133" s="1027"/>
      <c r="S133" s="1027"/>
      <c r="T133" s="1027"/>
      <c r="U133" s="1027"/>
      <c r="V133" s="1027"/>
      <c r="W133" s="1027"/>
      <c r="X133" s="1027"/>
      <c r="Y133" s="1027"/>
      <c r="Z133" s="1028"/>
      <c r="AA133" s="1037"/>
      <c r="AB133" s="1037"/>
      <c r="AC133" s="1037"/>
      <c r="AD133" s="1037"/>
      <c r="AE133" s="1037"/>
      <c r="AF133" s="1037"/>
      <c r="AG133" s="1049"/>
      <c r="AH133" s="1050"/>
      <c r="AI133" s="1050"/>
      <c r="AJ133" s="1050"/>
      <c r="AK133" s="1050"/>
      <c r="AL133" s="1051"/>
      <c r="AM133" s="1049"/>
      <c r="AN133" s="1050"/>
      <c r="AO133" s="1050"/>
      <c r="AP133" s="1050"/>
      <c r="AQ133" s="1050"/>
      <c r="AR133" s="1050"/>
      <c r="AS133" s="1050"/>
      <c r="AT133" s="1051"/>
      <c r="AU133" s="1030">
        <f>AA133/AG131</f>
        <v>0</v>
      </c>
      <c r="AV133" s="1031"/>
      <c r="AW133" s="1031"/>
      <c r="AX133" s="1031"/>
      <c r="AY133" s="1031"/>
      <c r="AZ133" s="1031"/>
      <c r="BA133" s="1031"/>
      <c r="BB133" s="1032"/>
    </row>
    <row r="134" spans="1:54" ht="21" customHeight="1" x14ac:dyDescent="0.2">
      <c r="A134" s="1026"/>
      <c r="B134" s="1027"/>
      <c r="C134" s="1027"/>
      <c r="D134" s="1027"/>
      <c r="E134" s="1027"/>
      <c r="F134" s="1027"/>
      <c r="G134" s="1027"/>
      <c r="H134" s="1027"/>
      <c r="I134" s="1027"/>
      <c r="J134" s="1027"/>
      <c r="K134" s="1027"/>
      <c r="L134" s="1027"/>
      <c r="M134" s="1027"/>
      <c r="N134" s="1027"/>
      <c r="O134" s="1027"/>
      <c r="P134" s="1027"/>
      <c r="Q134" s="1027"/>
      <c r="R134" s="1027"/>
      <c r="S134" s="1027"/>
      <c r="T134" s="1027"/>
      <c r="U134" s="1027"/>
      <c r="V134" s="1027"/>
      <c r="W134" s="1027"/>
      <c r="X134" s="1027"/>
      <c r="Y134" s="1027"/>
      <c r="Z134" s="1028"/>
      <c r="AA134" s="1029"/>
      <c r="AB134" s="1029"/>
      <c r="AC134" s="1029"/>
      <c r="AD134" s="1029"/>
      <c r="AE134" s="1029"/>
      <c r="AF134" s="1029"/>
      <c r="AG134" s="1049"/>
      <c r="AH134" s="1050"/>
      <c r="AI134" s="1050"/>
      <c r="AJ134" s="1050"/>
      <c r="AK134" s="1050"/>
      <c r="AL134" s="1051"/>
      <c r="AM134" s="1049"/>
      <c r="AN134" s="1050"/>
      <c r="AO134" s="1050"/>
      <c r="AP134" s="1050"/>
      <c r="AQ134" s="1050"/>
      <c r="AR134" s="1050"/>
      <c r="AS134" s="1050"/>
      <c r="AT134" s="1051"/>
      <c r="AU134" s="1030">
        <f>AA134/AG131</f>
        <v>0</v>
      </c>
      <c r="AV134" s="1031"/>
      <c r="AW134" s="1031"/>
      <c r="AX134" s="1031"/>
      <c r="AY134" s="1031"/>
      <c r="AZ134" s="1031"/>
      <c r="BA134" s="1031"/>
      <c r="BB134" s="1032"/>
    </row>
    <row r="135" spans="1:54" ht="6" hidden="1" customHeight="1" x14ac:dyDescent="0.2">
      <c r="A135" s="1026"/>
      <c r="B135" s="1027"/>
      <c r="C135" s="1027"/>
      <c r="D135" s="1027"/>
      <c r="E135" s="1027"/>
      <c r="F135" s="1027"/>
      <c r="G135" s="1027"/>
      <c r="H135" s="1027"/>
      <c r="I135" s="1027"/>
      <c r="J135" s="1027"/>
      <c r="K135" s="1027"/>
      <c r="L135" s="1027"/>
      <c r="M135" s="1027"/>
      <c r="N135" s="1027"/>
      <c r="O135" s="1027"/>
      <c r="P135" s="1027"/>
      <c r="Q135" s="1027"/>
      <c r="R135" s="1027"/>
      <c r="S135" s="1027"/>
      <c r="T135" s="1027"/>
      <c r="U135" s="1027"/>
      <c r="V135" s="1027"/>
      <c r="W135" s="1027"/>
      <c r="X135" s="1027"/>
      <c r="Y135" s="1027"/>
      <c r="Z135" s="1028"/>
      <c r="AA135" s="1033"/>
      <c r="AB135" s="1033"/>
      <c r="AC135" s="1033"/>
      <c r="AD135" s="1033"/>
      <c r="AE135" s="1033"/>
      <c r="AF135" s="1033"/>
      <c r="AG135" s="1049"/>
      <c r="AH135" s="1050"/>
      <c r="AI135" s="1050"/>
      <c r="AJ135" s="1050"/>
      <c r="AK135" s="1050"/>
      <c r="AL135" s="1051"/>
      <c r="AM135" s="1049"/>
      <c r="AN135" s="1050"/>
      <c r="AO135" s="1050"/>
      <c r="AP135" s="1050"/>
      <c r="AQ135" s="1050"/>
      <c r="AR135" s="1050"/>
      <c r="AS135" s="1050"/>
      <c r="AT135" s="1051"/>
      <c r="AU135" s="1030">
        <f>AA135/AG131</f>
        <v>0</v>
      </c>
      <c r="AV135" s="1031"/>
      <c r="AW135" s="1031"/>
      <c r="AX135" s="1031"/>
      <c r="AY135" s="1031"/>
      <c r="AZ135" s="1031"/>
      <c r="BA135" s="1031"/>
      <c r="BB135" s="1032"/>
    </row>
    <row r="136" spans="1:54" ht="0.75" customHeight="1" thickBot="1" x14ac:dyDescent="0.25">
      <c r="A136" s="1052"/>
      <c r="B136" s="1053"/>
      <c r="C136" s="1053"/>
      <c r="D136" s="1053"/>
      <c r="E136" s="1053"/>
      <c r="F136" s="1053"/>
      <c r="G136" s="1053"/>
      <c r="H136" s="1053"/>
      <c r="I136" s="1053"/>
      <c r="J136" s="1053"/>
      <c r="K136" s="1053"/>
      <c r="L136" s="1053"/>
      <c r="M136" s="1053"/>
      <c r="N136" s="1053"/>
      <c r="O136" s="1053"/>
      <c r="P136" s="1053"/>
      <c r="Q136" s="1053"/>
      <c r="R136" s="1053"/>
      <c r="S136" s="1053"/>
      <c r="T136" s="1053"/>
      <c r="U136" s="1053"/>
      <c r="V136" s="1053"/>
      <c r="W136" s="1053"/>
      <c r="X136" s="1053"/>
      <c r="Y136" s="1053"/>
      <c r="Z136" s="1054"/>
      <c r="AA136" s="1055">
        <v>0</v>
      </c>
      <c r="AB136" s="1055"/>
      <c r="AC136" s="1055"/>
      <c r="AD136" s="1055"/>
      <c r="AE136" s="1055"/>
      <c r="AF136" s="1055"/>
      <c r="AG136" s="1049"/>
      <c r="AH136" s="1050"/>
      <c r="AI136" s="1050"/>
      <c r="AJ136" s="1050"/>
      <c r="AK136" s="1050"/>
      <c r="AL136" s="1051"/>
      <c r="AM136" s="1049"/>
      <c r="AN136" s="1050"/>
      <c r="AO136" s="1050"/>
      <c r="AP136" s="1050"/>
      <c r="AQ136" s="1050"/>
      <c r="AR136" s="1050"/>
      <c r="AS136" s="1050"/>
      <c r="AT136" s="1051"/>
      <c r="AU136" s="1056">
        <f>AA136/AG131</f>
        <v>0</v>
      </c>
      <c r="AV136" s="1057"/>
      <c r="AW136" s="1057"/>
      <c r="AX136" s="1057"/>
      <c r="AY136" s="1057"/>
      <c r="AZ136" s="1057"/>
      <c r="BA136" s="1057"/>
      <c r="BB136" s="1058"/>
    </row>
    <row r="137" spans="1:54" ht="15" customHeight="1" thickBot="1" x14ac:dyDescent="0.25">
      <c r="A137" s="1011" t="s">
        <v>51</v>
      </c>
      <c r="B137" s="1012"/>
      <c r="C137" s="1012"/>
      <c r="D137" s="1012"/>
      <c r="E137" s="1012"/>
      <c r="F137" s="1012"/>
      <c r="G137" s="1012"/>
      <c r="H137" s="1012"/>
      <c r="I137" s="1012"/>
      <c r="J137" s="1012"/>
      <c r="K137" s="1012"/>
      <c r="L137" s="1012"/>
      <c r="M137" s="1012"/>
      <c r="N137" s="1012"/>
      <c r="O137" s="1012"/>
      <c r="P137" s="1012"/>
      <c r="Q137" s="1012"/>
      <c r="R137" s="1012"/>
      <c r="S137" s="1012"/>
      <c r="T137" s="1012"/>
      <c r="U137" s="1012"/>
      <c r="V137" s="1012"/>
      <c r="W137" s="1012"/>
      <c r="X137" s="1012"/>
      <c r="Y137" s="1012"/>
      <c r="Z137" s="1013"/>
      <c r="AA137" s="1014">
        <f>SUM(AA131:AF134)</f>
        <v>0</v>
      </c>
      <c r="AB137" s="1015"/>
      <c r="AC137" s="1015"/>
      <c r="AD137" s="1015"/>
      <c r="AE137" s="1015"/>
      <c r="AF137" s="1016"/>
      <c r="AG137" s="1017">
        <f>AG131</f>
        <v>1</v>
      </c>
      <c r="AH137" s="1018"/>
      <c r="AI137" s="1018"/>
      <c r="AJ137" s="1018"/>
      <c r="AK137" s="1018"/>
      <c r="AL137" s="1019"/>
      <c r="AM137" s="1020" t="s">
        <v>17</v>
      </c>
      <c r="AN137" s="1021"/>
      <c r="AO137" s="1021"/>
      <c r="AP137" s="1021"/>
      <c r="AQ137" s="1021"/>
      <c r="AR137" s="1021"/>
      <c r="AS137" s="1021"/>
      <c r="AT137" s="1022"/>
      <c r="AU137" s="1023">
        <f>SUM(AU131:BB136)</f>
        <v>0</v>
      </c>
      <c r="AV137" s="1024"/>
      <c r="AW137" s="1024"/>
      <c r="AX137" s="1024"/>
      <c r="AY137" s="1024"/>
      <c r="AZ137" s="1024"/>
      <c r="BA137" s="1024"/>
      <c r="BB137" s="1025"/>
    </row>
    <row r="138" spans="1:54" s="7" customFormat="1" ht="15" customHeight="1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</row>
    <row r="139" spans="1:54" ht="27" customHeight="1" x14ac:dyDescent="0.2">
      <c r="A139" s="5" t="s">
        <v>62</v>
      </c>
      <c r="B139" s="5"/>
      <c r="C139" s="5" t="s">
        <v>63</v>
      </c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6"/>
      <c r="AY139" s="6"/>
      <c r="AZ139" s="6"/>
      <c r="BA139" s="6"/>
      <c r="BB139" s="6"/>
    </row>
    <row r="140" spans="1:54" ht="21.75" customHeight="1" thickBot="1" x14ac:dyDescent="0.25"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</row>
    <row r="141" spans="1:54" ht="63" customHeight="1" x14ac:dyDescent="0.2">
      <c r="A141" s="961" t="s">
        <v>54</v>
      </c>
      <c r="B141" s="962"/>
      <c r="C141" s="962"/>
      <c r="D141" s="962"/>
      <c r="E141" s="962"/>
      <c r="F141" s="962"/>
      <c r="G141" s="962"/>
      <c r="H141" s="801" t="s">
        <v>64</v>
      </c>
      <c r="I141" s="801"/>
      <c r="J141" s="801"/>
      <c r="K141" s="801"/>
      <c r="L141" s="801"/>
      <c r="M141" s="1579" t="s">
        <v>123</v>
      </c>
      <c r="N141" s="1579"/>
      <c r="O141" s="1579"/>
      <c r="P141" s="1579"/>
      <c r="Q141" s="1579"/>
      <c r="R141" s="535" t="s">
        <v>82</v>
      </c>
      <c r="S141" s="535"/>
      <c r="T141" s="535"/>
      <c r="U141" s="535"/>
      <c r="V141" s="535" t="s">
        <v>65</v>
      </c>
      <c r="W141" s="535"/>
      <c r="X141" s="535"/>
      <c r="Y141" s="535"/>
      <c r="Z141" s="999" t="s">
        <v>66</v>
      </c>
      <c r="AA141" s="999"/>
      <c r="AB141" s="999"/>
      <c r="AC141" s="1075"/>
      <c r="AD141" s="1624" t="s">
        <v>67</v>
      </c>
      <c r="AE141" s="1624"/>
      <c r="AF141" s="1624"/>
      <c r="AG141" s="1624"/>
      <c r="AH141" s="1624"/>
      <c r="AI141" s="1624"/>
      <c r="AJ141" s="1624"/>
      <c r="AK141" s="1624"/>
      <c r="AL141" s="1624"/>
      <c r="AM141" s="1624"/>
      <c r="AN141" s="1624"/>
      <c r="AO141" s="1624"/>
      <c r="AP141" s="1624"/>
      <c r="AQ141" s="1625"/>
      <c r="AR141" s="1625"/>
      <c r="AS141" s="1625"/>
      <c r="AT141" s="1625"/>
      <c r="AU141" s="1625"/>
      <c r="AV141" s="1625"/>
      <c r="AW141" s="1625"/>
      <c r="AX141" s="1625"/>
      <c r="AY141" s="1625"/>
      <c r="AZ141" s="1625"/>
      <c r="BA141" s="1625"/>
      <c r="BB141" s="1625"/>
    </row>
    <row r="142" spans="1:54" ht="71.25" customHeight="1" x14ac:dyDescent="0.2">
      <c r="A142" s="1564"/>
      <c r="B142" s="1565"/>
      <c r="C142" s="1565"/>
      <c r="D142" s="1565"/>
      <c r="E142" s="1565"/>
      <c r="F142" s="1565"/>
      <c r="G142" s="1565"/>
      <c r="H142" s="801" t="s">
        <v>69</v>
      </c>
      <c r="I142" s="801"/>
      <c r="J142" s="801"/>
      <c r="K142" s="801"/>
      <c r="L142" s="801"/>
      <c r="M142" s="801" t="s">
        <v>69</v>
      </c>
      <c r="N142" s="801"/>
      <c r="O142" s="801"/>
      <c r="P142" s="801"/>
      <c r="Q142" s="801"/>
      <c r="R142" s="801"/>
      <c r="S142" s="801"/>
      <c r="T142" s="801"/>
      <c r="U142" s="801"/>
      <c r="V142" s="801"/>
      <c r="W142" s="801"/>
      <c r="X142" s="801"/>
      <c r="Y142" s="801"/>
      <c r="Z142" s="1587"/>
      <c r="AA142" s="1587"/>
      <c r="AB142" s="1587"/>
      <c r="AC142" s="1626"/>
      <c r="AD142" s="1587" t="s">
        <v>69</v>
      </c>
      <c r="AE142" s="1587"/>
      <c r="AF142" s="1587"/>
      <c r="AG142" s="1587"/>
      <c r="AH142" s="1587"/>
      <c r="AI142" s="1587"/>
      <c r="AJ142" s="1587" t="s">
        <v>69</v>
      </c>
      <c r="AK142" s="1587"/>
      <c r="AL142" s="1587"/>
      <c r="AM142" s="1587"/>
      <c r="AN142" s="1587"/>
      <c r="AO142" s="1587"/>
      <c r="AP142" s="1587"/>
      <c r="AQ142" s="1206"/>
      <c r="AR142" s="1206"/>
      <c r="AS142" s="1206"/>
      <c r="AT142" s="1206"/>
      <c r="AU142" s="1206"/>
      <c r="AV142" s="1206"/>
      <c r="AW142" s="1206"/>
      <c r="AX142" s="1206"/>
      <c r="AY142" s="1206"/>
      <c r="AZ142" s="1206"/>
      <c r="BA142" s="1206"/>
      <c r="BB142" s="1206"/>
    </row>
    <row r="143" spans="1:54" ht="22.5" customHeight="1" thickBot="1" x14ac:dyDescent="0.25">
      <c r="A143" s="1576">
        <v>1</v>
      </c>
      <c r="B143" s="1577"/>
      <c r="C143" s="1577"/>
      <c r="D143" s="1577"/>
      <c r="E143" s="1577"/>
      <c r="F143" s="1577"/>
      <c r="G143" s="1577"/>
      <c r="H143" s="1577">
        <v>2</v>
      </c>
      <c r="I143" s="1577"/>
      <c r="J143" s="1577"/>
      <c r="K143" s="1577"/>
      <c r="L143" s="1577"/>
      <c r="M143" s="1577">
        <v>3</v>
      </c>
      <c r="N143" s="1577"/>
      <c r="O143" s="1577"/>
      <c r="P143" s="1577"/>
      <c r="Q143" s="1577"/>
      <c r="R143" s="641">
        <v>4</v>
      </c>
      <c r="S143" s="641"/>
      <c r="T143" s="641"/>
      <c r="U143" s="641"/>
      <c r="V143" s="1577">
        <v>5</v>
      </c>
      <c r="W143" s="1577"/>
      <c r="X143" s="1577"/>
      <c r="Y143" s="1577"/>
      <c r="Z143" s="1577">
        <v>6</v>
      </c>
      <c r="AA143" s="1577"/>
      <c r="AB143" s="1577"/>
      <c r="AC143" s="1041"/>
      <c r="AD143" s="1577">
        <v>7</v>
      </c>
      <c r="AE143" s="1577"/>
      <c r="AF143" s="1577"/>
      <c r="AG143" s="1577"/>
      <c r="AH143" s="1577"/>
      <c r="AI143" s="1577"/>
      <c r="AJ143" s="1577">
        <v>8</v>
      </c>
      <c r="AK143" s="1577"/>
      <c r="AL143" s="1577"/>
      <c r="AM143" s="1577"/>
      <c r="AN143" s="1577"/>
      <c r="AO143" s="1577"/>
      <c r="AP143" s="1577"/>
      <c r="AQ143" s="1380"/>
      <c r="AR143" s="1380"/>
      <c r="AS143" s="1380"/>
      <c r="AT143" s="1380"/>
      <c r="AU143" s="1380"/>
      <c r="AV143" s="1380"/>
      <c r="AW143" s="1380"/>
      <c r="AX143" s="1380"/>
      <c r="AY143" s="1380"/>
      <c r="AZ143" s="1380"/>
      <c r="BA143" s="1380"/>
      <c r="BB143" s="1380"/>
    </row>
    <row r="144" spans="1:54" ht="24.75" customHeight="1" x14ac:dyDescent="0.2">
      <c r="A144" s="1566" t="s">
        <v>70</v>
      </c>
      <c r="B144" s="1567"/>
      <c r="C144" s="1567"/>
      <c r="D144" s="1567"/>
      <c r="E144" s="1567"/>
      <c r="F144" s="1567"/>
      <c r="G144" s="1567"/>
      <c r="H144" s="942">
        <f>AO88</f>
        <v>204.86466000000001</v>
      </c>
      <c r="I144" s="942"/>
      <c r="J144" s="942"/>
      <c r="K144" s="942"/>
      <c r="L144" s="942"/>
      <c r="M144" s="942">
        <f>H144</f>
        <v>204.86466000000001</v>
      </c>
      <c r="N144" s="942"/>
      <c r="O144" s="942"/>
      <c r="P144" s="942"/>
      <c r="Q144" s="942"/>
      <c r="R144" s="971">
        <f>U12</f>
        <v>1</v>
      </c>
      <c r="S144" s="972"/>
      <c r="T144" s="972"/>
      <c r="U144" s="973"/>
      <c r="V144" s="1568">
        <f>Y16</f>
        <v>7</v>
      </c>
      <c r="W144" s="1568"/>
      <c r="X144" s="1568"/>
      <c r="Y144" s="1568"/>
      <c r="Z144" s="1568">
        <f>U16</f>
        <v>1</v>
      </c>
      <c r="AA144" s="1568"/>
      <c r="AB144" s="1568"/>
      <c r="AC144" s="1628"/>
      <c r="AD144" s="1631" t="s">
        <v>71</v>
      </c>
      <c r="AE144" s="1631"/>
      <c r="AF144" s="1631"/>
      <c r="AG144" s="1631"/>
      <c r="AH144" s="1631"/>
      <c r="AI144" s="1631"/>
      <c r="AJ144" s="1627"/>
      <c r="AK144" s="1627"/>
      <c r="AL144" s="1627"/>
      <c r="AM144" s="1627"/>
      <c r="AN144" s="1627"/>
      <c r="AO144" s="1627"/>
      <c r="AP144" s="1627"/>
      <c r="AQ144" s="1175"/>
      <c r="AR144" s="1175"/>
      <c r="AS144" s="1175"/>
      <c r="AT144" s="1175"/>
      <c r="AU144" s="1175"/>
      <c r="AV144" s="1175"/>
      <c r="AW144" s="1175"/>
      <c r="AX144" s="1175"/>
      <c r="AY144" s="1175"/>
      <c r="AZ144" s="1175"/>
      <c r="BA144" s="1175"/>
      <c r="BB144" s="1175"/>
    </row>
    <row r="145" spans="1:67" ht="29.25" customHeight="1" x14ac:dyDescent="0.2">
      <c r="A145" s="990" t="s">
        <v>72</v>
      </c>
      <c r="B145" s="991"/>
      <c r="C145" s="991"/>
      <c r="D145" s="991"/>
      <c r="E145" s="991"/>
      <c r="F145" s="991"/>
      <c r="G145" s="991"/>
      <c r="H145" s="992">
        <f>AV98</f>
        <v>44.756763455927384</v>
      </c>
      <c r="I145" s="992"/>
      <c r="J145" s="992"/>
      <c r="K145" s="992"/>
      <c r="L145" s="992"/>
      <c r="M145" s="942">
        <f t="shared" ref="M145:M147" si="3">H145</f>
        <v>44.756763455927384</v>
      </c>
      <c r="N145" s="942"/>
      <c r="O145" s="942"/>
      <c r="P145" s="942"/>
      <c r="Q145" s="942"/>
      <c r="R145" s="974"/>
      <c r="S145" s="975"/>
      <c r="T145" s="975"/>
      <c r="U145" s="976"/>
      <c r="V145" s="981"/>
      <c r="W145" s="981"/>
      <c r="X145" s="981"/>
      <c r="Y145" s="981"/>
      <c r="Z145" s="981"/>
      <c r="AA145" s="981"/>
      <c r="AB145" s="981"/>
      <c r="AC145" s="1629"/>
      <c r="AD145" s="992" t="s">
        <v>71</v>
      </c>
      <c r="AE145" s="992"/>
      <c r="AF145" s="992"/>
      <c r="AG145" s="992"/>
      <c r="AH145" s="992"/>
      <c r="AI145" s="992"/>
      <c r="AJ145" s="992"/>
      <c r="AK145" s="992"/>
      <c r="AL145" s="992"/>
      <c r="AM145" s="992"/>
      <c r="AN145" s="992"/>
      <c r="AO145" s="992"/>
      <c r="AP145" s="992"/>
      <c r="AQ145" s="1175"/>
      <c r="AR145" s="1175"/>
      <c r="AS145" s="1175"/>
      <c r="AT145" s="1175"/>
      <c r="AU145" s="1175"/>
      <c r="AV145" s="1175"/>
      <c r="AW145" s="1175"/>
      <c r="AX145" s="1175"/>
      <c r="AY145" s="1175"/>
      <c r="AZ145" s="1175"/>
      <c r="BA145" s="1175"/>
      <c r="BB145" s="1175"/>
    </row>
    <row r="146" spans="1:67" ht="15" customHeight="1" x14ac:dyDescent="0.2">
      <c r="A146" s="990" t="s">
        <v>73</v>
      </c>
      <c r="B146" s="991"/>
      <c r="C146" s="991"/>
      <c r="D146" s="991"/>
      <c r="E146" s="991"/>
      <c r="F146" s="991"/>
      <c r="G146" s="991"/>
      <c r="H146" s="992">
        <f>AU125</f>
        <v>38.840000000000003</v>
      </c>
      <c r="I146" s="992"/>
      <c r="J146" s="992"/>
      <c r="K146" s="992"/>
      <c r="L146" s="992"/>
      <c r="M146" s="942">
        <f t="shared" si="3"/>
        <v>38.840000000000003</v>
      </c>
      <c r="N146" s="942"/>
      <c r="O146" s="942"/>
      <c r="P146" s="942"/>
      <c r="Q146" s="942"/>
      <c r="R146" s="974"/>
      <c r="S146" s="975"/>
      <c r="T146" s="975"/>
      <c r="U146" s="976"/>
      <c r="V146" s="981"/>
      <c r="W146" s="981"/>
      <c r="X146" s="981"/>
      <c r="Y146" s="981"/>
      <c r="Z146" s="981"/>
      <c r="AA146" s="981"/>
      <c r="AB146" s="981"/>
      <c r="AC146" s="1629"/>
      <c r="AD146" s="992" t="s">
        <v>71</v>
      </c>
      <c r="AE146" s="992"/>
      <c r="AF146" s="992"/>
      <c r="AG146" s="992"/>
      <c r="AH146" s="992"/>
      <c r="AI146" s="992"/>
      <c r="AJ146" s="992"/>
      <c r="AK146" s="992"/>
      <c r="AL146" s="992"/>
      <c r="AM146" s="992"/>
      <c r="AN146" s="992"/>
      <c r="AO146" s="992"/>
      <c r="AP146" s="992"/>
      <c r="AQ146" s="1175"/>
      <c r="AR146" s="1175"/>
      <c r="AS146" s="1175"/>
      <c r="AT146" s="1175"/>
      <c r="AU146" s="1175"/>
      <c r="AV146" s="1175"/>
      <c r="AW146" s="1175"/>
      <c r="AX146" s="1175"/>
      <c r="AY146" s="1175"/>
      <c r="AZ146" s="1175"/>
      <c r="BA146" s="1175"/>
      <c r="BB146" s="1175"/>
    </row>
    <row r="147" spans="1:67" ht="26.25" customHeight="1" thickBot="1" x14ac:dyDescent="0.25">
      <c r="A147" s="1561" t="s">
        <v>74</v>
      </c>
      <c r="B147" s="1562"/>
      <c r="C147" s="1562"/>
      <c r="D147" s="1562"/>
      <c r="E147" s="1562"/>
      <c r="F147" s="1562"/>
      <c r="G147" s="1562"/>
      <c r="H147" s="1563">
        <f>AU137</f>
        <v>0</v>
      </c>
      <c r="I147" s="1563"/>
      <c r="J147" s="1563"/>
      <c r="K147" s="1563"/>
      <c r="L147" s="1563"/>
      <c r="M147" s="942">
        <f t="shared" si="3"/>
        <v>0</v>
      </c>
      <c r="N147" s="942"/>
      <c r="O147" s="942"/>
      <c r="P147" s="942"/>
      <c r="Q147" s="942"/>
      <c r="R147" s="977"/>
      <c r="S147" s="978"/>
      <c r="T147" s="978"/>
      <c r="U147" s="979"/>
      <c r="V147" s="1569"/>
      <c r="W147" s="1569"/>
      <c r="X147" s="1569"/>
      <c r="Y147" s="1569"/>
      <c r="Z147" s="1569"/>
      <c r="AA147" s="1569"/>
      <c r="AB147" s="1569"/>
      <c r="AC147" s="1630"/>
      <c r="AD147" s="959" t="s">
        <v>71</v>
      </c>
      <c r="AE147" s="959"/>
      <c r="AF147" s="959"/>
      <c r="AG147" s="959"/>
      <c r="AH147" s="959"/>
      <c r="AI147" s="959"/>
      <c r="AJ147" s="483" t="s">
        <v>17</v>
      </c>
      <c r="AK147" s="483"/>
      <c r="AL147" s="483"/>
      <c r="AM147" s="483"/>
      <c r="AN147" s="483"/>
      <c r="AO147" s="483"/>
      <c r="AP147" s="483"/>
      <c r="AQ147" s="1175"/>
      <c r="AR147" s="1175"/>
      <c r="AS147" s="1175"/>
      <c r="AT147" s="1175"/>
      <c r="AU147" s="1175"/>
      <c r="AV147" s="1175"/>
      <c r="AW147" s="1175"/>
      <c r="AX147" s="1175"/>
      <c r="AY147" s="1175"/>
      <c r="AZ147" s="1175"/>
      <c r="BA147" s="1175"/>
      <c r="BB147" s="1175"/>
    </row>
    <row r="148" spans="1:67" ht="25.5" customHeight="1" x14ac:dyDescent="0.2">
      <c r="A148" s="951" t="s">
        <v>80</v>
      </c>
      <c r="B148" s="952"/>
      <c r="C148" s="952"/>
      <c r="D148" s="952"/>
      <c r="E148" s="952"/>
      <c r="F148" s="952"/>
      <c r="G148" s="953"/>
      <c r="H148" s="954">
        <f>SUM(H144:L147)</f>
        <v>288.46142345592739</v>
      </c>
      <c r="I148" s="954"/>
      <c r="J148" s="954"/>
      <c r="K148" s="954"/>
      <c r="L148" s="954"/>
      <c r="M148" s="954">
        <f>SUM(M144:Q147)</f>
        <v>288.46142345592739</v>
      </c>
      <c r="N148" s="954"/>
      <c r="O148" s="954"/>
      <c r="P148" s="954"/>
      <c r="Q148" s="954"/>
      <c r="R148" s="955">
        <f>R144</f>
        <v>1</v>
      </c>
      <c r="S148" s="955"/>
      <c r="T148" s="955"/>
      <c r="U148" s="955"/>
      <c r="V148" s="956">
        <f>V144</f>
        <v>7</v>
      </c>
      <c r="W148" s="956"/>
      <c r="X148" s="956"/>
      <c r="Y148" s="956"/>
      <c r="Z148" s="956">
        <f>Z144</f>
        <v>1</v>
      </c>
      <c r="AA148" s="956"/>
      <c r="AB148" s="956"/>
      <c r="AC148" s="1632"/>
      <c r="AD148" s="702" t="s">
        <v>17</v>
      </c>
      <c r="AE148" s="702"/>
      <c r="AF148" s="702"/>
      <c r="AG148" s="702"/>
      <c r="AH148" s="702"/>
      <c r="AI148" s="702"/>
      <c r="AJ148" s="702" t="s">
        <v>17</v>
      </c>
      <c r="AK148" s="702"/>
      <c r="AL148" s="702"/>
      <c r="AM148" s="702"/>
      <c r="AN148" s="702"/>
      <c r="AO148" s="702"/>
      <c r="AP148" s="702"/>
      <c r="AQ148" s="1633"/>
      <c r="AR148" s="1633"/>
      <c r="AS148" s="1633"/>
      <c r="AT148" s="1633"/>
      <c r="AU148" s="1633"/>
      <c r="AV148" s="1633"/>
      <c r="AW148" s="1633"/>
      <c r="AX148" s="1633"/>
      <c r="AY148" s="1633"/>
      <c r="AZ148" s="1633"/>
      <c r="BA148" s="1633"/>
      <c r="BB148" s="1633"/>
    </row>
    <row r="149" spans="1:67" ht="30.75" customHeight="1" x14ac:dyDescent="0.2">
      <c r="A149" s="1558" t="s">
        <v>75</v>
      </c>
      <c r="B149" s="927"/>
      <c r="C149" s="927"/>
      <c r="D149" s="927"/>
      <c r="E149" s="927"/>
      <c r="F149" s="927"/>
      <c r="G149" s="80">
        <v>0.04</v>
      </c>
      <c r="H149" s="928">
        <f>H148*G149</f>
        <v>11.538456938237095</v>
      </c>
      <c r="I149" s="928"/>
      <c r="J149" s="928"/>
      <c r="K149" s="928"/>
      <c r="L149" s="928"/>
      <c r="M149" s="928">
        <f>M148*G149</f>
        <v>11.538456938237095</v>
      </c>
      <c r="N149" s="928"/>
      <c r="O149" s="928"/>
      <c r="P149" s="928"/>
      <c r="Q149" s="928"/>
      <c r="R149" s="929">
        <f>R144</f>
        <v>1</v>
      </c>
      <c r="S149" s="930"/>
      <c r="T149" s="930"/>
      <c r="U149" s="931"/>
      <c r="V149" s="932">
        <f>V144</f>
        <v>7</v>
      </c>
      <c r="W149" s="930"/>
      <c r="X149" s="930"/>
      <c r="Y149" s="931"/>
      <c r="Z149" s="932">
        <f>Z144</f>
        <v>1</v>
      </c>
      <c r="AA149" s="930"/>
      <c r="AB149" s="930"/>
      <c r="AC149" s="930"/>
      <c r="AD149" s="1331" t="s">
        <v>17</v>
      </c>
      <c r="AE149" s="1331"/>
      <c r="AF149" s="1331"/>
      <c r="AG149" s="1331"/>
      <c r="AH149" s="1331"/>
      <c r="AI149" s="1331"/>
      <c r="AJ149" s="1331" t="s">
        <v>17</v>
      </c>
      <c r="AK149" s="1331"/>
      <c r="AL149" s="1331"/>
      <c r="AM149" s="1331"/>
      <c r="AN149" s="1331"/>
      <c r="AO149" s="1331"/>
      <c r="AP149" s="1331"/>
      <c r="AQ149" s="1634"/>
      <c r="AR149" s="1634"/>
      <c r="AS149" s="1634"/>
      <c r="AT149" s="1634"/>
      <c r="AU149" s="1634"/>
      <c r="AV149" s="1634"/>
      <c r="AW149" s="1634"/>
      <c r="AX149" s="1634"/>
      <c r="AY149" s="1634"/>
      <c r="AZ149" s="1634"/>
      <c r="BA149" s="1634"/>
      <c r="BB149" s="1634"/>
    </row>
    <row r="150" spans="1:67" ht="30.75" customHeight="1" thickBot="1" x14ac:dyDescent="0.25">
      <c r="A150" s="1559" t="s">
        <v>81</v>
      </c>
      <c r="B150" s="934"/>
      <c r="C150" s="934"/>
      <c r="D150" s="934"/>
      <c r="E150" s="934"/>
      <c r="F150" s="934"/>
      <c r="G150" s="935"/>
      <c r="H150" s="918">
        <f>H148+H149</f>
        <v>299.99988039416451</v>
      </c>
      <c r="I150" s="918"/>
      <c r="J150" s="918"/>
      <c r="K150" s="918"/>
      <c r="L150" s="918"/>
      <c r="M150" s="1395">
        <f>M148+M149</f>
        <v>299.99988039416451</v>
      </c>
      <c r="N150" s="1396"/>
      <c r="O150" s="1396"/>
      <c r="P150" s="1396"/>
      <c r="Q150" s="1397"/>
      <c r="R150" s="1635">
        <f>R144</f>
        <v>1</v>
      </c>
      <c r="S150" s="1636"/>
      <c r="T150" s="1636"/>
      <c r="U150" s="1637"/>
      <c r="V150" s="939">
        <f>V144</f>
        <v>7</v>
      </c>
      <c r="W150" s="940"/>
      <c r="X150" s="940"/>
      <c r="Y150" s="941"/>
      <c r="Z150" s="939">
        <f>Z144</f>
        <v>1</v>
      </c>
      <c r="AA150" s="940"/>
      <c r="AB150" s="940"/>
      <c r="AC150" s="940"/>
      <c r="AD150" s="463" t="s">
        <v>17</v>
      </c>
      <c r="AE150" s="463"/>
      <c r="AF150" s="463"/>
      <c r="AG150" s="463"/>
      <c r="AH150" s="463"/>
      <c r="AI150" s="463"/>
      <c r="AJ150" s="463" t="s">
        <v>17</v>
      </c>
      <c r="AK150" s="463"/>
      <c r="AL150" s="463"/>
      <c r="AM150" s="463"/>
      <c r="AN150" s="463"/>
      <c r="AO150" s="463"/>
      <c r="AP150" s="463"/>
      <c r="AQ150" s="1634"/>
      <c r="AR150" s="1634"/>
      <c r="AS150" s="1634"/>
      <c r="AT150" s="1634"/>
      <c r="AU150" s="1634"/>
      <c r="AV150" s="1634"/>
      <c r="AW150" s="1634"/>
      <c r="AX150" s="1634"/>
      <c r="AY150" s="1634"/>
      <c r="AZ150" s="1634"/>
      <c r="BA150" s="1634"/>
      <c r="BB150" s="1634"/>
    </row>
    <row r="153" spans="1:67" ht="12.75" customHeight="1" x14ac:dyDescent="0.25">
      <c r="B153" s="920" t="s">
        <v>221</v>
      </c>
      <c r="C153" s="920"/>
      <c r="D153" s="920"/>
      <c r="E153" s="920"/>
      <c r="F153" s="920"/>
      <c r="G153" s="920"/>
      <c r="H153" s="920"/>
      <c r="I153" s="920"/>
      <c r="J153" s="920"/>
      <c r="K153" s="920"/>
      <c r="L153" s="920"/>
      <c r="M153" s="920"/>
      <c r="N153" s="920"/>
      <c r="O153" s="920"/>
      <c r="P153" s="920"/>
      <c r="Q153" s="920"/>
      <c r="R153" s="920"/>
      <c r="S153" s="920"/>
      <c r="U153" s="10"/>
      <c r="V153" s="10"/>
      <c r="W153" s="10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T153" s="1"/>
      <c r="AU153" s="91" t="s">
        <v>222</v>
      </c>
      <c r="AV153" s="91"/>
      <c r="AW153" s="91"/>
      <c r="AX153" s="91"/>
      <c r="AY153" s="91"/>
      <c r="AZ153" s="91"/>
      <c r="BC153" s="909"/>
      <c r="BD153" s="909"/>
    </row>
    <row r="154" spans="1:67" ht="15" customHeight="1" x14ac:dyDescent="0.2">
      <c r="B154" s="920" t="s">
        <v>78</v>
      </c>
      <c r="C154" s="920"/>
      <c r="D154" s="920"/>
      <c r="E154" s="920"/>
      <c r="F154" s="920"/>
      <c r="G154" s="920"/>
      <c r="H154" s="920"/>
      <c r="I154" s="920"/>
      <c r="J154" s="920"/>
      <c r="K154" s="920"/>
      <c r="L154" s="920"/>
      <c r="M154" s="920"/>
      <c r="N154" s="920"/>
      <c r="O154" s="920"/>
      <c r="P154" s="920"/>
      <c r="Q154" s="920"/>
      <c r="R154" s="920"/>
      <c r="S154" s="920"/>
      <c r="AM154" s="1555" t="s">
        <v>312</v>
      </c>
      <c r="AN154" s="1555"/>
      <c r="AO154" s="1555"/>
      <c r="AP154" s="1555"/>
      <c r="AQ154" s="1555"/>
      <c r="AR154" s="1555"/>
      <c r="AS154" s="1555"/>
      <c r="AT154" s="1555"/>
      <c r="AU154" s="1555"/>
      <c r="AV154" s="1555"/>
      <c r="AW154" s="1555"/>
      <c r="AX154" s="1555"/>
      <c r="AY154" s="1555"/>
      <c r="AZ154" s="1555"/>
      <c r="BA154" s="1555"/>
      <c r="BB154" s="1555"/>
      <c r="BC154" s="1555"/>
    </row>
    <row r="155" spans="1:67" ht="15" customHeight="1" x14ac:dyDescent="0.2">
      <c r="B155" s="920"/>
      <c r="C155" s="920"/>
      <c r="D155" s="920"/>
      <c r="E155" s="920"/>
      <c r="F155" s="920"/>
      <c r="G155" s="920"/>
      <c r="H155" s="920"/>
      <c r="I155" s="920"/>
      <c r="J155" s="920"/>
      <c r="K155" s="920"/>
      <c r="L155" s="920"/>
      <c r="M155" s="920"/>
      <c r="N155" s="920"/>
      <c r="O155" s="920"/>
      <c r="P155" s="920"/>
      <c r="Q155" s="920"/>
      <c r="R155" s="920"/>
      <c r="S155" s="920"/>
      <c r="U155" s="10"/>
      <c r="V155" s="10"/>
      <c r="W155" s="10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M155" s="1555"/>
      <c r="AN155" s="1555"/>
      <c r="AO155" s="1555"/>
      <c r="AP155" s="1555"/>
      <c r="AQ155" s="1555"/>
      <c r="AR155" s="1555"/>
      <c r="AS155" s="1555"/>
      <c r="AT155" s="1555"/>
      <c r="AU155" s="1555"/>
      <c r="AV155" s="1555"/>
      <c r="AW155" s="1555"/>
      <c r="AX155" s="1555"/>
      <c r="AY155" s="1555"/>
      <c r="AZ155" s="1555"/>
      <c r="BA155" s="1555"/>
      <c r="BB155" s="1555"/>
      <c r="BC155" s="1555"/>
    </row>
    <row r="156" spans="1:67" ht="15.75" customHeight="1" x14ac:dyDescent="0.2"/>
    <row r="157" spans="1:67" ht="13.5" customHeight="1" x14ac:dyDescent="0.2">
      <c r="A157" s="54" t="s">
        <v>125</v>
      </c>
      <c r="B157" s="54"/>
      <c r="C157" s="54"/>
      <c r="D157" s="54"/>
    </row>
    <row r="158" spans="1:67" ht="16.5" customHeight="1" x14ac:dyDescent="0.2">
      <c r="A158" s="53"/>
      <c r="B158" s="53"/>
      <c r="C158" s="53"/>
      <c r="D158" s="53"/>
      <c r="E158" s="53"/>
      <c r="F158" s="53"/>
      <c r="G158" s="53"/>
      <c r="H158" s="53"/>
      <c r="I158" s="53"/>
      <c r="J158" s="53"/>
      <c r="K158" s="53"/>
      <c r="L158" s="53"/>
      <c r="M158" s="53"/>
      <c r="N158" s="53"/>
      <c r="AS158" s="1603" t="s">
        <v>231</v>
      </c>
      <c r="AT158" s="1603"/>
      <c r="AU158" s="1603"/>
      <c r="AV158" s="1603"/>
      <c r="AW158" s="1603"/>
      <c r="AX158" s="1603"/>
      <c r="AY158" s="1603"/>
      <c r="AZ158" s="1603"/>
      <c r="BA158" s="1603"/>
      <c r="BB158" s="1603"/>
      <c r="BC158" s="1603"/>
      <c r="BD158" s="1603"/>
      <c r="BE158" s="1603"/>
      <c r="BF158" s="1603"/>
      <c r="BG158" s="1603"/>
      <c r="BH158" s="1603"/>
      <c r="BI158" s="1603"/>
      <c r="BJ158" s="1603"/>
      <c r="BK158" s="1603"/>
      <c r="BL158" s="1603"/>
      <c r="BM158" s="1603"/>
      <c r="BN158" s="1603"/>
      <c r="BO158" s="1603"/>
    </row>
    <row r="159" spans="1:67" ht="15" customHeight="1" x14ac:dyDescent="0.25">
      <c r="A159" s="61"/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1603" t="s">
        <v>126</v>
      </c>
      <c r="AT159" s="1603"/>
      <c r="AU159" s="1603"/>
      <c r="AV159" s="1605">
        <f>M150*8</f>
        <v>2399.9990431533161</v>
      </c>
      <c r="AW159" s="1605"/>
      <c r="AX159" s="1605"/>
      <c r="AY159" s="1605"/>
      <c r="AZ159" s="1605"/>
      <c r="BA159" s="138" t="s">
        <v>127</v>
      </c>
      <c r="BB159" s="138"/>
      <c r="BC159" s="138"/>
      <c r="BD159" s="138"/>
      <c r="BE159" s="138"/>
      <c r="BF159" s="138"/>
      <c r="BG159" s="138"/>
      <c r="BH159" s="138"/>
      <c r="BI159" s="139"/>
      <c r="BJ159" s="139"/>
      <c r="BK159" s="139"/>
      <c r="BL159" s="139"/>
      <c r="BM159" s="139"/>
      <c r="BN159" s="139"/>
      <c r="BO159" s="139"/>
    </row>
    <row r="160" spans="1:67" ht="21.75" customHeight="1" x14ac:dyDescent="0.2">
      <c r="AS160" s="1606">
        <v>0.6</v>
      </c>
      <c r="AT160" s="1603"/>
      <c r="AU160" s="1603"/>
      <c r="AV160" s="140">
        <f>AV159*AS160</f>
        <v>1439.9994258919896</v>
      </c>
      <c r="AW160" s="1603" t="s">
        <v>128</v>
      </c>
      <c r="AX160" s="1603"/>
      <c r="AY160" s="1603"/>
      <c r="AZ160" s="1603"/>
      <c r="BA160" s="1603"/>
      <c r="BB160" s="1603" t="s">
        <v>129</v>
      </c>
      <c r="BC160" s="1603"/>
      <c r="BD160" s="1603"/>
      <c r="BE160" s="1603"/>
      <c r="BF160" s="1603"/>
      <c r="BG160" s="1603"/>
      <c r="BH160" s="1603"/>
      <c r="BI160" s="139"/>
      <c r="BJ160" s="139"/>
      <c r="BK160" s="139"/>
      <c r="BL160" s="139"/>
      <c r="BM160" s="139"/>
      <c r="BN160" s="139"/>
      <c r="BO160" s="139"/>
    </row>
    <row r="161" spans="26:67" ht="18" customHeight="1" x14ac:dyDescent="0.2">
      <c r="AS161" s="1603">
        <v>211</v>
      </c>
      <c r="AT161" s="1603"/>
      <c r="AU161" s="1603"/>
      <c r="AV161" s="140">
        <f>AV160-AV162</f>
        <v>1105.990342466966</v>
      </c>
      <c r="AW161" s="1604">
        <f>AV161*0.1</f>
        <v>110.5990342466966</v>
      </c>
      <c r="AX161" s="1604"/>
      <c r="AY161" s="1604"/>
      <c r="AZ161" s="1604"/>
      <c r="BA161" s="1604"/>
      <c r="BB161" s="436">
        <f>AV161-AW161</f>
        <v>995.39130822026937</v>
      </c>
      <c r="BC161" s="445"/>
      <c r="BD161" s="445"/>
      <c r="BE161" s="445"/>
      <c r="BF161" s="445"/>
      <c r="BG161" s="445"/>
      <c r="BH161" s="445"/>
      <c r="BI161" s="139"/>
      <c r="BJ161" s="139"/>
      <c r="BK161" s="139"/>
      <c r="BL161" s="139"/>
      <c r="BM161" s="139"/>
      <c r="BN161" s="139"/>
      <c r="BO161" s="139"/>
    </row>
    <row r="162" spans="26:67" ht="15" customHeight="1" x14ac:dyDescent="0.2">
      <c r="AS162" s="1603">
        <v>213</v>
      </c>
      <c r="AT162" s="1603"/>
      <c r="AU162" s="1603"/>
      <c r="AV162" s="140">
        <f>AV160*30.2/130.2</f>
        <v>334.00908342502373</v>
      </c>
      <c r="AW162" s="1604">
        <f>AW161*30.2%</f>
        <v>33.400908342502376</v>
      </c>
      <c r="AX162" s="1604"/>
      <c r="AY162" s="1604"/>
      <c r="AZ162" s="1604"/>
      <c r="BA162" s="1604"/>
      <c r="BB162" s="1604">
        <f>BB161*30.2%</f>
        <v>300.60817508252131</v>
      </c>
      <c r="BC162" s="1604"/>
      <c r="BD162" s="1604"/>
      <c r="BE162" s="1604"/>
      <c r="BF162" s="1604"/>
      <c r="BG162" s="1604"/>
      <c r="BH162" s="1604"/>
      <c r="BI162" s="139"/>
      <c r="BJ162" s="139"/>
      <c r="BK162" s="139"/>
      <c r="BL162" s="139"/>
      <c r="BM162" s="139"/>
      <c r="BN162" s="139"/>
      <c r="BO162" s="139"/>
    </row>
    <row r="163" spans="26:67" ht="13.5" customHeight="1" x14ac:dyDescent="0.2">
      <c r="Z163" s="52"/>
      <c r="AA163" s="52"/>
      <c r="AB163" s="52"/>
      <c r="AC163" s="52"/>
      <c r="AD163" s="52"/>
      <c r="AE163" s="52"/>
      <c r="AF163" s="52"/>
      <c r="AG163" s="52"/>
    </row>
    <row r="164" spans="26:67" ht="16.5" customHeight="1" x14ac:dyDescent="0.2"/>
    <row r="165" spans="26:67" ht="14.25" customHeight="1" x14ac:dyDescent="0.2">
      <c r="AS165" s="1603" t="s">
        <v>282</v>
      </c>
      <c r="AT165" s="1603"/>
      <c r="AU165" s="1603"/>
      <c r="AV165" s="1603"/>
      <c r="AW165" s="1603"/>
      <c r="AX165" s="1603"/>
      <c r="AY165" s="1603"/>
      <c r="AZ165" s="1603"/>
      <c r="BA165" s="1603"/>
      <c r="BB165" s="1603"/>
      <c r="BC165" s="1603"/>
      <c r="BD165" s="1603"/>
      <c r="BE165" s="1603"/>
      <c r="BF165" s="1603"/>
      <c r="BG165" s="1603"/>
      <c r="BH165" s="1603"/>
      <c r="BI165" s="1603"/>
      <c r="BJ165" s="1603"/>
      <c r="BK165" s="1603"/>
      <c r="BL165" s="1603"/>
      <c r="BM165" s="1603"/>
      <c r="BN165" s="1603"/>
      <c r="BO165" s="1603"/>
    </row>
    <row r="166" spans="26:67" ht="15.75" customHeight="1" x14ac:dyDescent="0.2">
      <c r="AS166" s="1603" t="s">
        <v>126</v>
      </c>
      <c r="AT166" s="1603"/>
      <c r="AU166" s="1603"/>
      <c r="AV166" s="1605">
        <f>300*13</f>
        <v>3900</v>
      </c>
      <c r="AW166" s="1605"/>
      <c r="AX166" s="1605"/>
      <c r="AY166" s="1605"/>
      <c r="AZ166" s="1605"/>
      <c r="BA166" s="138" t="s">
        <v>127</v>
      </c>
      <c r="BB166" s="138"/>
      <c r="BC166" s="138"/>
      <c r="BD166" s="138"/>
      <c r="BE166" s="138"/>
      <c r="BF166" s="138"/>
      <c r="BG166" s="138"/>
      <c r="BH166" s="138"/>
      <c r="BI166" s="139"/>
      <c r="BJ166" s="139"/>
      <c r="BK166" s="139"/>
      <c r="BL166" s="139"/>
      <c r="BM166" s="139"/>
      <c r="BN166" s="139"/>
      <c r="BO166" s="139"/>
    </row>
    <row r="167" spans="26:67" ht="15" customHeight="1" x14ac:dyDescent="0.2">
      <c r="AS167" s="1606">
        <v>0.6</v>
      </c>
      <c r="AT167" s="1606"/>
      <c r="AU167" s="1606"/>
      <c r="AV167" s="140">
        <f>AV166*AS167</f>
        <v>2340</v>
      </c>
      <c r="AW167" s="1603" t="s">
        <v>128</v>
      </c>
      <c r="AX167" s="1603"/>
      <c r="AY167" s="1603"/>
      <c r="AZ167" s="1603"/>
      <c r="BA167" s="1603"/>
      <c r="BB167" s="1603" t="s">
        <v>129</v>
      </c>
      <c r="BC167" s="1603"/>
      <c r="BD167" s="1603"/>
      <c r="BE167" s="1603"/>
      <c r="BF167" s="1603"/>
      <c r="BG167" s="1603"/>
      <c r="BH167" s="1603"/>
      <c r="BI167" s="139"/>
      <c r="BJ167" s="139"/>
      <c r="BK167" s="139"/>
      <c r="BL167" s="139"/>
      <c r="BM167" s="139"/>
      <c r="BN167" s="139"/>
      <c r="BO167" s="139"/>
    </row>
    <row r="168" spans="26:67" ht="13.5" customHeight="1" x14ac:dyDescent="0.2">
      <c r="AS168" s="1603">
        <v>211</v>
      </c>
      <c r="AT168" s="1603"/>
      <c r="AU168" s="1603"/>
      <c r="AV168" s="140">
        <f>AV167-AV169</f>
        <v>1797.2350230414745</v>
      </c>
      <c r="AW168" s="436">
        <f>AV168*0.1</f>
        <v>179.72350230414747</v>
      </c>
      <c r="AX168" s="436"/>
      <c r="AY168" s="436"/>
      <c r="AZ168" s="436"/>
      <c r="BA168" s="436"/>
      <c r="BB168" s="436">
        <f>AV168-AW168</f>
        <v>1617.5115207373269</v>
      </c>
      <c r="BC168" s="436"/>
      <c r="BD168" s="436"/>
      <c r="BE168" s="436"/>
      <c r="BF168" s="436"/>
      <c r="BG168" s="436"/>
      <c r="BH168" s="436"/>
      <c r="BI168" s="139"/>
      <c r="BJ168" s="139"/>
      <c r="BK168" s="139"/>
      <c r="BL168" s="139"/>
      <c r="BM168" s="139"/>
      <c r="BN168" s="139"/>
      <c r="BO168" s="139"/>
    </row>
    <row r="169" spans="26:67" ht="15.75" customHeight="1" x14ac:dyDescent="0.2">
      <c r="AS169" s="1603">
        <v>213</v>
      </c>
      <c r="AT169" s="1603"/>
      <c r="AU169" s="1603"/>
      <c r="AV169" s="140">
        <f>AV167*30.2/130.2</f>
        <v>542.76497695852538</v>
      </c>
      <c r="AW169" s="1604">
        <f>AW168*30.2%</f>
        <v>54.276497695852534</v>
      </c>
      <c r="AX169" s="1604"/>
      <c r="AY169" s="1604"/>
      <c r="AZ169" s="1604"/>
      <c r="BA169" s="1604"/>
      <c r="BB169" s="1604">
        <f>BB168*30.2%</f>
        <v>488.48847926267274</v>
      </c>
      <c r="BC169" s="1604"/>
      <c r="BD169" s="1604"/>
      <c r="BE169" s="1604"/>
      <c r="BF169" s="1604"/>
      <c r="BG169" s="1604"/>
      <c r="BH169" s="1604"/>
      <c r="BI169" s="139"/>
      <c r="BJ169" s="139"/>
      <c r="BK169" s="139"/>
      <c r="BL169" s="139"/>
      <c r="BM169" s="139"/>
      <c r="BN169" s="139"/>
      <c r="BO169" s="139"/>
    </row>
    <row r="171" spans="26:67" ht="15" customHeight="1" x14ac:dyDescent="0.2">
      <c r="AS171" s="1603" t="s">
        <v>292</v>
      </c>
      <c r="AT171" s="1603"/>
      <c r="AU171" s="1603"/>
      <c r="AV171" s="1603"/>
      <c r="AW171" s="1603"/>
      <c r="AX171" s="1603"/>
      <c r="AY171" s="1603"/>
      <c r="AZ171" s="1603"/>
      <c r="BA171" s="1603"/>
      <c r="BB171" s="1603"/>
      <c r="BC171" s="1603"/>
      <c r="BD171" s="1603"/>
      <c r="BE171" s="1603"/>
      <c r="BF171" s="1603"/>
      <c r="BG171" s="1603"/>
      <c r="BH171" s="1603"/>
      <c r="BI171" s="1603"/>
      <c r="BJ171" s="1603"/>
      <c r="BK171" s="1603"/>
      <c r="BL171" s="1603"/>
      <c r="BM171" s="1603"/>
      <c r="BN171" s="1603"/>
      <c r="BO171" s="1603"/>
    </row>
    <row r="172" spans="26:67" ht="15" customHeight="1" x14ac:dyDescent="0.2">
      <c r="AS172" s="1603" t="s">
        <v>126</v>
      </c>
      <c r="AT172" s="1603"/>
      <c r="AU172" s="1603"/>
      <c r="AV172" s="1605">
        <f>300*11</f>
        <v>3300</v>
      </c>
      <c r="AW172" s="1605"/>
      <c r="AX172" s="1605"/>
      <c r="AY172" s="1605"/>
      <c r="AZ172" s="1605"/>
      <c r="BA172" s="138" t="s">
        <v>127</v>
      </c>
      <c r="BB172" s="138"/>
      <c r="BC172" s="138"/>
      <c r="BD172" s="138"/>
      <c r="BE172" s="138"/>
      <c r="BF172" s="138"/>
      <c r="BG172" s="138"/>
      <c r="BH172" s="138"/>
      <c r="BI172" s="139"/>
      <c r="BJ172" s="139"/>
      <c r="BK172" s="139"/>
      <c r="BL172" s="139"/>
      <c r="BM172" s="139"/>
      <c r="BN172" s="139"/>
      <c r="BO172" s="139"/>
    </row>
    <row r="173" spans="26:67" ht="15" customHeight="1" x14ac:dyDescent="0.2">
      <c r="AS173" s="1606">
        <v>0.6</v>
      </c>
      <c r="AT173" s="1606"/>
      <c r="AU173" s="1606"/>
      <c r="AV173" s="140">
        <f>AV172*AS173</f>
        <v>1980</v>
      </c>
      <c r="AW173" s="1603" t="s">
        <v>128</v>
      </c>
      <c r="AX173" s="1603"/>
      <c r="AY173" s="1603"/>
      <c r="AZ173" s="1603"/>
      <c r="BA173" s="1603"/>
      <c r="BB173" s="1603" t="s">
        <v>129</v>
      </c>
      <c r="BC173" s="1603"/>
      <c r="BD173" s="1603"/>
      <c r="BE173" s="1603"/>
      <c r="BF173" s="1603"/>
      <c r="BG173" s="1603"/>
      <c r="BH173" s="1603"/>
      <c r="BI173" s="139"/>
      <c r="BJ173" s="139"/>
      <c r="BK173" s="139"/>
      <c r="BL173" s="139"/>
      <c r="BM173" s="139"/>
      <c r="BN173" s="139"/>
      <c r="BO173" s="139"/>
    </row>
    <row r="174" spans="26:67" ht="15" customHeight="1" x14ac:dyDescent="0.2">
      <c r="AS174" s="1603">
        <v>211</v>
      </c>
      <c r="AT174" s="1603"/>
      <c r="AU174" s="1603"/>
      <c r="AV174" s="140">
        <f>AV173-AV175</f>
        <v>1520.7373271889401</v>
      </c>
      <c r="AW174" s="436">
        <f>AV174*0.1</f>
        <v>152.07373271889401</v>
      </c>
      <c r="AX174" s="436"/>
      <c r="AY174" s="436"/>
      <c r="AZ174" s="436"/>
      <c r="BA174" s="436"/>
      <c r="BB174" s="436">
        <f>AV174-AW174</f>
        <v>1368.6635944700461</v>
      </c>
      <c r="BC174" s="436"/>
      <c r="BD174" s="436"/>
      <c r="BE174" s="436"/>
      <c r="BF174" s="436"/>
      <c r="BG174" s="436"/>
      <c r="BH174" s="436"/>
      <c r="BI174" s="139"/>
      <c r="BJ174" s="139"/>
      <c r="BK174" s="139"/>
      <c r="BL174" s="139"/>
      <c r="BM174" s="139"/>
      <c r="BN174" s="139"/>
      <c r="BO174" s="139"/>
    </row>
    <row r="175" spans="26:67" ht="15" customHeight="1" x14ac:dyDescent="0.2">
      <c r="AS175" s="1603">
        <v>213</v>
      </c>
      <c r="AT175" s="1603"/>
      <c r="AU175" s="1603"/>
      <c r="AV175" s="140">
        <f>AV173*30.2/130.2</f>
        <v>459.26267281105993</v>
      </c>
      <c r="AW175" s="1604">
        <f>AW174*30.2%</f>
        <v>45.926267281105986</v>
      </c>
      <c r="AX175" s="1604"/>
      <c r="AY175" s="1604"/>
      <c r="AZ175" s="1604"/>
      <c r="BA175" s="1604"/>
      <c r="BB175" s="1604">
        <f>BB174*30.2%</f>
        <v>413.33640552995388</v>
      </c>
      <c r="BC175" s="1604"/>
      <c r="BD175" s="1604"/>
      <c r="BE175" s="1604"/>
      <c r="BF175" s="1604"/>
      <c r="BG175" s="1604"/>
      <c r="BH175" s="1604"/>
      <c r="BI175" s="139"/>
      <c r="BJ175" s="139"/>
      <c r="BK175" s="139"/>
      <c r="BL175" s="139"/>
      <c r="BM175" s="139"/>
      <c r="BN175" s="139"/>
      <c r="BO175" s="139"/>
    </row>
    <row r="177" spans="45:67" ht="15" customHeight="1" x14ac:dyDescent="0.2">
      <c r="AS177" s="1603" t="s">
        <v>298</v>
      </c>
      <c r="AT177" s="1603"/>
      <c r="AU177" s="1603"/>
      <c r="AV177" s="1603"/>
      <c r="AW177" s="1603"/>
      <c r="AX177" s="1603"/>
      <c r="AY177" s="1603"/>
      <c r="AZ177" s="1603"/>
      <c r="BA177" s="1603"/>
      <c r="BB177" s="1603"/>
      <c r="BC177" s="1603"/>
      <c r="BD177" s="1603"/>
      <c r="BE177" s="1603"/>
      <c r="BF177" s="1603"/>
      <c r="BG177" s="1603"/>
      <c r="BH177" s="1603"/>
      <c r="BI177" s="1603"/>
      <c r="BJ177" s="1603"/>
      <c r="BK177" s="1603"/>
      <c r="BL177" s="1603"/>
      <c r="BM177" s="1603"/>
      <c r="BN177" s="1603"/>
      <c r="BO177" s="1603"/>
    </row>
    <row r="178" spans="45:67" ht="15" customHeight="1" x14ac:dyDescent="0.2">
      <c r="AS178" s="1603" t="s">
        <v>126</v>
      </c>
      <c r="AT178" s="1603"/>
      <c r="AU178" s="1603"/>
      <c r="AV178" s="1605">
        <f>300*9</f>
        <v>2700</v>
      </c>
      <c r="AW178" s="1605"/>
      <c r="AX178" s="1605"/>
      <c r="AY178" s="1605"/>
      <c r="AZ178" s="1605"/>
      <c r="BA178" s="138" t="s">
        <v>127</v>
      </c>
      <c r="BB178" s="138"/>
      <c r="BC178" s="138"/>
      <c r="BD178" s="138"/>
      <c r="BE178" s="138"/>
      <c r="BF178" s="138"/>
      <c r="BG178" s="138"/>
      <c r="BH178" s="138"/>
      <c r="BI178" s="139"/>
      <c r="BJ178" s="139"/>
      <c r="BK178" s="139"/>
      <c r="BL178" s="139"/>
      <c r="BM178" s="139"/>
      <c r="BN178" s="139"/>
      <c r="BO178" s="139"/>
    </row>
    <row r="179" spans="45:67" ht="15" customHeight="1" x14ac:dyDescent="0.2">
      <c r="AS179" s="1606">
        <v>0.6</v>
      </c>
      <c r="AT179" s="1606"/>
      <c r="AU179" s="1606"/>
      <c r="AV179" s="140">
        <f>AV178*AS179</f>
        <v>1620</v>
      </c>
      <c r="AW179" s="1603" t="s">
        <v>128</v>
      </c>
      <c r="AX179" s="1603"/>
      <c r="AY179" s="1603"/>
      <c r="AZ179" s="1603"/>
      <c r="BA179" s="1603"/>
      <c r="BB179" s="1603" t="s">
        <v>129</v>
      </c>
      <c r="BC179" s="1603"/>
      <c r="BD179" s="1603"/>
      <c r="BE179" s="1603"/>
      <c r="BF179" s="1603"/>
      <c r="BG179" s="1603"/>
      <c r="BH179" s="1603"/>
      <c r="BI179" s="139"/>
      <c r="BJ179" s="139"/>
      <c r="BK179" s="139"/>
      <c r="BL179" s="139"/>
      <c r="BM179" s="139"/>
      <c r="BN179" s="139"/>
      <c r="BO179" s="139"/>
    </row>
    <row r="180" spans="45:67" ht="15" customHeight="1" x14ac:dyDescent="0.2">
      <c r="AS180" s="1603">
        <v>211</v>
      </c>
      <c r="AT180" s="1603"/>
      <c r="AU180" s="1603"/>
      <c r="AV180" s="140">
        <f>AV179-AV181</f>
        <v>1244.2396313364056</v>
      </c>
      <c r="AW180" s="436">
        <f>AV180*0.1</f>
        <v>124.42396313364057</v>
      </c>
      <c r="AX180" s="436"/>
      <c r="AY180" s="436"/>
      <c r="AZ180" s="436"/>
      <c r="BA180" s="436"/>
      <c r="BB180" s="436">
        <f>AV180-AW180</f>
        <v>1119.815668202765</v>
      </c>
      <c r="BC180" s="436"/>
      <c r="BD180" s="436"/>
      <c r="BE180" s="436"/>
      <c r="BF180" s="436"/>
      <c r="BG180" s="436"/>
      <c r="BH180" s="436"/>
      <c r="BI180" s="139"/>
      <c r="BJ180" s="139"/>
      <c r="BK180" s="139"/>
      <c r="BL180" s="139"/>
      <c r="BM180" s="139"/>
      <c r="BN180" s="139"/>
      <c r="BO180" s="139"/>
    </row>
    <row r="181" spans="45:67" ht="15" customHeight="1" x14ac:dyDescent="0.2">
      <c r="AS181" s="1603">
        <v>213</v>
      </c>
      <c r="AT181" s="1603"/>
      <c r="AU181" s="1603"/>
      <c r="AV181" s="140">
        <f>AV179*30.2/130.2</f>
        <v>375.76036866359448</v>
      </c>
      <c r="AW181" s="1604">
        <f>AW180*30.2%</f>
        <v>37.576036866359452</v>
      </c>
      <c r="AX181" s="1604"/>
      <c r="AY181" s="1604"/>
      <c r="AZ181" s="1604"/>
      <c r="BA181" s="1604"/>
      <c r="BB181" s="1604">
        <f>BB180*30.2%</f>
        <v>338.18433179723502</v>
      </c>
      <c r="BC181" s="1604"/>
      <c r="BD181" s="1604"/>
      <c r="BE181" s="1604"/>
      <c r="BF181" s="1604"/>
      <c r="BG181" s="1604"/>
      <c r="BH181" s="1604"/>
      <c r="BI181" s="139"/>
      <c r="BJ181" s="139"/>
      <c r="BK181" s="139"/>
      <c r="BL181" s="139"/>
      <c r="BM181" s="139"/>
      <c r="BN181" s="139"/>
      <c r="BO181" s="139"/>
    </row>
    <row r="183" spans="45:67" ht="15" customHeight="1" x14ac:dyDescent="0.2">
      <c r="AS183" s="1603" t="s">
        <v>303</v>
      </c>
      <c r="AT183" s="1603"/>
      <c r="AU183" s="1603"/>
      <c r="AV183" s="1603"/>
      <c r="AW183" s="1603"/>
      <c r="AX183" s="1603"/>
      <c r="AY183" s="1603"/>
      <c r="AZ183" s="1603"/>
      <c r="BA183" s="1603"/>
      <c r="BB183" s="1603"/>
      <c r="BC183" s="1603"/>
      <c r="BD183" s="1603"/>
      <c r="BE183" s="1603"/>
      <c r="BF183" s="1603"/>
      <c r="BG183" s="1603"/>
      <c r="BH183" s="1603"/>
      <c r="BI183" s="1603"/>
      <c r="BJ183" s="1603"/>
      <c r="BK183" s="1603"/>
      <c r="BL183" s="1603"/>
      <c r="BM183" s="1603"/>
      <c r="BN183" s="1603"/>
      <c r="BO183" s="1603"/>
    </row>
    <row r="184" spans="45:67" ht="15" customHeight="1" x14ac:dyDescent="0.2">
      <c r="AS184" s="1603" t="s">
        <v>126</v>
      </c>
      <c r="AT184" s="1603"/>
      <c r="AU184" s="1603"/>
      <c r="AV184" s="1605">
        <f>300*0</f>
        <v>0</v>
      </c>
      <c r="AW184" s="1605"/>
      <c r="AX184" s="1605"/>
      <c r="AY184" s="1605"/>
      <c r="AZ184" s="1605"/>
      <c r="BA184" s="138" t="s">
        <v>127</v>
      </c>
      <c r="BB184" s="138"/>
      <c r="BC184" s="138"/>
      <c r="BD184" s="138"/>
      <c r="BE184" s="138"/>
      <c r="BF184" s="138"/>
      <c r="BG184" s="138"/>
      <c r="BH184" s="138"/>
      <c r="BI184" s="139"/>
      <c r="BJ184" s="139"/>
      <c r="BK184" s="139"/>
      <c r="BL184" s="139"/>
      <c r="BM184" s="139"/>
      <c r="BN184" s="139"/>
      <c r="BO184" s="139"/>
    </row>
    <row r="185" spans="45:67" ht="15" customHeight="1" x14ac:dyDescent="0.2">
      <c r="AS185" s="1606">
        <v>0.6</v>
      </c>
      <c r="AT185" s="1606"/>
      <c r="AU185" s="1606"/>
      <c r="AV185" s="140">
        <f>AV184*AS185</f>
        <v>0</v>
      </c>
      <c r="AW185" s="1603" t="s">
        <v>128</v>
      </c>
      <c r="AX185" s="1603"/>
      <c r="AY185" s="1603"/>
      <c r="AZ185" s="1603"/>
      <c r="BA185" s="1603"/>
      <c r="BB185" s="1603" t="s">
        <v>129</v>
      </c>
      <c r="BC185" s="1603"/>
      <c r="BD185" s="1603"/>
      <c r="BE185" s="1603"/>
      <c r="BF185" s="1603"/>
      <c r="BG185" s="1603"/>
      <c r="BH185" s="1603"/>
      <c r="BI185" s="139"/>
      <c r="BJ185" s="139"/>
      <c r="BK185" s="139"/>
      <c r="BL185" s="139"/>
      <c r="BM185" s="139"/>
      <c r="BN185" s="139"/>
      <c r="BO185" s="139"/>
    </row>
    <row r="186" spans="45:67" ht="15" customHeight="1" x14ac:dyDescent="0.2">
      <c r="AS186" s="1603">
        <v>211</v>
      </c>
      <c r="AT186" s="1603"/>
      <c r="AU186" s="1603"/>
      <c r="AV186" s="140">
        <f>AV185-AV187</f>
        <v>0</v>
      </c>
      <c r="AW186" s="436">
        <f>AV186*0.1</f>
        <v>0</v>
      </c>
      <c r="AX186" s="436"/>
      <c r="AY186" s="436"/>
      <c r="AZ186" s="436"/>
      <c r="BA186" s="436"/>
      <c r="BB186" s="436">
        <f>AV186-AW186</f>
        <v>0</v>
      </c>
      <c r="BC186" s="436"/>
      <c r="BD186" s="436"/>
      <c r="BE186" s="436"/>
      <c r="BF186" s="436"/>
      <c r="BG186" s="436"/>
      <c r="BH186" s="436"/>
      <c r="BI186" s="139"/>
      <c r="BJ186" s="139"/>
      <c r="BK186" s="139"/>
      <c r="BL186" s="139"/>
      <c r="BM186" s="139"/>
      <c r="BN186" s="139"/>
      <c r="BO186" s="139"/>
    </row>
    <row r="187" spans="45:67" ht="15" customHeight="1" x14ac:dyDescent="0.2">
      <c r="AS187" s="1603">
        <v>213</v>
      </c>
      <c r="AT187" s="1603"/>
      <c r="AU187" s="1603"/>
      <c r="AV187" s="140">
        <f>AV185*30.2/130.2</f>
        <v>0</v>
      </c>
      <c r="AW187" s="1604">
        <f>AW186*30.2%</f>
        <v>0</v>
      </c>
      <c r="AX187" s="1604"/>
      <c r="AY187" s="1604"/>
      <c r="AZ187" s="1604"/>
      <c r="BA187" s="1604"/>
      <c r="BB187" s="1604">
        <f>BB186*30.2%</f>
        <v>0</v>
      </c>
      <c r="BC187" s="1604"/>
      <c r="BD187" s="1604"/>
      <c r="BE187" s="1604"/>
      <c r="BF187" s="1604"/>
      <c r="BG187" s="1604"/>
      <c r="BH187" s="1604"/>
      <c r="BI187" s="139"/>
      <c r="BJ187" s="139"/>
      <c r="BK187" s="139"/>
      <c r="BL187" s="139"/>
      <c r="BM187" s="139"/>
      <c r="BN187" s="139"/>
      <c r="BO187" s="139"/>
    </row>
  </sheetData>
  <mergeCells count="446">
    <mergeCell ref="AS169:AU169"/>
    <mergeCell ref="AW169:BA169"/>
    <mergeCell ref="BB169:BH169"/>
    <mergeCell ref="AS165:BO165"/>
    <mergeCell ref="AS166:AU166"/>
    <mergeCell ref="AV166:AZ166"/>
    <mergeCell ref="AS167:AU167"/>
    <mergeCell ref="AW167:BA167"/>
    <mergeCell ref="BB167:BH167"/>
    <mergeCell ref="AS168:AU168"/>
    <mergeCell ref="AW168:BA168"/>
    <mergeCell ref="BB168:BH168"/>
    <mergeCell ref="B153:S153"/>
    <mergeCell ref="BC153:BD153"/>
    <mergeCell ref="B154:S155"/>
    <mergeCell ref="AM154:BC155"/>
    <mergeCell ref="AS158:BO158"/>
    <mergeCell ref="A150:G150"/>
    <mergeCell ref="H150:L150"/>
    <mergeCell ref="M150:Q150"/>
    <mergeCell ref="R150:U150"/>
    <mergeCell ref="V150:Y150"/>
    <mergeCell ref="Z150:AC150"/>
    <mergeCell ref="AD150:AI150"/>
    <mergeCell ref="AJ150:AP150"/>
    <mergeCell ref="AS162:AU162"/>
    <mergeCell ref="AD148:AI148"/>
    <mergeCell ref="AJ148:AP148"/>
    <mergeCell ref="AQ148:BB148"/>
    <mergeCell ref="AJ149:AP149"/>
    <mergeCell ref="AQ149:BB149"/>
    <mergeCell ref="AW162:BA162"/>
    <mergeCell ref="BB162:BH162"/>
    <mergeCell ref="AS159:AU159"/>
    <mergeCell ref="AV159:AZ159"/>
    <mergeCell ref="AS160:AU160"/>
    <mergeCell ref="AW160:BA160"/>
    <mergeCell ref="BB160:BH160"/>
    <mergeCell ref="AS161:AU161"/>
    <mergeCell ref="AW161:BA161"/>
    <mergeCell ref="BB161:BH161"/>
    <mergeCell ref="AQ150:BB150"/>
    <mergeCell ref="A149:F149"/>
    <mergeCell ref="H149:L149"/>
    <mergeCell ref="M149:Q149"/>
    <mergeCell ref="R149:U149"/>
    <mergeCell ref="V149:Y149"/>
    <mergeCell ref="Z149:AC149"/>
    <mergeCell ref="AD149:AI149"/>
    <mergeCell ref="A148:G148"/>
    <mergeCell ref="H148:L148"/>
    <mergeCell ref="M148:Q148"/>
    <mergeCell ref="R148:U148"/>
    <mergeCell ref="V148:Y148"/>
    <mergeCell ref="Z148:AC148"/>
    <mergeCell ref="A147:G147"/>
    <mergeCell ref="H147:L147"/>
    <mergeCell ref="M147:Q147"/>
    <mergeCell ref="AD147:AI147"/>
    <mergeCell ref="AJ147:AP147"/>
    <mergeCell ref="AQ147:BB147"/>
    <mergeCell ref="A146:G146"/>
    <mergeCell ref="H146:L146"/>
    <mergeCell ref="M146:Q146"/>
    <mergeCell ref="AD146:AI146"/>
    <mergeCell ref="AJ146:AP146"/>
    <mergeCell ref="AQ146:BB146"/>
    <mergeCell ref="AJ144:AP144"/>
    <mergeCell ref="AQ144:BB144"/>
    <mergeCell ref="A145:G145"/>
    <mergeCell ref="H145:L145"/>
    <mergeCell ref="M145:Q145"/>
    <mergeCell ref="AD145:AI145"/>
    <mergeCell ref="AJ145:AP145"/>
    <mergeCell ref="AQ145:BB145"/>
    <mergeCell ref="AD143:AI143"/>
    <mergeCell ref="AJ143:AP143"/>
    <mergeCell ref="AQ143:BB143"/>
    <mergeCell ref="A144:G144"/>
    <mergeCell ref="H144:L144"/>
    <mergeCell ref="M144:Q144"/>
    <mergeCell ref="R144:U147"/>
    <mergeCell ref="V144:Y147"/>
    <mergeCell ref="Z144:AC147"/>
    <mergeCell ref="AD144:AI144"/>
    <mergeCell ref="A143:G143"/>
    <mergeCell ref="H143:L143"/>
    <mergeCell ref="M143:Q143"/>
    <mergeCell ref="R143:U143"/>
    <mergeCell ref="V143:Y143"/>
    <mergeCell ref="Z143:AC143"/>
    <mergeCell ref="AD141:AP141"/>
    <mergeCell ref="AQ141:BB141"/>
    <mergeCell ref="H142:L142"/>
    <mergeCell ref="M142:Q142"/>
    <mergeCell ref="AD142:AI142"/>
    <mergeCell ref="AJ142:AP142"/>
    <mergeCell ref="AQ142:BB142"/>
    <mergeCell ref="A141:G142"/>
    <mergeCell ref="H141:L141"/>
    <mergeCell ref="M141:Q141"/>
    <mergeCell ref="R141:U142"/>
    <mergeCell ref="V141:Y142"/>
    <mergeCell ref="Z141:AC142"/>
    <mergeCell ref="A137:Z137"/>
    <mergeCell ref="AA137:AF137"/>
    <mergeCell ref="AG137:AL137"/>
    <mergeCell ref="AM137:AT137"/>
    <mergeCell ref="AU137:BB137"/>
    <mergeCell ref="A134:Z134"/>
    <mergeCell ref="AA134:AF134"/>
    <mergeCell ref="AU134:BB134"/>
    <mergeCell ref="A135:Z135"/>
    <mergeCell ref="AA135:AF135"/>
    <mergeCell ref="AU135:BB135"/>
    <mergeCell ref="A132:Z132"/>
    <mergeCell ref="AA132:AF132"/>
    <mergeCell ref="AU132:BB132"/>
    <mergeCell ref="A133:Z133"/>
    <mergeCell ref="AA133:AF133"/>
    <mergeCell ref="AU133:BB133"/>
    <mergeCell ref="A130:Z130"/>
    <mergeCell ref="AA130:AF130"/>
    <mergeCell ref="AG130:AL130"/>
    <mergeCell ref="AM130:AT130"/>
    <mergeCell ref="AU130:BB130"/>
    <mergeCell ref="A131:Z131"/>
    <mergeCell ref="AA131:AF131"/>
    <mergeCell ref="AG131:AL136"/>
    <mergeCell ref="AM131:AT136"/>
    <mergeCell ref="AU131:BB131"/>
    <mergeCell ref="A136:Z136"/>
    <mergeCell ref="AA136:AF136"/>
    <mergeCell ref="AU136:BB136"/>
    <mergeCell ref="A125:Z125"/>
    <mergeCell ref="AA125:AF125"/>
    <mergeCell ref="AG125:AL125"/>
    <mergeCell ref="AM125:AT125"/>
    <mergeCell ref="AU125:BB125"/>
    <mergeCell ref="A129:Z129"/>
    <mergeCell ref="AA129:AF129"/>
    <mergeCell ref="AG129:AL129"/>
    <mergeCell ref="AM129:AT129"/>
    <mergeCell ref="AU129:BB129"/>
    <mergeCell ref="A123:Z123"/>
    <mergeCell ref="AA123:AF123"/>
    <mergeCell ref="AU123:BB123"/>
    <mergeCell ref="A124:Z124"/>
    <mergeCell ref="AA124:AF124"/>
    <mergeCell ref="AU124:BB124"/>
    <mergeCell ref="A121:Z121"/>
    <mergeCell ref="AA121:AF121"/>
    <mergeCell ref="AU121:BB121"/>
    <mergeCell ref="A122:Z122"/>
    <mergeCell ref="AA122:AF122"/>
    <mergeCell ref="AU122:BB122"/>
    <mergeCell ref="A119:Z119"/>
    <mergeCell ref="AA119:AF119"/>
    <mergeCell ref="AU119:BB119"/>
    <mergeCell ref="A120:Z120"/>
    <mergeCell ref="AA120:AF120"/>
    <mergeCell ref="AU120:BB120"/>
    <mergeCell ref="A117:Z117"/>
    <mergeCell ref="AA117:AF117"/>
    <mergeCell ref="AU117:BB117"/>
    <mergeCell ref="A118:Z118"/>
    <mergeCell ref="AA118:AF118"/>
    <mergeCell ref="AU118:BB118"/>
    <mergeCell ref="AU110:BB110"/>
    <mergeCell ref="A115:Z115"/>
    <mergeCell ref="AA115:AF115"/>
    <mergeCell ref="AU115:BB115"/>
    <mergeCell ref="A116:Z116"/>
    <mergeCell ref="AA116:AF116"/>
    <mergeCell ref="AU116:BB116"/>
    <mergeCell ref="A113:Z113"/>
    <mergeCell ref="AA113:AF113"/>
    <mergeCell ref="AU113:BB113"/>
    <mergeCell ref="A114:Z114"/>
    <mergeCell ref="AA114:AF114"/>
    <mergeCell ref="AU114:BB114"/>
    <mergeCell ref="A108:Z108"/>
    <mergeCell ref="AA108:AF108"/>
    <mergeCell ref="AU108:BB108"/>
    <mergeCell ref="A104:Z104"/>
    <mergeCell ref="AA104:AF104"/>
    <mergeCell ref="AG104:AL124"/>
    <mergeCell ref="AM104:AT124"/>
    <mergeCell ref="AU104:BB104"/>
    <mergeCell ref="A105:Z105"/>
    <mergeCell ref="AA105:AF105"/>
    <mergeCell ref="AU105:BB105"/>
    <mergeCell ref="A106:Z106"/>
    <mergeCell ref="AA106:AF106"/>
    <mergeCell ref="A111:Z111"/>
    <mergeCell ref="AA111:AF111"/>
    <mergeCell ref="AU111:BB111"/>
    <mergeCell ref="A112:Z112"/>
    <mergeCell ref="AA112:AF112"/>
    <mergeCell ref="AU112:BB112"/>
    <mergeCell ref="A109:Z109"/>
    <mergeCell ref="AA109:AF109"/>
    <mergeCell ref="AU109:BB109"/>
    <mergeCell ref="A110:Z110"/>
    <mergeCell ref="AA110:AF110"/>
    <mergeCell ref="A103:Z103"/>
    <mergeCell ref="AA103:AF103"/>
    <mergeCell ref="AG103:AL103"/>
    <mergeCell ref="AM103:AT103"/>
    <mergeCell ref="AU103:BB103"/>
    <mergeCell ref="AU106:BB106"/>
    <mergeCell ref="A107:Z107"/>
    <mergeCell ref="AA107:AF107"/>
    <mergeCell ref="AU107:BB107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O84:AR84"/>
    <mergeCell ref="AS84:AW84"/>
    <mergeCell ref="AX84:BB84"/>
    <mergeCell ref="A86:N86"/>
    <mergeCell ref="O86:AN86"/>
    <mergeCell ref="AO86:AU86"/>
    <mergeCell ref="AV86:BB86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X78:BB82"/>
    <mergeCell ref="H79:M79"/>
    <mergeCell ref="N79:P79"/>
    <mergeCell ref="R79:V79"/>
    <mergeCell ref="I81:K81"/>
    <mergeCell ref="M81:O81"/>
    <mergeCell ref="Q81:S81"/>
    <mergeCell ref="AS83:AW83"/>
    <mergeCell ref="AX83:BB83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AX73:BB77"/>
    <mergeCell ref="H74:M74"/>
    <mergeCell ref="N74:P74"/>
    <mergeCell ref="R74:V74"/>
    <mergeCell ref="I76:K76"/>
    <mergeCell ref="AH68:AM72"/>
    <mergeCell ref="AN68:AR72"/>
    <mergeCell ref="AS68:AW72"/>
    <mergeCell ref="AX68:BB72"/>
    <mergeCell ref="H69:M69"/>
    <mergeCell ref="N69:P69"/>
    <mergeCell ref="R69:V69"/>
    <mergeCell ref="I71:K71"/>
    <mergeCell ref="M71:O71"/>
    <mergeCell ref="Q71:S71"/>
    <mergeCell ref="M76:O76"/>
    <mergeCell ref="Q76:S76"/>
    <mergeCell ref="U76:W76"/>
    <mergeCell ref="Z76:AB76"/>
    <mergeCell ref="A68:G72"/>
    <mergeCell ref="AC68:AG72"/>
    <mergeCell ref="U71:W71"/>
    <mergeCell ref="Z71:AB71"/>
    <mergeCell ref="A63:G67"/>
    <mergeCell ref="AC63:AG67"/>
    <mergeCell ref="AH73:AM77"/>
    <mergeCell ref="AN73:AR77"/>
    <mergeCell ref="AS73:AW77"/>
    <mergeCell ref="AH63:AM67"/>
    <mergeCell ref="AN63:AR67"/>
    <mergeCell ref="AS63:AW67"/>
    <mergeCell ref="AX63:BB67"/>
    <mergeCell ref="H64:M64"/>
    <mergeCell ref="N64:P64"/>
    <mergeCell ref="R64:V64"/>
    <mergeCell ref="I66:K66"/>
    <mergeCell ref="R59:V59"/>
    <mergeCell ref="I61:K61"/>
    <mergeCell ref="M61:O61"/>
    <mergeCell ref="Q61:S61"/>
    <mergeCell ref="U61:W61"/>
    <mergeCell ref="Z61:AB61"/>
    <mergeCell ref="M66:O66"/>
    <mergeCell ref="Q66:S66"/>
    <mergeCell ref="U66:W66"/>
    <mergeCell ref="Z66:AB66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H51:K51"/>
    <mergeCell ref="AS51:AW51"/>
    <mergeCell ref="AX51:BB51"/>
    <mergeCell ref="AO52:AR52"/>
    <mergeCell ref="AS52:AW52"/>
    <mergeCell ref="AX52:BB52"/>
    <mergeCell ref="AX41:BB50"/>
    <mergeCell ref="AX37:BB39"/>
    <mergeCell ref="A40:BB40"/>
    <mergeCell ref="A37:G39"/>
    <mergeCell ref="H37:AB39"/>
    <mergeCell ref="AC37:AG39"/>
    <mergeCell ref="AH37:AM39"/>
    <mergeCell ref="AN37:AR39"/>
    <mergeCell ref="AS37:AW39"/>
    <mergeCell ref="A41:G50"/>
    <mergeCell ref="H41:Y50"/>
    <mergeCell ref="Z41:AB50"/>
    <mergeCell ref="AC41:AG50"/>
    <mergeCell ref="AH41:AM50"/>
    <mergeCell ref="AN41:AR50"/>
    <mergeCell ref="AS41:AW50"/>
    <mergeCell ref="AO35:AR35"/>
    <mergeCell ref="AS35:AW35"/>
    <mergeCell ref="AX35:BB35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AX19:BB19"/>
    <mergeCell ref="A20:G22"/>
    <mergeCell ref="H20:AB22"/>
    <mergeCell ref="AC20:AG22"/>
    <mergeCell ref="AH20:AM22"/>
    <mergeCell ref="AN20:AR22"/>
    <mergeCell ref="AS20:AW22"/>
    <mergeCell ref="AX20:BB22"/>
    <mergeCell ref="H34:M34"/>
    <mergeCell ref="AS34:AW34"/>
    <mergeCell ref="AX34:BB34"/>
    <mergeCell ref="A12:S12"/>
    <mergeCell ref="U12:W12"/>
    <mergeCell ref="A14:S14"/>
    <mergeCell ref="U14:W14"/>
    <mergeCell ref="A16:S16"/>
    <mergeCell ref="U16:W16"/>
    <mergeCell ref="A7:BA7"/>
    <mergeCell ref="A8:BA8"/>
    <mergeCell ref="C10:E10"/>
    <mergeCell ref="G10:L10"/>
    <mergeCell ref="N10:Q10"/>
    <mergeCell ref="AH10:AI10"/>
    <mergeCell ref="AJ10:AL10"/>
    <mergeCell ref="AN10:AT10"/>
    <mergeCell ref="AV10:AY10"/>
    <mergeCell ref="Y16:AA16"/>
    <mergeCell ref="AS175:AU175"/>
    <mergeCell ref="AW175:BA175"/>
    <mergeCell ref="BB175:BH175"/>
    <mergeCell ref="AS171:BO171"/>
    <mergeCell ref="AS172:AU172"/>
    <mergeCell ref="AV172:AZ172"/>
    <mergeCell ref="AS173:AU173"/>
    <mergeCell ref="AW173:BA173"/>
    <mergeCell ref="BB173:BH173"/>
    <mergeCell ref="AS174:AU174"/>
    <mergeCell ref="AW174:BA174"/>
    <mergeCell ref="BB174:BH174"/>
    <mergeCell ref="AS181:AU181"/>
    <mergeCell ref="AW181:BA181"/>
    <mergeCell ref="BB181:BH181"/>
    <mergeCell ref="AS177:BO177"/>
    <mergeCell ref="AS178:AU178"/>
    <mergeCell ref="AV178:AZ178"/>
    <mergeCell ref="AS179:AU179"/>
    <mergeCell ref="AW179:BA179"/>
    <mergeCell ref="BB179:BH179"/>
    <mergeCell ref="AS180:AU180"/>
    <mergeCell ref="AW180:BA180"/>
    <mergeCell ref="BB180:BH180"/>
    <mergeCell ref="AS187:AU187"/>
    <mergeCell ref="AW187:BA187"/>
    <mergeCell ref="BB187:BH187"/>
    <mergeCell ref="AS183:BO183"/>
    <mergeCell ref="AS184:AU184"/>
    <mergeCell ref="AV184:AZ184"/>
    <mergeCell ref="AS185:AU185"/>
    <mergeCell ref="AW185:BA185"/>
    <mergeCell ref="BB185:BH185"/>
    <mergeCell ref="AS186:AU186"/>
    <mergeCell ref="AW186:BA186"/>
    <mergeCell ref="BB186:BH186"/>
  </mergeCells>
  <pageMargins left="0" right="0" top="0" bottom="0" header="0.31496062992125984" footer="0.31496062992125984"/>
  <pageSetup paperSize="9" scale="75" fitToHeight="0" orientation="portrait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9"/>
  <sheetViews>
    <sheetView topLeftCell="A4" workbookViewId="0">
      <selection activeCell="N17" sqref="N17"/>
    </sheetView>
  </sheetViews>
  <sheetFormatPr defaultColWidth="9.140625" defaultRowHeight="15" x14ac:dyDescent="0.25"/>
  <cols>
    <col min="1" max="1" width="4.85546875" style="144" customWidth="1"/>
    <col min="2" max="2" width="24.28515625" style="144" customWidth="1"/>
    <col min="3" max="3" width="14.5703125" style="144" customWidth="1"/>
    <col min="4" max="4" width="14.7109375" style="144" customWidth="1"/>
    <col min="5" max="5" width="12.85546875" style="144" customWidth="1"/>
    <col min="6" max="6" width="12.7109375" style="144" customWidth="1"/>
    <col min="7" max="7" width="10.85546875" style="144" customWidth="1"/>
    <col min="8" max="8" width="17.5703125" style="144" customWidth="1"/>
    <col min="9" max="9" width="22.5703125" style="144" customWidth="1"/>
    <col min="10" max="10" width="13.140625" style="152" customWidth="1"/>
    <col min="11" max="11" width="11.140625" style="144" customWidth="1"/>
    <col min="12" max="12" width="9.140625" style="144" customWidth="1"/>
    <col min="13" max="13" width="10.28515625" style="144" customWidth="1"/>
    <col min="14" max="14" width="11.42578125" style="144" customWidth="1"/>
    <col min="15" max="15" width="10.42578125" style="144" customWidth="1"/>
    <col min="16" max="16384" width="9.140625" style="144"/>
  </cols>
  <sheetData>
    <row r="1" spans="1:15" x14ac:dyDescent="0.25">
      <c r="A1" s="1650" t="s">
        <v>249</v>
      </c>
      <c r="B1" s="1650"/>
      <c r="C1" s="1650"/>
      <c r="D1" s="1650"/>
      <c r="E1" s="1650"/>
      <c r="F1" s="1650"/>
      <c r="G1" s="1650"/>
      <c r="H1" s="1650"/>
      <c r="I1" s="1650"/>
      <c r="J1" s="1650"/>
    </row>
    <row r="2" spans="1:15" ht="15" customHeight="1" x14ac:dyDescent="0.25">
      <c r="A2" s="1651" t="s">
        <v>250</v>
      </c>
      <c r="B2" s="1651" t="s">
        <v>251</v>
      </c>
      <c r="C2" s="1651" t="s">
        <v>252</v>
      </c>
      <c r="D2" s="1653" t="s">
        <v>253</v>
      </c>
      <c r="E2" s="1653"/>
      <c r="F2" s="1651" t="s">
        <v>254</v>
      </c>
      <c r="G2" s="1651" t="s">
        <v>255</v>
      </c>
      <c r="H2" s="1651" t="s">
        <v>256</v>
      </c>
      <c r="I2" s="1651" t="s">
        <v>257</v>
      </c>
      <c r="J2" s="1654" t="s">
        <v>258</v>
      </c>
      <c r="K2" s="1649" t="s">
        <v>259</v>
      </c>
    </row>
    <row r="3" spans="1:15" ht="30" customHeight="1" x14ac:dyDescent="0.25">
      <c r="A3" s="1652"/>
      <c r="B3" s="1652"/>
      <c r="C3" s="1652"/>
      <c r="D3" s="145" t="s">
        <v>260</v>
      </c>
      <c r="E3" s="145" t="s">
        <v>261</v>
      </c>
      <c r="F3" s="1652"/>
      <c r="G3" s="1652"/>
      <c r="H3" s="1652"/>
      <c r="I3" s="1652"/>
      <c r="J3" s="1655"/>
      <c r="K3" s="1649"/>
    </row>
    <row r="4" spans="1:15" x14ac:dyDescent="0.25">
      <c r="A4" s="1641">
        <v>1</v>
      </c>
      <c r="B4" s="1639" t="s">
        <v>262</v>
      </c>
      <c r="C4" s="1643">
        <f>280*0.6/1.302</f>
        <v>129.03225806451613</v>
      </c>
      <c r="D4" s="1643">
        <f>C4-E4</f>
        <v>83.870967741935488</v>
      </c>
      <c r="E4" s="1645">
        <f>C4*0.35</f>
        <v>45.161290322580641</v>
      </c>
      <c r="F4" s="1641">
        <v>30</v>
      </c>
      <c r="G4" s="1656">
        <v>36</v>
      </c>
      <c r="H4" s="146" t="s">
        <v>265</v>
      </c>
      <c r="I4" s="146"/>
      <c r="J4" s="147">
        <f>83.87*F4*G4</f>
        <v>90579.6</v>
      </c>
      <c r="K4" s="148">
        <f>J4*0.13</f>
        <v>11775.348000000002</v>
      </c>
      <c r="M4" s="153"/>
    </row>
    <row r="5" spans="1:15" x14ac:dyDescent="0.25">
      <c r="A5" s="1642"/>
      <c r="B5" s="1640"/>
      <c r="C5" s="1644"/>
      <c r="D5" s="1644"/>
      <c r="E5" s="1646"/>
      <c r="F5" s="1642"/>
      <c r="G5" s="1657"/>
      <c r="H5" s="146"/>
      <c r="I5" s="146" t="s">
        <v>222</v>
      </c>
      <c r="J5" s="147">
        <f>45.16*F4*G4</f>
        <v>48772.799999999996</v>
      </c>
      <c r="K5" s="148">
        <f>J5*0.13</f>
        <v>6340.4639999999999</v>
      </c>
    </row>
    <row r="6" spans="1:15" s="149" customFormat="1" x14ac:dyDescent="0.25">
      <c r="A6" s="1638">
        <v>2</v>
      </c>
      <c r="B6" s="1647" t="s">
        <v>263</v>
      </c>
      <c r="C6" s="1648">
        <f>250*0.6/1.302</f>
        <v>115.2073732718894</v>
      </c>
      <c r="D6" s="1648">
        <f>C6-E6</f>
        <v>92.165898617511516</v>
      </c>
      <c r="E6" s="1648">
        <f>C6*0.2</f>
        <v>23.041474654377879</v>
      </c>
      <c r="F6" s="1638">
        <v>30</v>
      </c>
      <c r="G6" s="1658">
        <v>36</v>
      </c>
      <c r="H6" s="146" t="s">
        <v>264</v>
      </c>
      <c r="I6" s="146"/>
      <c r="J6" s="147">
        <f>92.17*F6*G6</f>
        <v>99543.599999999991</v>
      </c>
      <c r="K6" s="148">
        <f t="shared" ref="K6" si="0">J6*0.13</f>
        <v>12940.668</v>
      </c>
      <c r="M6" s="154"/>
      <c r="N6" s="149" t="s">
        <v>267</v>
      </c>
    </row>
    <row r="7" spans="1:15" s="149" customFormat="1" x14ac:dyDescent="0.25">
      <c r="A7" s="1638"/>
      <c r="B7" s="1647"/>
      <c r="C7" s="1648"/>
      <c r="D7" s="1648"/>
      <c r="E7" s="1648"/>
      <c r="F7" s="1638"/>
      <c r="G7" s="1658"/>
      <c r="H7" s="146"/>
      <c r="I7" s="146" t="s">
        <v>222</v>
      </c>
      <c r="J7" s="147">
        <f>23.04*F6*G6</f>
        <v>24883.199999999997</v>
      </c>
      <c r="K7" s="148">
        <f>J7*0.13</f>
        <v>3234.8159999999998</v>
      </c>
      <c r="N7" s="149">
        <v>203.63</v>
      </c>
      <c r="O7" s="150">
        <f>N7*1000</f>
        <v>203630</v>
      </c>
    </row>
    <row r="8" spans="1:15" s="149" customFormat="1" x14ac:dyDescent="0.25">
      <c r="J8" s="150"/>
    </row>
    <row r="9" spans="1:15" x14ac:dyDescent="0.25">
      <c r="I9" s="146" t="s">
        <v>222</v>
      </c>
      <c r="J9" s="147">
        <f>J5+J7</f>
        <v>73656</v>
      </c>
      <c r="K9" s="148">
        <f>K5+K7</f>
        <v>9575.2799999999988</v>
      </c>
      <c r="L9" s="144">
        <v>32012.5</v>
      </c>
    </row>
    <row r="10" spans="1:15" x14ac:dyDescent="0.25">
      <c r="I10" s="146"/>
      <c r="J10" s="147"/>
      <c r="K10" s="151"/>
    </row>
    <row r="11" spans="1:15" x14ac:dyDescent="0.25">
      <c r="I11" s="146"/>
      <c r="J11" s="147"/>
      <c r="K11" s="148"/>
      <c r="L11" s="144">
        <v>15611.25</v>
      </c>
    </row>
    <row r="15" spans="1:15" x14ac:dyDescent="0.25">
      <c r="J15" s="152">
        <f>J4+J6</f>
        <v>190123.2</v>
      </c>
      <c r="M15" s="152"/>
      <c r="O15" s="152">
        <f>J15-O7</f>
        <v>-13506.799999999988</v>
      </c>
    </row>
    <row r="16" spans="1:15" x14ac:dyDescent="0.25">
      <c r="B16" s="1639" t="s">
        <v>262</v>
      </c>
    </row>
    <row r="17" spans="2:14" x14ac:dyDescent="0.25">
      <c r="B17" s="1640"/>
      <c r="J17" s="152">
        <v>244429.2</v>
      </c>
      <c r="M17" s="152">
        <f>O7-J15</f>
        <v>13506.799999999988</v>
      </c>
      <c r="N17" s="144" t="s">
        <v>269</v>
      </c>
    </row>
    <row r="18" spans="2:14" x14ac:dyDescent="0.25">
      <c r="B18" s="1647" t="s">
        <v>263</v>
      </c>
    </row>
    <row r="19" spans="2:14" x14ac:dyDescent="0.25">
      <c r="B19" s="1647"/>
    </row>
  </sheetData>
  <mergeCells count="27">
    <mergeCell ref="B16:B17"/>
    <mergeCell ref="B18:B19"/>
    <mergeCell ref="K2:K3"/>
    <mergeCell ref="A1:J1"/>
    <mergeCell ref="A2:A3"/>
    <mergeCell ref="B2:B3"/>
    <mergeCell ref="C2:C3"/>
    <mergeCell ref="D2:E2"/>
    <mergeCell ref="F2:F3"/>
    <mergeCell ref="G2:G3"/>
    <mergeCell ref="H2:H3"/>
    <mergeCell ref="I2:I3"/>
    <mergeCell ref="J2:J3"/>
    <mergeCell ref="F4:F5"/>
    <mergeCell ref="G4:G5"/>
    <mergeCell ref="G6:G7"/>
    <mergeCell ref="F6:F7"/>
    <mergeCell ref="B4:B5"/>
    <mergeCell ref="A4:A5"/>
    <mergeCell ref="C4:C5"/>
    <mergeCell ref="D4:D5"/>
    <mergeCell ref="E4:E5"/>
    <mergeCell ref="A6:A7"/>
    <mergeCell ref="B6:B7"/>
    <mergeCell ref="C6:C7"/>
    <mergeCell ref="D6:D7"/>
    <mergeCell ref="E6:E7"/>
  </mergeCells>
  <pageMargins left="0.11811023622047245" right="0.11811023622047245" top="0.74803149606299213" bottom="0.74803149606299213" header="0.31496062992125984" footer="0.31496062992125984"/>
  <pageSetup paperSize="9" scale="9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workbookViewId="0">
      <selection activeCell="M28" sqref="M28"/>
    </sheetView>
  </sheetViews>
  <sheetFormatPr defaultRowHeight="15" x14ac:dyDescent="0.25"/>
  <cols>
    <col min="2" max="2" width="16.85546875" customWidth="1"/>
    <col min="3" max="3" width="11.140625" customWidth="1"/>
    <col min="4" max="4" width="15.140625" customWidth="1"/>
    <col min="5" max="5" width="15.5703125" customWidth="1"/>
    <col min="8" max="8" width="17.140625" customWidth="1"/>
    <col min="9" max="9" width="15.42578125" customWidth="1"/>
    <col min="10" max="10" width="13" customWidth="1"/>
  </cols>
  <sheetData>
    <row r="1" spans="1:15" x14ac:dyDescent="0.25">
      <c r="A1" s="1650" t="s">
        <v>363</v>
      </c>
      <c r="B1" s="1650"/>
      <c r="C1" s="1650"/>
      <c r="D1" s="1650"/>
      <c r="E1" s="1650"/>
      <c r="F1" s="1650"/>
      <c r="G1" s="1650"/>
      <c r="H1" s="1650"/>
      <c r="I1" s="1650"/>
      <c r="J1" s="1650"/>
      <c r="K1" s="230"/>
      <c r="L1" s="230"/>
      <c r="M1" s="230"/>
      <c r="N1" s="230"/>
      <c r="O1" s="230"/>
    </row>
    <row r="2" spans="1:15" x14ac:dyDescent="0.25">
      <c r="A2" s="1651" t="s">
        <v>250</v>
      </c>
      <c r="B2" s="1651" t="s">
        <v>251</v>
      </c>
      <c r="C2" s="1651" t="s">
        <v>252</v>
      </c>
      <c r="D2" s="1653" t="s">
        <v>253</v>
      </c>
      <c r="E2" s="1653"/>
      <c r="F2" s="1651" t="s">
        <v>254</v>
      </c>
      <c r="G2" s="1651" t="s">
        <v>255</v>
      </c>
      <c r="H2" s="1651" t="s">
        <v>256</v>
      </c>
      <c r="I2" s="1651" t="s">
        <v>257</v>
      </c>
      <c r="J2" s="1654" t="s">
        <v>258</v>
      </c>
      <c r="K2" s="1649" t="s">
        <v>259</v>
      </c>
      <c r="L2" s="230"/>
      <c r="M2" s="230"/>
      <c r="N2" s="230"/>
      <c r="O2" s="230"/>
    </row>
    <row r="3" spans="1:15" ht="61.5" customHeight="1" x14ac:dyDescent="0.25">
      <c r="A3" s="1652"/>
      <c r="B3" s="1652"/>
      <c r="C3" s="1652"/>
      <c r="D3" s="231" t="s">
        <v>260</v>
      </c>
      <c r="E3" s="231" t="s">
        <v>261</v>
      </c>
      <c r="F3" s="1652"/>
      <c r="G3" s="1652"/>
      <c r="H3" s="1652"/>
      <c r="I3" s="1652"/>
      <c r="J3" s="1655"/>
      <c r="K3" s="1649"/>
      <c r="L3" s="230"/>
      <c r="M3" s="230"/>
      <c r="N3" s="230"/>
      <c r="O3" s="230"/>
    </row>
    <row r="4" spans="1:15" x14ac:dyDescent="0.25">
      <c r="A4" s="1641">
        <v>1</v>
      </c>
      <c r="B4" s="1639" t="s">
        <v>262</v>
      </c>
      <c r="C4" s="1643">
        <f>280*0.6/1.302</f>
        <v>129.03225806451613</v>
      </c>
      <c r="D4" s="1643">
        <f>C4-E4</f>
        <v>103.2258064516129</v>
      </c>
      <c r="E4" s="1645">
        <f>C4*0.2</f>
        <v>25.806451612903228</v>
      </c>
      <c r="F4" s="1641">
        <v>18</v>
      </c>
      <c r="G4" s="1656">
        <v>36</v>
      </c>
      <c r="H4" s="146" t="s">
        <v>265</v>
      </c>
      <c r="I4" s="146"/>
      <c r="J4" s="147">
        <f>83.87*F4*G4</f>
        <v>54347.76</v>
      </c>
      <c r="K4" s="148">
        <f>J4*0.13</f>
        <v>7065.2088000000003</v>
      </c>
      <c r="L4" s="230"/>
      <c r="M4" s="153"/>
      <c r="N4" s="230"/>
      <c r="O4" s="230"/>
    </row>
    <row r="5" spans="1:15" x14ac:dyDescent="0.25">
      <c r="A5" s="1642"/>
      <c r="B5" s="1640"/>
      <c r="C5" s="1644"/>
      <c r="D5" s="1644"/>
      <c r="E5" s="1646"/>
      <c r="F5" s="1642"/>
      <c r="G5" s="1657"/>
      <c r="H5" s="146"/>
      <c r="I5" s="146" t="s">
        <v>222</v>
      </c>
      <c r="J5" s="147">
        <f>45.16*F4*G4</f>
        <v>29263.679999999997</v>
      </c>
      <c r="K5" s="148">
        <f>J5*0.13</f>
        <v>3804.2783999999997</v>
      </c>
      <c r="L5" s="230"/>
      <c r="M5" s="230"/>
      <c r="N5" s="230"/>
      <c r="O5" s="230"/>
    </row>
    <row r="6" spans="1:15" x14ac:dyDescent="0.25">
      <c r="A6" s="1638">
        <v>2</v>
      </c>
      <c r="B6" s="1647" t="s">
        <v>263</v>
      </c>
      <c r="C6" s="1648">
        <f>250*0.6/1.302</f>
        <v>115.2073732718894</v>
      </c>
      <c r="D6" s="1648">
        <f>C6-E6</f>
        <v>92.165898617511516</v>
      </c>
      <c r="E6" s="1648">
        <f>C6*0.2</f>
        <v>23.041474654377879</v>
      </c>
      <c r="F6" s="1638">
        <v>11</v>
      </c>
      <c r="G6" s="1658">
        <v>36</v>
      </c>
      <c r="H6" s="146" t="s">
        <v>264</v>
      </c>
      <c r="I6" s="146"/>
      <c r="J6" s="147">
        <f>92.17*F6*G6</f>
        <v>36499.32</v>
      </c>
      <c r="K6" s="148">
        <f t="shared" ref="K6" si="0">J6*0.13</f>
        <v>4744.9116000000004</v>
      </c>
      <c r="L6" s="149"/>
      <c r="M6" s="154"/>
      <c r="N6" s="149" t="s">
        <v>267</v>
      </c>
      <c r="O6" s="149"/>
    </row>
    <row r="7" spans="1:15" x14ac:dyDescent="0.25">
      <c r="A7" s="1638"/>
      <c r="B7" s="1647"/>
      <c r="C7" s="1648"/>
      <c r="D7" s="1648"/>
      <c r="E7" s="1648"/>
      <c r="F7" s="1638"/>
      <c r="G7" s="1658"/>
      <c r="H7" s="146"/>
      <c r="I7" s="146" t="s">
        <v>222</v>
      </c>
      <c r="J7" s="147">
        <f>23.04*F6*G6</f>
        <v>9123.84</v>
      </c>
      <c r="K7" s="148">
        <f>J7*0.13</f>
        <v>1186.0992000000001</v>
      </c>
      <c r="L7" s="149"/>
      <c r="M7" s="149"/>
      <c r="N7" s="149">
        <v>203.63</v>
      </c>
      <c r="O7" s="150">
        <f>N7*1000</f>
        <v>203630</v>
      </c>
    </row>
    <row r="8" spans="1:15" x14ac:dyDescent="0.25">
      <c r="A8" s="149"/>
      <c r="B8" s="149"/>
      <c r="C8" s="149"/>
      <c r="D8" s="149"/>
      <c r="E8" s="149"/>
      <c r="F8" s="149"/>
      <c r="G8" s="149"/>
      <c r="H8" s="149"/>
      <c r="I8" s="149"/>
      <c r="J8" s="150"/>
      <c r="K8" s="149"/>
      <c r="L8" s="149"/>
      <c r="M8" s="149"/>
      <c r="N8" s="149"/>
      <c r="O8" s="149"/>
    </row>
    <row r="9" spans="1:15" x14ac:dyDescent="0.25">
      <c r="A9" s="230"/>
      <c r="B9" s="230"/>
      <c r="C9" s="230"/>
      <c r="D9" s="230"/>
      <c r="E9" s="230"/>
      <c r="F9" s="230"/>
      <c r="G9" s="230"/>
      <c r="H9" s="230"/>
      <c r="I9" s="146" t="s">
        <v>222</v>
      </c>
      <c r="J9" s="147">
        <f>J5+J7</f>
        <v>38387.519999999997</v>
      </c>
      <c r="K9" s="148">
        <f>K5+K7</f>
        <v>4990.3775999999998</v>
      </c>
      <c r="L9" s="230">
        <v>32012.5</v>
      </c>
      <c r="M9" s="230"/>
      <c r="N9" s="230"/>
      <c r="O9" s="230"/>
    </row>
    <row r="10" spans="1:15" x14ac:dyDescent="0.25">
      <c r="A10" s="230"/>
      <c r="B10" s="230"/>
      <c r="C10" s="230"/>
      <c r="D10" s="230"/>
      <c r="E10" s="230"/>
      <c r="F10" s="230"/>
      <c r="G10" s="230"/>
      <c r="H10" s="230"/>
      <c r="I10" s="146"/>
      <c r="J10" s="147"/>
      <c r="K10" s="151"/>
      <c r="L10" s="230"/>
      <c r="M10" s="230"/>
      <c r="N10" s="230"/>
      <c r="O10" s="230"/>
    </row>
    <row r="11" spans="1:15" x14ac:dyDescent="0.25">
      <c r="A11" s="230"/>
      <c r="B11" s="230"/>
      <c r="C11" s="230"/>
      <c r="D11" s="230"/>
      <c r="E11" s="230"/>
      <c r="F11" s="230"/>
      <c r="G11" s="230"/>
      <c r="H11" s="230"/>
      <c r="I11" s="146"/>
      <c r="J11" s="147"/>
      <c r="K11" s="148"/>
      <c r="L11" s="230">
        <v>15611.25</v>
      </c>
      <c r="M11" s="230"/>
      <c r="N11" s="230"/>
      <c r="O11" s="230"/>
    </row>
    <row r="12" spans="1:15" x14ac:dyDescent="0.25">
      <c r="A12" s="230"/>
      <c r="B12" s="230"/>
      <c r="C12" s="230"/>
      <c r="D12" s="230"/>
      <c r="E12" s="230"/>
      <c r="F12" s="230"/>
      <c r="G12" s="230"/>
      <c r="H12" s="230"/>
      <c r="I12" s="230"/>
      <c r="J12" s="152"/>
      <c r="K12" s="230"/>
      <c r="L12" s="230"/>
      <c r="M12" s="230"/>
      <c r="N12" s="230"/>
      <c r="O12" s="230"/>
    </row>
    <row r="13" spans="1:15" x14ac:dyDescent="0.25">
      <c r="A13" s="230"/>
      <c r="B13" s="230"/>
      <c r="C13" s="230"/>
      <c r="D13" s="230"/>
      <c r="E13" s="230"/>
      <c r="F13" s="230"/>
      <c r="G13" s="230"/>
      <c r="H13" s="230"/>
      <c r="I13" s="230"/>
      <c r="J13" s="152"/>
      <c r="K13" s="230"/>
      <c r="L13" s="230"/>
      <c r="M13" s="230"/>
      <c r="N13" s="230"/>
      <c r="O13" s="230"/>
    </row>
    <row r="14" spans="1:15" x14ac:dyDescent="0.25">
      <c r="A14" s="230"/>
      <c r="B14" s="230"/>
      <c r="C14" s="230"/>
      <c r="D14" s="230"/>
      <c r="E14" s="230"/>
      <c r="F14" s="230"/>
      <c r="G14" s="230"/>
      <c r="H14" s="230"/>
      <c r="I14" s="230"/>
      <c r="J14" s="152"/>
      <c r="K14" s="230"/>
      <c r="L14" s="230"/>
      <c r="M14" s="230"/>
      <c r="N14" s="230"/>
      <c r="O14" s="230"/>
    </row>
    <row r="15" spans="1:15" x14ac:dyDescent="0.25">
      <c r="A15" s="230"/>
      <c r="B15" s="230"/>
      <c r="C15" s="230"/>
      <c r="D15" s="230"/>
      <c r="E15" s="230"/>
      <c r="F15" s="230"/>
      <c r="G15" s="230"/>
      <c r="H15" s="230"/>
      <c r="I15" s="230"/>
      <c r="J15" s="152">
        <f>J4+J6</f>
        <v>90847.08</v>
      </c>
      <c r="K15" s="230"/>
      <c r="L15" s="230"/>
      <c r="M15" s="152"/>
      <c r="N15" s="230"/>
      <c r="O15" s="152">
        <f>J15-O7</f>
        <v>-112782.92</v>
      </c>
    </row>
    <row r="16" spans="1:15" x14ac:dyDescent="0.25">
      <c r="A16" s="230"/>
      <c r="B16" s="1639" t="s">
        <v>262</v>
      </c>
      <c r="C16" s="230"/>
      <c r="D16" s="230"/>
      <c r="E16" s="230"/>
      <c r="F16" s="230"/>
      <c r="G16" s="230"/>
      <c r="H16" s="230"/>
      <c r="I16" s="230"/>
      <c r="J16" s="152"/>
      <c r="K16" s="230"/>
      <c r="L16" s="230"/>
      <c r="M16" s="230"/>
      <c r="N16" s="230"/>
      <c r="O16" s="230"/>
    </row>
    <row r="17" spans="1:15" x14ac:dyDescent="0.25">
      <c r="A17" s="230"/>
      <c r="B17" s="1640"/>
      <c r="C17" s="230"/>
      <c r="D17" s="230"/>
      <c r="E17" s="230"/>
      <c r="F17" s="230"/>
      <c r="G17" s="230"/>
      <c r="H17" s="230"/>
      <c r="I17" s="230"/>
      <c r="J17" s="152">
        <v>244429.2</v>
      </c>
      <c r="K17" s="230"/>
      <c r="L17" s="230"/>
      <c r="M17" s="152">
        <f>O7-J15</f>
        <v>112782.92</v>
      </c>
      <c r="N17" s="230" t="s">
        <v>269</v>
      </c>
      <c r="O17" s="230"/>
    </row>
    <row r="18" spans="1:15" x14ac:dyDescent="0.25">
      <c r="A18" s="230"/>
      <c r="B18" s="1647" t="s">
        <v>263</v>
      </c>
      <c r="C18" s="230"/>
      <c r="D18" s="230"/>
      <c r="E18" s="230"/>
      <c r="F18" s="230"/>
      <c r="G18" s="230"/>
      <c r="H18" s="230"/>
      <c r="I18" s="230"/>
      <c r="J18" s="152"/>
      <c r="K18" s="230"/>
      <c r="L18" s="230"/>
      <c r="M18" s="230"/>
      <c r="N18" s="230"/>
      <c r="O18" s="230"/>
    </row>
    <row r="19" spans="1:15" x14ac:dyDescent="0.25">
      <c r="A19" s="230"/>
      <c r="B19" s="1647"/>
      <c r="C19" s="230"/>
      <c r="D19" s="230"/>
      <c r="E19" s="230"/>
      <c r="F19" s="230"/>
      <c r="G19" s="230"/>
      <c r="H19" s="230"/>
      <c r="I19" s="230"/>
      <c r="J19" s="152"/>
      <c r="K19" s="230"/>
      <c r="L19" s="230"/>
      <c r="M19" s="230"/>
      <c r="N19" s="230"/>
      <c r="O19" s="230"/>
    </row>
    <row r="20" spans="1:15" x14ac:dyDescent="0.25">
      <c r="A20" s="230"/>
      <c r="B20" s="230"/>
      <c r="C20" s="230"/>
      <c r="D20" s="230"/>
      <c r="E20" s="230"/>
      <c r="F20" s="230"/>
      <c r="G20" s="230"/>
      <c r="H20" s="230"/>
      <c r="I20" s="230"/>
      <c r="J20" s="152"/>
      <c r="K20" s="230"/>
      <c r="L20" s="230"/>
      <c r="M20" s="230"/>
      <c r="N20" s="230"/>
      <c r="O20" s="230"/>
    </row>
    <row r="21" spans="1:15" x14ac:dyDescent="0.25">
      <c r="A21" s="230"/>
      <c r="B21" s="230"/>
      <c r="C21" s="230"/>
      <c r="D21" s="230"/>
      <c r="E21" s="230"/>
      <c r="F21" s="230"/>
      <c r="G21" s="230"/>
      <c r="H21" s="230"/>
      <c r="I21" s="230"/>
      <c r="J21" s="152"/>
      <c r="K21" s="230"/>
      <c r="L21" s="230"/>
      <c r="M21" s="230"/>
      <c r="N21" s="230"/>
      <c r="O21" s="230"/>
    </row>
    <row r="22" spans="1:15" x14ac:dyDescent="0.25">
      <c r="A22" s="1650" t="s">
        <v>376</v>
      </c>
      <c r="B22" s="1650"/>
      <c r="C22" s="1650"/>
      <c r="D22" s="1650"/>
      <c r="E22" s="1650"/>
      <c r="F22" s="1650"/>
      <c r="G22" s="1650"/>
      <c r="H22" s="1650"/>
      <c r="I22" s="1650"/>
      <c r="J22" s="1650"/>
      <c r="K22" s="237"/>
      <c r="L22" s="230"/>
      <c r="M22" s="230"/>
      <c r="N22" s="230"/>
      <c r="O22" s="230"/>
    </row>
    <row r="23" spans="1:15" x14ac:dyDescent="0.25">
      <c r="A23" s="1651" t="s">
        <v>250</v>
      </c>
      <c r="B23" s="1651" t="s">
        <v>251</v>
      </c>
      <c r="C23" s="1651" t="s">
        <v>252</v>
      </c>
      <c r="D23" s="1653" t="s">
        <v>253</v>
      </c>
      <c r="E23" s="1653"/>
      <c r="F23" s="1651" t="s">
        <v>254</v>
      </c>
      <c r="G23" s="1651" t="s">
        <v>255</v>
      </c>
      <c r="H23" s="1651" t="s">
        <v>256</v>
      </c>
      <c r="I23" s="1651" t="s">
        <v>257</v>
      </c>
      <c r="J23" s="1654" t="s">
        <v>258</v>
      </c>
      <c r="K23" s="1649" t="s">
        <v>259</v>
      </c>
      <c r="L23" s="230"/>
      <c r="M23" s="230"/>
      <c r="N23" s="230"/>
      <c r="O23" s="230"/>
    </row>
    <row r="24" spans="1:15" ht="30" customHeight="1" x14ac:dyDescent="0.25">
      <c r="A24" s="1652"/>
      <c r="B24" s="1652"/>
      <c r="C24" s="1652"/>
      <c r="D24" s="238" t="s">
        <v>260</v>
      </c>
      <c r="E24" s="238" t="s">
        <v>261</v>
      </c>
      <c r="F24" s="1652"/>
      <c r="G24" s="1652"/>
      <c r="H24" s="1652"/>
      <c r="I24" s="1652"/>
      <c r="J24" s="1655"/>
      <c r="K24" s="1649"/>
    </row>
    <row r="25" spans="1:15" x14ac:dyDescent="0.25">
      <c r="A25" s="1659">
        <v>1</v>
      </c>
      <c r="B25" s="1639" t="s">
        <v>377</v>
      </c>
      <c r="C25" s="1661">
        <f>200*0.6/1.302</f>
        <v>92.165898617511516</v>
      </c>
      <c r="D25" s="1661">
        <f>C25-E25</f>
        <v>73.73271889400921</v>
      </c>
      <c r="E25" s="1663">
        <f>C25*0.2</f>
        <v>18.433179723502302</v>
      </c>
      <c r="F25" s="1665">
        <v>17</v>
      </c>
      <c r="G25" s="1667">
        <v>36</v>
      </c>
      <c r="H25" s="242" t="s">
        <v>378</v>
      </c>
      <c r="I25" s="146"/>
      <c r="J25" s="147">
        <f>83.87*F25*G25</f>
        <v>51328.44</v>
      </c>
      <c r="K25" s="148">
        <f>J25*0.13</f>
        <v>6672.6972000000005</v>
      </c>
    </row>
    <row r="26" spans="1:15" x14ac:dyDescent="0.25">
      <c r="A26" s="1660"/>
      <c r="B26" s="1640"/>
      <c r="C26" s="1662"/>
      <c r="D26" s="1662"/>
      <c r="E26" s="1664"/>
      <c r="F26" s="1666"/>
      <c r="G26" s="1668"/>
      <c r="H26" s="239"/>
      <c r="I26" s="146" t="s">
        <v>222</v>
      </c>
      <c r="J26" s="147">
        <f>45.16*F25*G25</f>
        <v>27637.919999999998</v>
      </c>
      <c r="K26" s="148">
        <f>J26*0.13</f>
        <v>3592.9295999999999</v>
      </c>
    </row>
  </sheetData>
  <mergeCells count="45">
    <mergeCell ref="A1:J1"/>
    <mergeCell ref="A2:A3"/>
    <mergeCell ref="B2:B3"/>
    <mergeCell ref="C2:C3"/>
    <mergeCell ref="D2:E2"/>
    <mergeCell ref="F2:F3"/>
    <mergeCell ref="G2:G3"/>
    <mergeCell ref="H2:H3"/>
    <mergeCell ref="I2:I3"/>
    <mergeCell ref="J2:J3"/>
    <mergeCell ref="K2:K3"/>
    <mergeCell ref="A4:A5"/>
    <mergeCell ref="B4:B5"/>
    <mergeCell ref="C4:C5"/>
    <mergeCell ref="D4:D5"/>
    <mergeCell ref="E4:E5"/>
    <mergeCell ref="F4:F5"/>
    <mergeCell ref="G4:G5"/>
    <mergeCell ref="G6:G7"/>
    <mergeCell ref="B16:B17"/>
    <mergeCell ref="B18:B19"/>
    <mergeCell ref="A6:A7"/>
    <mergeCell ref="B6:B7"/>
    <mergeCell ref="C6:C7"/>
    <mergeCell ref="D6:D7"/>
    <mergeCell ref="E6:E7"/>
    <mergeCell ref="F6:F7"/>
    <mergeCell ref="A22:J22"/>
    <mergeCell ref="A23:A24"/>
    <mergeCell ref="B23:B24"/>
    <mergeCell ref="C23:C24"/>
    <mergeCell ref="D23:E23"/>
    <mergeCell ref="F23:F24"/>
    <mergeCell ref="G23:G24"/>
    <mergeCell ref="H23:H24"/>
    <mergeCell ref="I23:I24"/>
    <mergeCell ref="J23:J24"/>
    <mergeCell ref="K23:K24"/>
    <mergeCell ref="A25:A26"/>
    <mergeCell ref="B25:B26"/>
    <mergeCell ref="C25:C26"/>
    <mergeCell ref="D25:D26"/>
    <mergeCell ref="E25:E26"/>
    <mergeCell ref="F25:F26"/>
    <mergeCell ref="G25:G2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7"/>
  <sheetViews>
    <sheetView workbookViewId="0">
      <selection activeCell="I21" sqref="I21"/>
    </sheetView>
  </sheetViews>
  <sheetFormatPr defaultRowHeight="15" x14ac:dyDescent="0.25"/>
  <cols>
    <col min="2" max="2" width="14.140625" customWidth="1"/>
    <col min="8" max="8" width="21.5703125" customWidth="1"/>
    <col min="9" max="9" width="18.7109375" customWidth="1"/>
    <col min="10" max="10" width="14.7109375" customWidth="1"/>
    <col min="11" max="11" width="18.140625" customWidth="1"/>
  </cols>
  <sheetData>
    <row r="3" spans="1:15" s="353" customFormat="1" x14ac:dyDescent="0.25"/>
    <row r="4" spans="1:15" s="353" customFormat="1" x14ac:dyDescent="0.25">
      <c r="A4" s="1669" t="s">
        <v>613</v>
      </c>
      <c r="B4" s="1669"/>
      <c r="C4" s="1669"/>
      <c r="D4" s="1669"/>
      <c r="E4" s="1669"/>
      <c r="F4" s="1669"/>
      <c r="G4" s="1669"/>
      <c r="H4" s="1669"/>
      <c r="I4" s="1669"/>
      <c r="J4" s="1669"/>
    </row>
    <row r="5" spans="1:15" s="353" customFormat="1" ht="15" customHeight="1" x14ac:dyDescent="0.25">
      <c r="A5" s="1651" t="s">
        <v>250</v>
      </c>
      <c r="B5" s="1651" t="s">
        <v>251</v>
      </c>
      <c r="C5" s="1651" t="s">
        <v>252</v>
      </c>
      <c r="D5" s="1653" t="s">
        <v>253</v>
      </c>
      <c r="E5" s="1653"/>
      <c r="F5" s="1651" t="s">
        <v>254</v>
      </c>
      <c r="G5" s="1651" t="s">
        <v>255</v>
      </c>
      <c r="H5" s="1651" t="s">
        <v>256</v>
      </c>
      <c r="I5" s="1651" t="s">
        <v>612</v>
      </c>
      <c r="J5" s="1654" t="s">
        <v>258</v>
      </c>
      <c r="K5" s="1651" t="s">
        <v>259</v>
      </c>
    </row>
    <row r="6" spans="1:15" s="353" customFormat="1" ht="30" customHeight="1" x14ac:dyDescent="0.25">
      <c r="A6" s="1652"/>
      <c r="B6" s="1652"/>
      <c r="C6" s="1652"/>
      <c r="D6" s="354" t="s">
        <v>260</v>
      </c>
      <c r="E6" s="354" t="s">
        <v>261</v>
      </c>
      <c r="F6" s="1652"/>
      <c r="G6" s="1652"/>
      <c r="H6" s="1652"/>
      <c r="I6" s="1652"/>
      <c r="J6" s="1655"/>
      <c r="K6" s="1652"/>
    </row>
    <row r="7" spans="1:15" s="149" customFormat="1" ht="20.25" customHeight="1" x14ac:dyDescent="0.25">
      <c r="A7" s="1670" t="s">
        <v>614</v>
      </c>
      <c r="B7" s="1647" t="s">
        <v>617</v>
      </c>
      <c r="C7" s="1671">
        <f>250*0.6/1.302</f>
        <v>115.2073732718894</v>
      </c>
      <c r="D7" s="1671">
        <f>C7-E7</f>
        <v>97.926267281105993</v>
      </c>
      <c r="E7" s="1671">
        <f>C7*0.15</f>
        <v>17.281105990783409</v>
      </c>
      <c r="F7" s="1670">
        <v>24</v>
      </c>
      <c r="G7" s="1672">
        <v>18</v>
      </c>
      <c r="H7" s="355" t="s">
        <v>618</v>
      </c>
      <c r="I7" s="146"/>
      <c r="J7" s="356">
        <v>90000</v>
      </c>
      <c r="K7" s="357">
        <f>J7*0.13</f>
        <v>11700</v>
      </c>
      <c r="M7" s="154"/>
    </row>
    <row r="8" spans="1:15" s="149" customFormat="1" x14ac:dyDescent="0.25">
      <c r="A8" s="1670"/>
      <c r="B8" s="1647"/>
      <c r="C8" s="1671"/>
      <c r="D8" s="1671"/>
      <c r="E8" s="1671"/>
      <c r="F8" s="1670"/>
      <c r="G8" s="1672"/>
      <c r="H8" s="355"/>
      <c r="I8" s="146" t="s">
        <v>619</v>
      </c>
      <c r="J8" s="147">
        <f>E7*F7*G7</f>
        <v>7465.4377880184329</v>
      </c>
      <c r="K8" s="148">
        <f>J8*0.13</f>
        <v>970.50691244239636</v>
      </c>
      <c r="O8" s="150"/>
    </row>
    <row r="9" spans="1:15" s="149" customFormat="1" x14ac:dyDescent="0.25">
      <c r="A9" s="369"/>
      <c r="B9" s="370"/>
      <c r="C9" s="371"/>
      <c r="D9" s="371"/>
      <c r="E9" s="371"/>
      <c r="F9" s="369"/>
      <c r="G9" s="372"/>
      <c r="H9" s="373"/>
      <c r="I9" s="374"/>
      <c r="J9" s="377">
        <f>J7+J8</f>
        <v>97465.437788018433</v>
      </c>
      <c r="K9" s="378">
        <f>K7+K8</f>
        <v>12670.506912442397</v>
      </c>
      <c r="O9" s="150"/>
    </row>
    <row r="10" spans="1:15" s="149" customFormat="1" x14ac:dyDescent="0.25">
      <c r="A10" s="369"/>
      <c r="B10" s="370"/>
      <c r="C10" s="371"/>
      <c r="D10" s="371"/>
      <c r="E10" s="371"/>
      <c r="F10" s="369"/>
      <c r="G10" s="372"/>
      <c r="H10" s="373"/>
      <c r="I10" s="374"/>
      <c r="J10" s="375"/>
      <c r="K10" s="376"/>
      <c r="O10" s="150"/>
    </row>
    <row r="11" spans="1:15" s="353" customFormat="1" x14ac:dyDescent="0.25"/>
    <row r="12" spans="1:15" s="353" customFormat="1" x14ac:dyDescent="0.25"/>
    <row r="13" spans="1:15" s="362" customFormat="1" ht="30.75" customHeight="1" x14ac:dyDescent="0.25">
      <c r="A13" s="1670" t="s">
        <v>614</v>
      </c>
      <c r="B13" s="1647" t="s">
        <v>620</v>
      </c>
      <c r="C13" s="1671">
        <f>300*0.6/1.302</f>
        <v>138.24884792626727</v>
      </c>
      <c r="D13" s="1671">
        <f>C13-E13</f>
        <v>117.51152073732719</v>
      </c>
      <c r="E13" s="1671">
        <f>C13*0.15</f>
        <v>20.737327188940089</v>
      </c>
      <c r="F13" s="1670">
        <v>24</v>
      </c>
      <c r="G13" s="1673">
        <v>29</v>
      </c>
      <c r="H13" s="358" t="s">
        <v>621</v>
      </c>
      <c r="I13" s="359"/>
      <c r="J13" s="360">
        <v>108000</v>
      </c>
      <c r="K13" s="361">
        <f t="shared" ref="K13" si="0">J13*0.13</f>
        <v>14040</v>
      </c>
      <c r="M13" s="363"/>
    </row>
    <row r="14" spans="1:15" s="362" customFormat="1" ht="22.5" customHeight="1" x14ac:dyDescent="0.25">
      <c r="A14" s="1670"/>
      <c r="B14" s="1647"/>
      <c r="C14" s="1671"/>
      <c r="D14" s="1671"/>
      <c r="E14" s="1671"/>
      <c r="F14" s="1670"/>
      <c r="G14" s="1673"/>
      <c r="H14" s="358"/>
      <c r="I14" s="146" t="s">
        <v>619</v>
      </c>
      <c r="J14" s="364">
        <f>E13*F13*G13</f>
        <v>14433.179723502302</v>
      </c>
      <c r="K14" s="365">
        <f>J14*0.13</f>
        <v>1876.3133640552994</v>
      </c>
      <c r="O14" s="366"/>
    </row>
    <row r="15" spans="1:15" s="353" customFormat="1" ht="15.75" x14ac:dyDescent="0.25">
      <c r="J15" s="367">
        <f>J13+J14</f>
        <v>122433.1797235023</v>
      </c>
      <c r="K15" s="368">
        <f>K13+K14</f>
        <v>15916.313364055299</v>
      </c>
    </row>
    <row r="17" spans="11:11" x14ac:dyDescent="0.25">
      <c r="K17" s="154"/>
    </row>
  </sheetData>
  <mergeCells count="25">
    <mergeCell ref="G13:G14"/>
    <mergeCell ref="A13:A14"/>
    <mergeCell ref="B13:B14"/>
    <mergeCell ref="C13:C14"/>
    <mergeCell ref="D13:D14"/>
    <mergeCell ref="E13:E14"/>
    <mergeCell ref="F13:F14"/>
    <mergeCell ref="K5:K6"/>
    <mergeCell ref="A7:A8"/>
    <mergeCell ref="B7:B8"/>
    <mergeCell ref="C7:C8"/>
    <mergeCell ref="D7:D8"/>
    <mergeCell ref="E7:E8"/>
    <mergeCell ref="F7:F8"/>
    <mergeCell ref="G7:G8"/>
    <mergeCell ref="A4:J4"/>
    <mergeCell ref="A5:A6"/>
    <mergeCell ref="B5:B6"/>
    <mergeCell ref="C5:C6"/>
    <mergeCell ref="D5:E5"/>
    <mergeCell ref="F5:F6"/>
    <mergeCell ref="G5:G6"/>
    <mergeCell ref="H5:H6"/>
    <mergeCell ref="I5:I6"/>
    <mergeCell ref="J5:J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GA434"/>
  <sheetViews>
    <sheetView topLeftCell="A148" zoomScale="90" zoomScaleNormal="90" workbookViewId="0">
      <selection sqref="A1:BD163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5" width="3" style="117" customWidth="1"/>
    <col min="26" max="26" width="1.85546875" style="117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7.42578125" style="117" customWidth="1"/>
    <col min="55" max="55" width="3.5703125" style="117" customWidth="1"/>
    <col min="56" max="56" width="4.7109375" style="117" customWidth="1"/>
    <col min="57" max="57" width="7.5703125" style="117" customWidth="1"/>
    <col min="58" max="58" width="8.140625" style="117" customWidth="1"/>
    <col min="59" max="59" width="4.140625" style="117" customWidth="1"/>
    <col min="60" max="60" width="7.7109375" style="117" customWidth="1"/>
    <col min="61" max="61" width="3.140625" style="117" customWidth="1"/>
    <col min="62" max="82" width="1.85546875" style="117"/>
    <col min="83" max="83" width="6.85546875" style="117" customWidth="1"/>
    <col min="84" max="110" width="1.85546875" style="117"/>
    <col min="111" max="111" width="10.85546875" style="117" customWidth="1"/>
    <col min="112" max="136" width="1.85546875" style="117"/>
    <col min="137" max="137" width="7.85546875" style="117" customWidth="1"/>
    <col min="138" max="160" width="1.85546875" style="117"/>
    <col min="161" max="163" width="0" style="117" hidden="1" customWidth="1"/>
    <col min="164" max="164" width="9.140625" style="117" hidden="1" customWidth="1"/>
    <col min="165" max="188" width="0" style="117" hidden="1" customWidth="1"/>
    <col min="189" max="16384" width="1.85546875" style="117"/>
  </cols>
  <sheetData>
    <row r="1" spans="1:57" s="100" customFormat="1" ht="15" customHeight="1" x14ac:dyDescent="0.25">
      <c r="AW1" s="100" t="s">
        <v>83</v>
      </c>
    </row>
    <row r="2" spans="1:57" s="100" customFormat="1" ht="15" x14ac:dyDescent="0.25">
      <c r="AQ2" s="100" t="s">
        <v>659</v>
      </c>
      <c r="AW2" s="157"/>
      <c r="AX2" s="831"/>
      <c r="AY2" s="832"/>
      <c r="AZ2" s="832"/>
      <c r="BA2" s="832"/>
      <c r="BB2" s="832"/>
      <c r="BC2" s="832"/>
    </row>
    <row r="3" spans="1:57" s="100" customFormat="1" ht="19.899999999999999" customHeight="1" x14ac:dyDescent="0.25">
      <c r="AQ3" s="100" t="s">
        <v>91</v>
      </c>
    </row>
    <row r="4" spans="1:57" s="100" customFormat="1" ht="15" x14ac:dyDescent="0.25"/>
    <row r="5" spans="1:57" s="100" customFormat="1" ht="15" customHeight="1" x14ac:dyDescent="0.25">
      <c r="AM5" s="157"/>
      <c r="AN5" s="157"/>
      <c r="AO5" s="157"/>
      <c r="AP5" s="157"/>
      <c r="AQ5" s="156"/>
      <c r="AR5" s="156"/>
      <c r="AS5" s="156"/>
      <c r="AT5" s="156"/>
      <c r="AU5" s="156"/>
      <c r="AV5" s="156"/>
      <c r="AW5" s="157" t="s">
        <v>515</v>
      </c>
    </row>
    <row r="6" spans="1:57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7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7" s="100" customFormat="1" ht="15" customHeight="1" x14ac:dyDescent="0.25">
      <c r="A8" s="756" t="s">
        <v>109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7" s="100" customFormat="1" ht="5.0999999999999996" customHeight="1" x14ac:dyDescent="0.25">
      <c r="A9" s="158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</row>
    <row r="10" spans="1:57" s="100" customFormat="1" ht="15" customHeight="1" x14ac:dyDescent="0.25">
      <c r="A10" s="158"/>
      <c r="B10" s="158" t="s">
        <v>113</v>
      </c>
      <c r="C10" s="757">
        <v>1</v>
      </c>
      <c r="D10" s="757"/>
      <c r="E10" s="757"/>
      <c r="F10" s="158"/>
      <c r="G10" s="757" t="s">
        <v>309</v>
      </c>
      <c r="H10" s="757"/>
      <c r="I10" s="757"/>
      <c r="J10" s="757"/>
      <c r="K10" s="757"/>
      <c r="L10" s="757"/>
      <c r="M10" s="158"/>
      <c r="N10" s="756">
        <v>2020</v>
      </c>
      <c r="O10" s="756"/>
      <c r="P10" s="756"/>
      <c r="Q10" s="756"/>
      <c r="R10" s="158"/>
      <c r="S10" s="158" t="s">
        <v>114</v>
      </c>
      <c r="T10" s="158"/>
      <c r="U10" s="756" t="s">
        <v>115</v>
      </c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758"/>
      <c r="AI10" s="758"/>
      <c r="AJ10" s="757">
        <v>31</v>
      </c>
      <c r="AK10" s="757"/>
      <c r="AL10" s="757"/>
      <c r="AM10" s="158"/>
      <c r="AN10" s="757" t="s">
        <v>116</v>
      </c>
      <c r="AO10" s="757"/>
      <c r="AP10" s="757"/>
      <c r="AQ10" s="757"/>
      <c r="AR10" s="757"/>
      <c r="AS10" s="757"/>
      <c r="AT10" s="757"/>
      <c r="AU10" s="158"/>
      <c r="AV10" s="756">
        <v>2021</v>
      </c>
      <c r="AW10" s="756"/>
      <c r="AX10" s="756"/>
      <c r="AY10" s="756"/>
      <c r="AZ10" s="158"/>
      <c r="BA10" s="158" t="s">
        <v>114</v>
      </c>
    </row>
    <row r="11" spans="1:57" s="82" customFormat="1" ht="12" customHeight="1" x14ac:dyDescent="0.2"/>
    <row r="12" spans="1:57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72</v>
      </c>
      <c r="V12" s="761"/>
      <c r="W12" s="761"/>
      <c r="BE12" s="157"/>
    </row>
    <row r="13" spans="1:57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7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1">
        <v>24</v>
      </c>
      <c r="V14" s="761"/>
      <c r="W14" s="761"/>
    </row>
    <row r="15" spans="1:57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7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2</v>
      </c>
      <c r="V16" s="761"/>
      <c r="W16" s="761"/>
      <c r="X16" s="83" t="s">
        <v>4</v>
      </c>
      <c r="Y16" s="761">
        <v>12</v>
      </c>
      <c r="Z16" s="761"/>
      <c r="AA16" s="761"/>
    </row>
    <row r="17" spans="1:54" ht="5.0999999999999996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530</v>
      </c>
      <c r="AR19" s="162"/>
      <c r="AS19" s="164"/>
      <c r="AX19" s="708">
        <v>15600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419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4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customHeight="1" x14ac:dyDescent="0.2">
      <c r="A24" s="764" t="s">
        <v>417</v>
      </c>
      <c r="B24" s="765"/>
      <c r="C24" s="765"/>
      <c r="D24" s="765"/>
      <c r="E24" s="765"/>
      <c r="F24" s="765"/>
      <c r="G24" s="766"/>
      <c r="H24" s="711" t="s">
        <v>16</v>
      </c>
      <c r="I24" s="712"/>
      <c r="J24" s="712"/>
      <c r="K24" s="712"/>
      <c r="L24" s="712"/>
      <c r="M24" s="712"/>
      <c r="N24" s="712"/>
      <c r="O24" s="712"/>
      <c r="P24" s="712"/>
      <c r="Q24" s="712"/>
      <c r="R24" s="712"/>
      <c r="S24" s="712"/>
      <c r="T24" s="712"/>
      <c r="U24" s="712"/>
      <c r="V24" s="712"/>
      <c r="W24" s="712"/>
      <c r="X24" s="712"/>
      <c r="Y24" s="712"/>
      <c r="Z24" s="723">
        <v>0.2</v>
      </c>
      <c r="AA24" s="723"/>
      <c r="AB24" s="723"/>
      <c r="AC24" s="662">
        <f>(AX51+AX83)*Z24*AH24</f>
        <v>8112</v>
      </c>
      <c r="AD24" s="662"/>
      <c r="AE24" s="662"/>
      <c r="AF24" s="662"/>
      <c r="AG24" s="662"/>
      <c r="AH24" s="663">
        <v>2</v>
      </c>
      <c r="AI24" s="663"/>
      <c r="AJ24" s="663"/>
      <c r="AK24" s="663"/>
      <c r="AL24" s="663"/>
      <c r="AM24" s="663"/>
      <c r="AN24" s="662">
        <f>AC24/U12</f>
        <v>112.66666666666667</v>
      </c>
      <c r="AO24" s="662"/>
      <c r="AP24" s="662"/>
      <c r="AQ24" s="662"/>
      <c r="AR24" s="662"/>
      <c r="AS24" s="663" t="s">
        <v>17</v>
      </c>
      <c r="AT24" s="663"/>
      <c r="AU24" s="663"/>
      <c r="AV24" s="663"/>
      <c r="AW24" s="663"/>
      <c r="AX24" s="662" t="s">
        <v>17</v>
      </c>
      <c r="AY24" s="662"/>
      <c r="AZ24" s="662"/>
      <c r="BA24" s="662"/>
      <c r="BB24" s="684"/>
    </row>
    <row r="25" spans="1:54" s="165" customFormat="1" ht="26.25" customHeight="1" x14ac:dyDescent="0.2">
      <c r="A25" s="767"/>
      <c r="B25" s="768"/>
      <c r="C25" s="768"/>
      <c r="D25" s="768"/>
      <c r="E25" s="768"/>
      <c r="F25" s="768"/>
      <c r="G25" s="769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771" t="s">
        <v>89</v>
      </c>
      <c r="B26" s="772"/>
      <c r="C26" s="772"/>
      <c r="D26" s="772"/>
      <c r="E26" s="772"/>
      <c r="F26" s="772"/>
      <c r="G26" s="773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11.25" customHeight="1" x14ac:dyDescent="0.2">
      <c r="A27" s="750"/>
      <c r="B27" s="751"/>
      <c r="C27" s="751"/>
      <c r="D27" s="751"/>
      <c r="E27" s="751"/>
      <c r="F27" s="751"/>
      <c r="G27" s="7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17.25" customHeight="1" thickBot="1" x14ac:dyDescent="0.25">
      <c r="A33" s="753"/>
      <c r="B33" s="754"/>
      <c r="C33" s="754"/>
      <c r="D33" s="754"/>
      <c r="E33" s="754"/>
      <c r="F33" s="754"/>
      <c r="G33" s="775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9"/>
      <c r="AA33" s="729"/>
      <c r="AB33" s="729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191"/>
      <c r="R34" s="187" t="s">
        <v>18</v>
      </c>
      <c r="S34" s="163"/>
      <c r="T34" s="163"/>
      <c r="U34" s="162"/>
      <c r="V34" s="162"/>
      <c r="W34" s="162"/>
      <c r="X34" s="162"/>
      <c r="Y34" s="162"/>
      <c r="Z34" s="162"/>
      <c r="AA34" s="162"/>
      <c r="AB34" s="162"/>
      <c r="AC34" s="162"/>
      <c r="AD34" s="162" t="s">
        <v>19</v>
      </c>
      <c r="AE34" s="162" t="s">
        <v>20</v>
      </c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88"/>
      <c r="AS34" s="702">
        <f>AN24</f>
        <v>112.66666666666667</v>
      </c>
      <c r="AT34" s="702"/>
      <c r="AU34" s="702"/>
      <c r="AV34" s="702"/>
      <c r="AW34" s="702"/>
      <c r="AX34" s="702">
        <f>AC24</f>
        <v>8112</v>
      </c>
      <c r="AY34" s="702"/>
      <c r="AZ34" s="702"/>
      <c r="BA34" s="702"/>
      <c r="BB34" s="703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173"/>
      <c r="I35" s="173"/>
      <c r="J35" s="173"/>
      <c r="K35" s="173"/>
      <c r="L35" s="173"/>
      <c r="M35" s="173"/>
      <c r="P35" s="168"/>
      <c r="Q35" s="174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34.025333333333336</v>
      </c>
      <c r="AT35" s="463"/>
      <c r="AU35" s="463"/>
      <c r="AV35" s="463"/>
      <c r="AW35" s="463"/>
      <c r="AX35" s="463">
        <f>AX34*AO35</f>
        <v>2449.8240000000001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173"/>
      <c r="I36" s="173"/>
      <c r="J36" s="173"/>
      <c r="K36" s="173"/>
      <c r="L36" s="173"/>
      <c r="M36" s="173"/>
      <c r="P36" s="168"/>
      <c r="Q36" s="174"/>
      <c r="R36" s="174"/>
      <c r="S36" s="174"/>
      <c r="U36" s="174"/>
      <c r="V36" s="174"/>
      <c r="W36" s="174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8"/>
      <c r="AT36" s="179"/>
      <c r="AU36" s="179"/>
      <c r="AV36" s="179"/>
      <c r="AW36" s="179"/>
      <c r="AX36" s="178"/>
      <c r="AY36" s="179"/>
      <c r="AZ36" s="179"/>
      <c r="BA36" s="179"/>
      <c r="BB36" s="179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420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842"/>
      <c r="B41" s="843"/>
      <c r="C41" s="843"/>
      <c r="D41" s="843"/>
      <c r="E41" s="843"/>
      <c r="F41" s="843"/>
      <c r="G41" s="843"/>
      <c r="H41" s="848" t="s">
        <v>16</v>
      </c>
      <c r="I41" s="848"/>
      <c r="J41" s="848"/>
      <c r="K41" s="848"/>
      <c r="L41" s="848"/>
      <c r="M41" s="848"/>
      <c r="N41" s="848"/>
      <c r="O41" s="848"/>
      <c r="P41" s="848"/>
      <c r="Q41" s="848"/>
      <c r="R41" s="848"/>
      <c r="S41" s="848"/>
      <c r="T41" s="848"/>
      <c r="U41" s="848"/>
      <c r="V41" s="848"/>
      <c r="W41" s="848"/>
      <c r="X41" s="848"/>
      <c r="Y41" s="848"/>
      <c r="Z41" s="723">
        <v>0</v>
      </c>
      <c r="AA41" s="723"/>
      <c r="AB41" s="723"/>
      <c r="AC41" s="848">
        <f>AX83*Z41*AH41</f>
        <v>0</v>
      </c>
      <c r="AD41" s="848"/>
      <c r="AE41" s="848"/>
      <c r="AF41" s="848"/>
      <c r="AG41" s="848"/>
      <c r="AH41" s="508">
        <v>0</v>
      </c>
      <c r="AI41" s="509"/>
      <c r="AJ41" s="509"/>
      <c r="AK41" s="509"/>
      <c r="AL41" s="509"/>
      <c r="AM41" s="510"/>
      <c r="AN41" s="711">
        <f>AC41/U12</f>
        <v>0</v>
      </c>
      <c r="AO41" s="712"/>
      <c r="AP41" s="712"/>
      <c r="AQ41" s="712"/>
      <c r="AR41" s="734"/>
      <c r="AS41" s="508" t="s">
        <v>17</v>
      </c>
      <c r="AT41" s="509"/>
      <c r="AU41" s="509"/>
      <c r="AV41" s="509"/>
      <c r="AW41" s="510"/>
      <c r="AX41" s="711" t="s">
        <v>17</v>
      </c>
      <c r="AY41" s="712"/>
      <c r="AZ41" s="712"/>
      <c r="BA41" s="712"/>
      <c r="BB41" s="713"/>
    </row>
    <row r="42" spans="1:54" s="165" customFormat="1" ht="0.75" customHeight="1" x14ac:dyDescent="0.2">
      <c r="A42" s="844"/>
      <c r="B42" s="845"/>
      <c r="C42" s="845"/>
      <c r="D42" s="845"/>
      <c r="E42" s="845"/>
      <c r="F42" s="845"/>
      <c r="G42" s="845"/>
      <c r="H42" s="849"/>
      <c r="I42" s="849"/>
      <c r="J42" s="849"/>
      <c r="K42" s="849"/>
      <c r="L42" s="849"/>
      <c r="M42" s="849"/>
      <c r="N42" s="849"/>
      <c r="O42" s="849"/>
      <c r="P42" s="849"/>
      <c r="Q42" s="849"/>
      <c r="R42" s="849"/>
      <c r="S42" s="849"/>
      <c r="T42" s="849"/>
      <c r="U42" s="849"/>
      <c r="V42" s="849"/>
      <c r="W42" s="849"/>
      <c r="X42" s="849"/>
      <c r="Y42" s="849"/>
      <c r="Z42" s="726"/>
      <c r="AA42" s="726"/>
      <c r="AB42" s="726"/>
      <c r="AC42" s="849"/>
      <c r="AD42" s="849"/>
      <c r="AE42" s="849"/>
      <c r="AF42" s="849"/>
      <c r="AG42" s="849"/>
      <c r="AH42" s="511"/>
      <c r="AI42" s="512"/>
      <c r="AJ42" s="512"/>
      <c r="AK42" s="512"/>
      <c r="AL42" s="512"/>
      <c r="AM42" s="513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714"/>
      <c r="AY42" s="704"/>
      <c r="AZ42" s="704"/>
      <c r="BA42" s="704"/>
      <c r="BB42" s="715"/>
    </row>
    <row r="43" spans="1:54" ht="18" customHeight="1" x14ac:dyDescent="0.2">
      <c r="A43" s="844"/>
      <c r="B43" s="845"/>
      <c r="C43" s="845"/>
      <c r="D43" s="845"/>
      <c r="E43" s="845"/>
      <c r="F43" s="845"/>
      <c r="G43" s="845"/>
      <c r="H43" s="849"/>
      <c r="I43" s="849"/>
      <c r="J43" s="849"/>
      <c r="K43" s="849"/>
      <c r="L43" s="849"/>
      <c r="M43" s="849"/>
      <c r="N43" s="849"/>
      <c r="O43" s="849"/>
      <c r="P43" s="849"/>
      <c r="Q43" s="849"/>
      <c r="R43" s="849"/>
      <c r="S43" s="849"/>
      <c r="T43" s="849"/>
      <c r="U43" s="849"/>
      <c r="V43" s="849"/>
      <c r="W43" s="849"/>
      <c r="X43" s="849"/>
      <c r="Y43" s="849"/>
      <c r="Z43" s="726"/>
      <c r="AA43" s="726"/>
      <c r="AB43" s="726"/>
      <c r="AC43" s="781"/>
      <c r="AD43" s="781"/>
      <c r="AE43" s="781"/>
      <c r="AF43" s="781"/>
      <c r="AG43" s="781"/>
      <c r="AH43" s="736"/>
      <c r="AI43" s="737"/>
      <c r="AJ43" s="737"/>
      <c r="AK43" s="737"/>
      <c r="AL43" s="737"/>
      <c r="AM43" s="738"/>
      <c r="AN43" s="716"/>
      <c r="AO43" s="669"/>
      <c r="AP43" s="669"/>
      <c r="AQ43" s="669"/>
      <c r="AR43" s="670"/>
      <c r="AS43" s="736"/>
      <c r="AT43" s="737"/>
      <c r="AU43" s="737"/>
      <c r="AV43" s="737"/>
      <c r="AW43" s="738"/>
      <c r="AX43" s="716"/>
      <c r="AY43" s="669"/>
      <c r="AZ43" s="669"/>
      <c r="BA43" s="669"/>
      <c r="BB43" s="717"/>
    </row>
    <row r="44" spans="1:54" s="165" customFormat="1" ht="21" hidden="1" customHeight="1" x14ac:dyDescent="0.2">
      <c r="A44" s="844"/>
      <c r="B44" s="845"/>
      <c r="C44" s="845"/>
      <c r="D44" s="845"/>
      <c r="E44" s="845"/>
      <c r="F44" s="845"/>
      <c r="G44" s="845"/>
      <c r="H44" s="849"/>
      <c r="I44" s="849"/>
      <c r="J44" s="849"/>
      <c r="K44" s="849"/>
      <c r="L44" s="849"/>
      <c r="M44" s="849"/>
      <c r="N44" s="849"/>
      <c r="O44" s="849"/>
      <c r="P44" s="849"/>
      <c r="Q44" s="849"/>
      <c r="R44" s="849"/>
      <c r="S44" s="849"/>
      <c r="T44" s="849"/>
      <c r="U44" s="849"/>
      <c r="V44" s="849"/>
      <c r="W44" s="849"/>
      <c r="X44" s="849"/>
      <c r="Y44" s="849"/>
      <c r="Z44" s="726"/>
      <c r="AA44" s="726"/>
      <c r="AB44" s="726"/>
      <c r="AC44" s="277"/>
      <c r="AD44" s="277"/>
      <c r="AE44" s="277"/>
      <c r="AF44" s="277"/>
      <c r="AG44" s="277"/>
      <c r="AH44" s="180"/>
      <c r="AI44" s="181"/>
      <c r="AJ44" s="181"/>
      <c r="AK44" s="181"/>
      <c r="AL44" s="181"/>
      <c r="AM44" s="182"/>
      <c r="AN44" s="86"/>
      <c r="AO44" s="84"/>
      <c r="AP44" s="84"/>
      <c r="AQ44" s="84"/>
      <c r="AR44" s="85"/>
      <c r="AS44" s="180"/>
      <c r="AT44" s="181"/>
      <c r="AU44" s="181"/>
      <c r="AV44" s="181"/>
      <c r="AW44" s="182"/>
      <c r="AX44" s="86"/>
      <c r="AY44" s="84"/>
      <c r="AZ44" s="84"/>
      <c r="BA44" s="84"/>
      <c r="BB44" s="255"/>
    </row>
    <row r="45" spans="1:54" s="165" customFormat="1" ht="21.75" hidden="1" customHeight="1" x14ac:dyDescent="0.2">
      <c r="A45" s="844"/>
      <c r="B45" s="845"/>
      <c r="C45" s="845"/>
      <c r="D45" s="845"/>
      <c r="E45" s="845"/>
      <c r="F45" s="845"/>
      <c r="G45" s="845"/>
      <c r="H45" s="849"/>
      <c r="I45" s="849"/>
      <c r="J45" s="849"/>
      <c r="K45" s="849"/>
      <c r="L45" s="849"/>
      <c r="M45" s="849"/>
      <c r="N45" s="849"/>
      <c r="O45" s="849"/>
      <c r="P45" s="849"/>
      <c r="Q45" s="849"/>
      <c r="R45" s="849"/>
      <c r="S45" s="849"/>
      <c r="T45" s="849"/>
      <c r="U45" s="849"/>
      <c r="V45" s="849"/>
      <c r="W45" s="849"/>
      <c r="X45" s="849"/>
      <c r="Y45" s="849"/>
      <c r="Z45" s="726"/>
      <c r="AA45" s="726"/>
      <c r="AB45" s="726"/>
      <c r="AC45" s="277"/>
      <c r="AD45" s="277"/>
      <c r="AE45" s="277"/>
      <c r="AF45" s="277"/>
      <c r="AG45" s="277"/>
      <c r="AH45" s="180"/>
      <c r="AI45" s="181"/>
      <c r="AJ45" s="181"/>
      <c r="AK45" s="181"/>
      <c r="AL45" s="181"/>
      <c r="AM45" s="182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255"/>
    </row>
    <row r="46" spans="1:54" s="165" customFormat="1" ht="24" hidden="1" customHeight="1" x14ac:dyDescent="0.2">
      <c r="A46" s="844"/>
      <c r="B46" s="845"/>
      <c r="C46" s="845"/>
      <c r="D46" s="845"/>
      <c r="E46" s="845"/>
      <c r="F46" s="845"/>
      <c r="G46" s="845"/>
      <c r="H46" s="849"/>
      <c r="I46" s="849"/>
      <c r="J46" s="849"/>
      <c r="K46" s="849"/>
      <c r="L46" s="849"/>
      <c r="M46" s="849"/>
      <c r="N46" s="849"/>
      <c r="O46" s="849"/>
      <c r="P46" s="849"/>
      <c r="Q46" s="849"/>
      <c r="R46" s="849"/>
      <c r="S46" s="849"/>
      <c r="T46" s="849"/>
      <c r="U46" s="849"/>
      <c r="V46" s="849"/>
      <c r="W46" s="849"/>
      <c r="X46" s="849"/>
      <c r="Y46" s="849"/>
      <c r="Z46" s="726"/>
      <c r="AA46" s="726"/>
      <c r="AB46" s="726"/>
      <c r="AC46" s="277"/>
      <c r="AD46" s="277"/>
      <c r="AE46" s="277"/>
      <c r="AF46" s="277"/>
      <c r="AG46" s="277"/>
      <c r="AH46" s="180"/>
      <c r="AI46" s="181"/>
      <c r="AJ46" s="181"/>
      <c r="AK46" s="181"/>
      <c r="AL46" s="181"/>
      <c r="AM46" s="182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255"/>
    </row>
    <row r="47" spans="1:54" s="165" customFormat="1" ht="18" hidden="1" customHeight="1" x14ac:dyDescent="0.2">
      <c r="A47" s="844"/>
      <c r="B47" s="845"/>
      <c r="C47" s="845"/>
      <c r="D47" s="845"/>
      <c r="E47" s="845"/>
      <c r="F47" s="845"/>
      <c r="G47" s="845"/>
      <c r="H47" s="849"/>
      <c r="I47" s="849"/>
      <c r="J47" s="849"/>
      <c r="K47" s="849"/>
      <c r="L47" s="849"/>
      <c r="M47" s="849"/>
      <c r="N47" s="849"/>
      <c r="O47" s="849"/>
      <c r="P47" s="849"/>
      <c r="Q47" s="849"/>
      <c r="R47" s="849"/>
      <c r="S47" s="849"/>
      <c r="T47" s="849"/>
      <c r="U47" s="849"/>
      <c r="V47" s="849"/>
      <c r="W47" s="849"/>
      <c r="X47" s="849"/>
      <c r="Y47" s="849"/>
      <c r="Z47" s="726"/>
      <c r="AA47" s="726"/>
      <c r="AB47" s="726"/>
      <c r="AC47" s="277"/>
      <c r="AD47" s="277"/>
      <c r="AE47" s="277"/>
      <c r="AF47" s="277"/>
      <c r="AG47" s="277"/>
      <c r="AH47" s="180"/>
      <c r="AI47" s="181"/>
      <c r="AJ47" s="181"/>
      <c r="AK47" s="181"/>
      <c r="AL47" s="181"/>
      <c r="AM47" s="182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255"/>
    </row>
    <row r="48" spans="1:54" s="165" customFormat="1" ht="17.25" hidden="1" customHeight="1" x14ac:dyDescent="0.2">
      <c r="A48" s="844"/>
      <c r="B48" s="845"/>
      <c r="C48" s="845"/>
      <c r="D48" s="845"/>
      <c r="E48" s="845"/>
      <c r="F48" s="845"/>
      <c r="G48" s="845"/>
      <c r="H48" s="849"/>
      <c r="I48" s="849"/>
      <c r="J48" s="849"/>
      <c r="K48" s="849"/>
      <c r="L48" s="849"/>
      <c r="M48" s="849"/>
      <c r="N48" s="849"/>
      <c r="O48" s="849"/>
      <c r="P48" s="849"/>
      <c r="Q48" s="849"/>
      <c r="R48" s="849"/>
      <c r="S48" s="849"/>
      <c r="T48" s="849"/>
      <c r="U48" s="849"/>
      <c r="V48" s="849"/>
      <c r="W48" s="849"/>
      <c r="X48" s="849"/>
      <c r="Y48" s="849"/>
      <c r="Z48" s="726"/>
      <c r="AA48" s="726"/>
      <c r="AB48" s="726"/>
      <c r="AC48" s="277"/>
      <c r="AD48" s="277"/>
      <c r="AE48" s="277"/>
      <c r="AF48" s="277"/>
      <c r="AG48" s="277"/>
      <c r="AH48" s="180"/>
      <c r="AI48" s="181"/>
      <c r="AJ48" s="181"/>
      <c r="AK48" s="181"/>
      <c r="AL48" s="181"/>
      <c r="AM48" s="182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255"/>
    </row>
    <row r="49" spans="1:54" s="165" customFormat="1" ht="14.25" hidden="1" customHeight="1" x14ac:dyDescent="0.2">
      <c r="A49" s="844"/>
      <c r="B49" s="845"/>
      <c r="C49" s="845"/>
      <c r="D49" s="845"/>
      <c r="E49" s="845"/>
      <c r="F49" s="845"/>
      <c r="G49" s="845"/>
      <c r="H49" s="849"/>
      <c r="I49" s="849"/>
      <c r="J49" s="849"/>
      <c r="K49" s="849"/>
      <c r="L49" s="849"/>
      <c r="M49" s="849"/>
      <c r="N49" s="849"/>
      <c r="O49" s="849"/>
      <c r="P49" s="849"/>
      <c r="Q49" s="849"/>
      <c r="R49" s="849"/>
      <c r="S49" s="849"/>
      <c r="T49" s="849"/>
      <c r="U49" s="849"/>
      <c r="V49" s="849"/>
      <c r="W49" s="849"/>
      <c r="X49" s="849"/>
      <c r="Y49" s="849"/>
      <c r="Z49" s="726"/>
      <c r="AA49" s="726"/>
      <c r="AB49" s="726"/>
      <c r="AC49" s="277"/>
      <c r="AD49" s="277"/>
      <c r="AE49" s="277"/>
      <c r="AF49" s="277"/>
      <c r="AG49" s="277"/>
      <c r="AH49" s="180"/>
      <c r="AI49" s="181"/>
      <c r="AJ49" s="181"/>
      <c r="AK49" s="181"/>
      <c r="AL49" s="181"/>
      <c r="AM49" s="182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255"/>
    </row>
    <row r="50" spans="1:54" ht="0.75" customHeight="1" thickBot="1" x14ac:dyDescent="0.25">
      <c r="A50" s="846"/>
      <c r="B50" s="847"/>
      <c r="C50" s="847"/>
      <c r="D50" s="847"/>
      <c r="E50" s="847"/>
      <c r="F50" s="847"/>
      <c r="G50" s="847"/>
      <c r="H50" s="850"/>
      <c r="I50" s="850"/>
      <c r="J50" s="850"/>
      <c r="K50" s="850"/>
      <c r="L50" s="850"/>
      <c r="M50" s="850"/>
      <c r="N50" s="850"/>
      <c r="O50" s="850"/>
      <c r="P50" s="850"/>
      <c r="Q50" s="850"/>
      <c r="R50" s="850"/>
      <c r="S50" s="850"/>
      <c r="T50" s="850"/>
      <c r="U50" s="850"/>
      <c r="V50" s="850"/>
      <c r="W50" s="850"/>
      <c r="X50" s="850"/>
      <c r="Y50" s="850"/>
      <c r="Z50" s="729"/>
      <c r="AA50" s="729"/>
      <c r="AB50" s="729"/>
      <c r="AC50" s="278"/>
      <c r="AD50" s="278"/>
      <c r="AE50" s="278"/>
      <c r="AF50" s="278"/>
      <c r="AG50" s="278"/>
      <c r="AH50" s="259"/>
      <c r="AI50" s="260"/>
      <c r="AJ50" s="260"/>
      <c r="AK50" s="260"/>
      <c r="AL50" s="260"/>
      <c r="AM50" s="261"/>
      <c r="AN50" s="256"/>
      <c r="AO50" s="257"/>
      <c r="AP50" s="257"/>
      <c r="AQ50" s="257"/>
      <c r="AR50" s="258"/>
      <c r="AS50" s="259"/>
      <c r="AT50" s="260"/>
      <c r="AU50" s="260"/>
      <c r="AV50" s="260"/>
      <c r="AW50" s="261"/>
      <c r="AX50" s="256"/>
      <c r="AY50" s="257"/>
      <c r="AZ50" s="257"/>
      <c r="BA50" s="257"/>
      <c r="BB50" s="262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189"/>
      <c r="I52" s="189"/>
      <c r="J52" s="189"/>
      <c r="K52" s="189"/>
      <c r="L52" s="164"/>
      <c r="M52" s="164"/>
      <c r="N52" s="164"/>
      <c r="O52" s="164"/>
      <c r="P52" s="164"/>
      <c r="Q52" s="190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660" t="s">
        <v>101</v>
      </c>
      <c r="B58" s="661"/>
      <c r="C58" s="661"/>
      <c r="D58" s="661"/>
      <c r="E58" s="661"/>
      <c r="F58" s="661"/>
      <c r="G58" s="661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96"/>
      <c r="AC58" s="662">
        <f>R59*Z61</f>
        <v>40560</v>
      </c>
      <c r="AD58" s="662"/>
      <c r="AE58" s="662"/>
      <c r="AF58" s="662"/>
      <c r="AG58" s="662"/>
      <c r="AH58" s="711">
        <v>144</v>
      </c>
      <c r="AI58" s="712"/>
      <c r="AJ58" s="712"/>
      <c r="AK58" s="712"/>
      <c r="AL58" s="712"/>
      <c r="AM58" s="734"/>
      <c r="AN58" s="662">
        <f>AC58/AH58</f>
        <v>281.66666666666669</v>
      </c>
      <c r="AO58" s="662"/>
      <c r="AP58" s="662"/>
      <c r="AQ58" s="662"/>
      <c r="AR58" s="662"/>
      <c r="AS58" s="663">
        <f>U12</f>
        <v>72</v>
      </c>
      <c r="AT58" s="663"/>
      <c r="AU58" s="663"/>
      <c r="AV58" s="663"/>
      <c r="AW58" s="663"/>
      <c r="AX58" s="662">
        <f>AN58*AS58</f>
        <v>20280</v>
      </c>
      <c r="AY58" s="662"/>
      <c r="AZ58" s="662"/>
      <c r="BA58" s="662"/>
      <c r="BB58" s="684"/>
    </row>
    <row r="59" spans="1:54" s="165" customFormat="1" ht="24.6" customHeight="1" x14ac:dyDescent="0.2">
      <c r="A59" s="652"/>
      <c r="B59" s="653"/>
      <c r="C59" s="653"/>
      <c r="D59" s="653"/>
      <c r="E59" s="653"/>
      <c r="F59" s="653"/>
      <c r="G59" s="653"/>
      <c r="H59" s="685" t="s">
        <v>530</v>
      </c>
      <c r="I59" s="686"/>
      <c r="J59" s="686"/>
      <c r="K59" s="686"/>
      <c r="L59" s="686"/>
      <c r="M59" s="686"/>
      <c r="N59" s="669"/>
      <c r="O59" s="669"/>
      <c r="P59" s="669"/>
      <c r="Q59" s="84" t="s">
        <v>27</v>
      </c>
      <c r="R59" s="669">
        <v>15600</v>
      </c>
      <c r="S59" s="669"/>
      <c r="T59" s="669"/>
      <c r="U59" s="669"/>
      <c r="V59" s="669"/>
      <c r="W59" s="84" t="s">
        <v>28</v>
      </c>
      <c r="X59" s="84"/>
      <c r="Y59" s="84"/>
      <c r="Z59" s="84"/>
      <c r="AA59" s="84"/>
      <c r="AB59" s="85"/>
      <c r="AC59" s="601"/>
      <c r="AD59" s="601"/>
      <c r="AE59" s="601"/>
      <c r="AF59" s="601"/>
      <c r="AG59" s="601"/>
      <c r="AH59" s="714"/>
      <c r="AI59" s="704"/>
      <c r="AJ59" s="704"/>
      <c r="AK59" s="704"/>
      <c r="AL59" s="704"/>
      <c r="AM59" s="735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652"/>
      <c r="B60" s="653"/>
      <c r="C60" s="653"/>
      <c r="D60" s="653"/>
      <c r="E60" s="653"/>
      <c r="F60" s="653"/>
      <c r="G60" s="653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601"/>
      <c r="AD60" s="601"/>
      <c r="AE60" s="601"/>
      <c r="AF60" s="601"/>
      <c r="AG60" s="601"/>
      <c r="AH60" s="714"/>
      <c r="AI60" s="704"/>
      <c r="AJ60" s="704"/>
      <c r="AK60" s="704"/>
      <c r="AL60" s="704"/>
      <c r="AM60" s="735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6.149999999999999" customHeight="1" x14ac:dyDescent="0.2">
      <c r="A61" s="652"/>
      <c r="B61" s="653"/>
      <c r="C61" s="653"/>
      <c r="D61" s="653"/>
      <c r="E61" s="653"/>
      <c r="F61" s="653"/>
      <c r="G61" s="653"/>
      <c r="H61" s="706" t="s">
        <v>656</v>
      </c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  <c r="V61" s="707"/>
      <c r="W61" s="707"/>
      <c r="X61" s="707"/>
      <c r="Y61" s="388" t="s">
        <v>28</v>
      </c>
      <c r="Z61" s="669">
        <v>2.6</v>
      </c>
      <c r="AA61" s="669"/>
      <c r="AB61" s="670"/>
      <c r="AC61" s="601"/>
      <c r="AD61" s="601"/>
      <c r="AE61" s="601"/>
      <c r="AF61" s="601"/>
      <c r="AG61" s="601"/>
      <c r="AH61" s="714"/>
      <c r="AI61" s="704"/>
      <c r="AJ61" s="704"/>
      <c r="AK61" s="704"/>
      <c r="AL61" s="704"/>
      <c r="AM61" s="735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" customHeight="1" thickBot="1" x14ac:dyDescent="0.25">
      <c r="A62" s="681"/>
      <c r="B62" s="682"/>
      <c r="C62" s="682"/>
      <c r="D62" s="682"/>
      <c r="E62" s="682"/>
      <c r="F62" s="682"/>
      <c r="G62" s="682"/>
      <c r="H62" s="256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8"/>
      <c r="AC62" s="656"/>
      <c r="AD62" s="656"/>
      <c r="AE62" s="656"/>
      <c r="AF62" s="656"/>
      <c r="AG62" s="656"/>
      <c r="AH62" s="770"/>
      <c r="AI62" s="721"/>
      <c r="AJ62" s="721"/>
      <c r="AK62" s="721"/>
      <c r="AL62" s="721"/>
      <c r="AM62" s="851"/>
      <c r="AN62" s="656"/>
      <c r="AO62" s="656"/>
      <c r="AP62" s="656"/>
      <c r="AQ62" s="656"/>
      <c r="AR62" s="656"/>
      <c r="AS62" s="683"/>
      <c r="AT62" s="683"/>
      <c r="AU62" s="683"/>
      <c r="AV62" s="683"/>
      <c r="AW62" s="683"/>
      <c r="AX62" s="656"/>
      <c r="AY62" s="656"/>
      <c r="AZ62" s="656"/>
      <c r="BA62" s="656"/>
      <c r="BB62" s="657"/>
    </row>
    <row r="63" spans="1:54" ht="5.0999999999999996" hidden="1" customHeight="1" x14ac:dyDescent="0.2">
      <c r="A63" s="666"/>
      <c r="B63" s="667"/>
      <c r="C63" s="667"/>
      <c r="D63" s="667"/>
      <c r="E63" s="667"/>
      <c r="F63" s="667"/>
      <c r="G63" s="667"/>
      <c r="H63" s="193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94" t="e">
        <f>#REF!</f>
        <v>#REF!</v>
      </c>
      <c r="AA63" s="191"/>
      <c r="AB63" s="195"/>
      <c r="AC63" s="477">
        <f>((R64+(R64*U66)+(R64*Q66)+(R64*M66)+(R64*I66))*Z66)*1.15</f>
        <v>0</v>
      </c>
      <c r="AD63" s="477"/>
      <c r="AE63" s="477"/>
      <c r="AF63" s="477"/>
      <c r="AG63" s="477"/>
      <c r="AH63" s="477">
        <v>1</v>
      </c>
      <c r="AI63" s="477"/>
      <c r="AJ63" s="477"/>
      <c r="AK63" s="477"/>
      <c r="AL63" s="477"/>
      <c r="AM63" s="477"/>
      <c r="AN63" s="477">
        <f>AC63/AH63</f>
        <v>0</v>
      </c>
      <c r="AO63" s="477"/>
      <c r="AP63" s="477"/>
      <c r="AQ63" s="477"/>
      <c r="AR63" s="477"/>
      <c r="AS63" s="668">
        <f t="shared" ref="AS63" si="0">U17</f>
        <v>0</v>
      </c>
      <c r="AT63" s="668"/>
      <c r="AU63" s="668"/>
      <c r="AV63" s="668"/>
      <c r="AW63" s="668"/>
      <c r="AX63" s="477">
        <f>AN63*AS63</f>
        <v>0</v>
      </c>
      <c r="AY63" s="477"/>
      <c r="AZ63" s="477"/>
      <c r="BA63" s="477"/>
      <c r="BB63" s="481"/>
    </row>
    <row r="64" spans="1:54" s="165" customFormat="1" ht="11.25" hidden="1" customHeight="1" x14ac:dyDescent="0.2">
      <c r="A64" s="652"/>
      <c r="B64" s="653"/>
      <c r="C64" s="653"/>
      <c r="D64" s="653"/>
      <c r="E64" s="653"/>
      <c r="F64" s="653"/>
      <c r="G64" s="653"/>
      <c r="H64" s="658" t="s">
        <v>26</v>
      </c>
      <c r="I64" s="659"/>
      <c r="J64" s="659"/>
      <c r="K64" s="659"/>
      <c r="L64" s="659"/>
      <c r="M64" s="659"/>
      <c r="N64" s="650">
        <v>0</v>
      </c>
      <c r="O64" s="650"/>
      <c r="P64" s="650"/>
      <c r="Q64" s="191" t="s">
        <v>27</v>
      </c>
      <c r="R64" s="650">
        <f>$AX$19*N64</f>
        <v>0</v>
      </c>
      <c r="S64" s="650"/>
      <c r="T64" s="650"/>
      <c r="U64" s="650"/>
      <c r="V64" s="650"/>
      <c r="W64" s="191" t="s">
        <v>28</v>
      </c>
      <c r="X64" s="191" t="s">
        <v>29</v>
      </c>
      <c r="Y64" s="191"/>
      <c r="Z64" s="191"/>
      <c r="AA64" s="191"/>
      <c r="AB64" s="195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664"/>
      <c r="AT64" s="664"/>
      <c r="AU64" s="664"/>
      <c r="AV64" s="664"/>
      <c r="AW64" s="664"/>
      <c r="AX64" s="529"/>
      <c r="AY64" s="529"/>
      <c r="AZ64" s="529"/>
      <c r="BA64" s="529"/>
      <c r="BB64" s="665"/>
    </row>
    <row r="65" spans="1:54" s="165" customFormat="1" ht="5.0999999999999996" hidden="1" customHeight="1" x14ac:dyDescent="0.2">
      <c r="A65" s="652"/>
      <c r="B65" s="653"/>
      <c r="C65" s="653"/>
      <c r="D65" s="653"/>
      <c r="E65" s="653"/>
      <c r="F65" s="653"/>
      <c r="G65" s="653"/>
      <c r="H65" s="196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91"/>
      <c r="AA65" s="191"/>
      <c r="AB65" s="195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65" customFormat="1" ht="11.25" hidden="1" customHeight="1" x14ac:dyDescent="0.2">
      <c r="A66" s="652"/>
      <c r="B66" s="653"/>
      <c r="C66" s="653"/>
      <c r="D66" s="653"/>
      <c r="E66" s="653"/>
      <c r="F66" s="653"/>
      <c r="G66" s="653"/>
      <c r="H66" s="197" t="s">
        <v>30</v>
      </c>
      <c r="I66" s="654">
        <v>0</v>
      </c>
      <c r="J66" s="654"/>
      <c r="K66" s="654"/>
      <c r="L66" s="191" t="s">
        <v>28</v>
      </c>
      <c r="M66" s="654">
        <v>0</v>
      </c>
      <c r="N66" s="654"/>
      <c r="O66" s="654"/>
      <c r="P66" s="191" t="s">
        <v>28</v>
      </c>
      <c r="Q66" s="654"/>
      <c r="R66" s="654"/>
      <c r="S66" s="654"/>
      <c r="T66" s="191" t="s">
        <v>28</v>
      </c>
      <c r="U66" s="654"/>
      <c r="V66" s="654"/>
      <c r="W66" s="654"/>
      <c r="X66" s="191" t="s">
        <v>31</v>
      </c>
      <c r="Y66" s="191" t="s">
        <v>28</v>
      </c>
      <c r="Z66" s="650">
        <v>2.6</v>
      </c>
      <c r="AA66" s="650"/>
      <c r="AB66" s="651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65" customFormat="1" ht="5.0999999999999996" hidden="1" customHeight="1" thickBot="1" x14ac:dyDescent="0.25">
      <c r="A67" s="652"/>
      <c r="B67" s="653"/>
      <c r="C67" s="653"/>
      <c r="D67" s="653"/>
      <c r="E67" s="653"/>
      <c r="F67" s="653"/>
      <c r="G67" s="653"/>
      <c r="H67" s="198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200"/>
      <c r="AA67" s="200"/>
      <c r="AB67" s="201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65" customFormat="1" ht="5.0999999999999996" hidden="1" customHeight="1" x14ac:dyDescent="0.2">
      <c r="A68" s="652"/>
      <c r="B68" s="653"/>
      <c r="C68" s="653"/>
      <c r="D68" s="653"/>
      <c r="E68" s="653"/>
      <c r="F68" s="653"/>
      <c r="G68" s="653"/>
      <c r="H68" s="19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94" t="e">
        <f>#REF!</f>
        <v>#REF!</v>
      </c>
      <c r="AA68" s="191"/>
      <c r="AB68" s="195"/>
      <c r="AC68" s="507">
        <f>((R69+(R69*U71)+(R69*Q71)+(R69*M71)+(R69*I71))*Z71)*1.15</f>
        <v>0</v>
      </c>
      <c r="AD68" s="507"/>
      <c r="AE68" s="507"/>
      <c r="AF68" s="507"/>
      <c r="AG68" s="507"/>
      <c r="AH68" s="529">
        <v>1</v>
      </c>
      <c r="AI68" s="529"/>
      <c r="AJ68" s="529"/>
      <c r="AK68" s="529"/>
      <c r="AL68" s="529"/>
      <c r="AM68" s="529"/>
      <c r="AN68" s="529">
        <f>AC68/AH68</f>
        <v>0</v>
      </c>
      <c r="AO68" s="529"/>
      <c r="AP68" s="529"/>
      <c r="AQ68" s="529"/>
      <c r="AR68" s="529"/>
      <c r="AS68" s="663">
        <f t="shared" ref="AS68" si="1">U22</f>
        <v>0</v>
      </c>
      <c r="AT68" s="663"/>
      <c r="AU68" s="663"/>
      <c r="AV68" s="663"/>
      <c r="AW68" s="663"/>
      <c r="AX68" s="529">
        <f>AN68*AS68</f>
        <v>0</v>
      </c>
      <c r="AY68" s="529"/>
      <c r="AZ68" s="529"/>
      <c r="BA68" s="529"/>
      <c r="BB68" s="665"/>
    </row>
    <row r="69" spans="1:54" s="165" customFormat="1" ht="11.25" hidden="1" customHeight="1" x14ac:dyDescent="0.2">
      <c r="A69" s="652"/>
      <c r="B69" s="653"/>
      <c r="C69" s="653"/>
      <c r="D69" s="653"/>
      <c r="E69" s="653"/>
      <c r="F69" s="653"/>
      <c r="G69" s="653"/>
      <c r="H69" s="658" t="s">
        <v>26</v>
      </c>
      <c r="I69" s="659"/>
      <c r="J69" s="659"/>
      <c r="K69" s="659"/>
      <c r="L69" s="659"/>
      <c r="M69" s="659"/>
      <c r="N69" s="650">
        <v>0</v>
      </c>
      <c r="O69" s="650"/>
      <c r="P69" s="650"/>
      <c r="Q69" s="191" t="s">
        <v>27</v>
      </c>
      <c r="R69" s="650">
        <f>$AX$19*N69</f>
        <v>0</v>
      </c>
      <c r="S69" s="650"/>
      <c r="T69" s="650"/>
      <c r="U69" s="650"/>
      <c r="V69" s="650"/>
      <c r="W69" s="191" t="s">
        <v>28</v>
      </c>
      <c r="X69" s="191" t="s">
        <v>29</v>
      </c>
      <c r="Y69" s="191"/>
      <c r="Z69" s="191"/>
      <c r="AA69" s="191"/>
      <c r="AB69" s="195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529"/>
      <c r="AP69" s="529"/>
      <c r="AQ69" s="529"/>
      <c r="AR69" s="529"/>
      <c r="AS69" s="664"/>
      <c r="AT69" s="664"/>
      <c r="AU69" s="664"/>
      <c r="AV69" s="664"/>
      <c r="AW69" s="664"/>
      <c r="AX69" s="529"/>
      <c r="AY69" s="529"/>
      <c r="AZ69" s="529"/>
      <c r="BA69" s="529"/>
      <c r="BB69" s="665"/>
    </row>
    <row r="70" spans="1:54" ht="5.0999999999999996" hidden="1" customHeight="1" x14ac:dyDescent="0.2">
      <c r="A70" s="652"/>
      <c r="B70" s="653"/>
      <c r="C70" s="653"/>
      <c r="D70" s="653"/>
      <c r="E70" s="653"/>
      <c r="F70" s="653"/>
      <c r="G70" s="653"/>
      <c r="H70" s="19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91"/>
      <c r="AA70" s="191"/>
      <c r="AB70" s="195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s="165" customFormat="1" ht="11.25" hidden="1" customHeight="1" x14ac:dyDescent="0.2">
      <c r="A71" s="652"/>
      <c r="B71" s="653"/>
      <c r="C71" s="653"/>
      <c r="D71" s="653"/>
      <c r="E71" s="653"/>
      <c r="F71" s="653"/>
      <c r="G71" s="653"/>
      <c r="H71" s="197" t="s">
        <v>30</v>
      </c>
      <c r="I71" s="654">
        <v>0</v>
      </c>
      <c r="J71" s="654"/>
      <c r="K71" s="654"/>
      <c r="L71" s="191" t="s">
        <v>28</v>
      </c>
      <c r="M71" s="654">
        <v>0</v>
      </c>
      <c r="N71" s="654"/>
      <c r="O71" s="654"/>
      <c r="P71" s="191" t="s">
        <v>28</v>
      </c>
      <c r="Q71" s="654"/>
      <c r="R71" s="654"/>
      <c r="S71" s="654"/>
      <c r="T71" s="191" t="s">
        <v>28</v>
      </c>
      <c r="U71" s="654"/>
      <c r="V71" s="654"/>
      <c r="W71" s="654"/>
      <c r="X71" s="191" t="s">
        <v>31</v>
      </c>
      <c r="Y71" s="191" t="s">
        <v>28</v>
      </c>
      <c r="Z71" s="650">
        <v>2.6</v>
      </c>
      <c r="AA71" s="650"/>
      <c r="AB71" s="651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65" customFormat="1" ht="11.25" hidden="1" customHeight="1" thickBot="1" x14ac:dyDescent="0.25">
      <c r="A72" s="652"/>
      <c r="B72" s="653"/>
      <c r="C72" s="653"/>
      <c r="D72" s="653"/>
      <c r="E72" s="653"/>
      <c r="F72" s="653"/>
      <c r="G72" s="653"/>
      <c r="H72" s="198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200"/>
      <c r="AA72" s="200"/>
      <c r="AB72" s="201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65" customFormat="1" ht="15" hidden="1" customHeight="1" x14ac:dyDescent="0.2">
      <c r="A73" s="660" t="s">
        <v>84</v>
      </c>
      <c r="B73" s="661"/>
      <c r="C73" s="661"/>
      <c r="D73" s="661"/>
      <c r="E73" s="661"/>
      <c r="F73" s="661"/>
      <c r="G73" s="661"/>
      <c r="H73" s="19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94" t="e">
        <f>#REF!</f>
        <v>#REF!</v>
      </c>
      <c r="AA73" s="191"/>
      <c r="AB73" s="195"/>
      <c r="AC73" s="507">
        <f>((R74+(R74*U76)+(R74*Q76)+(R74*M76)+(R74*I76))*Z76)</f>
        <v>0</v>
      </c>
      <c r="AD73" s="507"/>
      <c r="AE73" s="507"/>
      <c r="AF73" s="507"/>
      <c r="AG73" s="507"/>
      <c r="AH73" s="529">
        <v>75</v>
      </c>
      <c r="AI73" s="529"/>
      <c r="AJ73" s="529"/>
      <c r="AK73" s="529"/>
      <c r="AL73" s="529"/>
      <c r="AM73" s="529"/>
      <c r="AN73" s="529">
        <f>AC73/AH73</f>
        <v>0</v>
      </c>
      <c r="AO73" s="529"/>
      <c r="AP73" s="529"/>
      <c r="AQ73" s="529"/>
      <c r="AR73" s="529"/>
      <c r="AS73" s="663">
        <f t="shared" ref="AS73" si="2">U27</f>
        <v>0</v>
      </c>
      <c r="AT73" s="663"/>
      <c r="AU73" s="663"/>
      <c r="AV73" s="663"/>
      <c r="AW73" s="663"/>
      <c r="AX73" s="529">
        <f>AN73*AS73</f>
        <v>0</v>
      </c>
      <c r="AY73" s="529"/>
      <c r="AZ73" s="529"/>
      <c r="BA73" s="529"/>
      <c r="BB73" s="665"/>
    </row>
    <row r="74" spans="1:54" s="165" customFormat="1" ht="21" hidden="1" customHeight="1" thickBot="1" x14ac:dyDescent="0.25">
      <c r="A74" s="652"/>
      <c r="B74" s="653"/>
      <c r="C74" s="653"/>
      <c r="D74" s="653"/>
      <c r="E74" s="653"/>
      <c r="F74" s="653"/>
      <c r="G74" s="653"/>
      <c r="H74" s="658" t="s">
        <v>26</v>
      </c>
      <c r="I74" s="659"/>
      <c r="J74" s="659"/>
      <c r="K74" s="659"/>
      <c r="L74" s="659"/>
      <c r="M74" s="659"/>
      <c r="N74" s="650">
        <v>0</v>
      </c>
      <c r="O74" s="650"/>
      <c r="P74" s="650"/>
      <c r="Q74" s="191" t="s">
        <v>27</v>
      </c>
      <c r="R74" s="650">
        <f>$AX$19*N74</f>
        <v>0</v>
      </c>
      <c r="S74" s="650"/>
      <c r="T74" s="650"/>
      <c r="U74" s="650"/>
      <c r="V74" s="650"/>
      <c r="W74" s="191" t="s">
        <v>28</v>
      </c>
      <c r="X74" s="191" t="s">
        <v>29</v>
      </c>
      <c r="Y74" s="191"/>
      <c r="Z74" s="191"/>
      <c r="AA74" s="191"/>
      <c r="AB74" s="195"/>
      <c r="AC74" s="529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29"/>
      <c r="AS74" s="664"/>
      <c r="AT74" s="664"/>
      <c r="AU74" s="664"/>
      <c r="AV74" s="664"/>
      <c r="AW74" s="664"/>
      <c r="AX74" s="529"/>
      <c r="AY74" s="529"/>
      <c r="AZ74" s="529"/>
      <c r="BA74" s="529"/>
      <c r="BB74" s="665"/>
    </row>
    <row r="75" spans="1:54" s="165" customFormat="1" ht="12" hidden="1" customHeight="1" thickBot="1" x14ac:dyDescent="0.25">
      <c r="A75" s="652"/>
      <c r="B75" s="653"/>
      <c r="C75" s="653"/>
      <c r="D75" s="653"/>
      <c r="E75" s="653"/>
      <c r="F75" s="653"/>
      <c r="G75" s="653"/>
      <c r="H75" s="196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91"/>
      <c r="AA75" s="191"/>
      <c r="AB75" s="195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29"/>
      <c r="AS75" s="664"/>
      <c r="AT75" s="664"/>
      <c r="AU75" s="664"/>
      <c r="AV75" s="664"/>
      <c r="AW75" s="664"/>
      <c r="AX75" s="529"/>
      <c r="AY75" s="529"/>
      <c r="AZ75" s="529"/>
      <c r="BA75" s="529"/>
      <c r="BB75" s="665"/>
    </row>
    <row r="76" spans="1:54" s="165" customFormat="1" ht="15.75" hidden="1" customHeight="1" thickBot="1" x14ac:dyDescent="0.25">
      <c r="A76" s="652"/>
      <c r="B76" s="653"/>
      <c r="C76" s="653"/>
      <c r="D76" s="653"/>
      <c r="E76" s="653"/>
      <c r="F76" s="653"/>
      <c r="G76" s="653"/>
      <c r="H76" s="197" t="s">
        <v>30</v>
      </c>
      <c r="I76" s="654">
        <v>0.2</v>
      </c>
      <c r="J76" s="654"/>
      <c r="K76" s="654"/>
      <c r="L76" s="191" t="s">
        <v>28</v>
      </c>
      <c r="M76" s="654">
        <v>0.15</v>
      </c>
      <c r="N76" s="654"/>
      <c r="O76" s="654"/>
      <c r="P76" s="191" t="s">
        <v>28</v>
      </c>
      <c r="Q76" s="654">
        <v>0.5</v>
      </c>
      <c r="R76" s="654"/>
      <c r="S76" s="654"/>
      <c r="T76" s="191" t="s">
        <v>28</v>
      </c>
      <c r="U76" s="654">
        <v>0</v>
      </c>
      <c r="V76" s="654"/>
      <c r="W76" s="654"/>
      <c r="X76" s="191" t="s">
        <v>31</v>
      </c>
      <c r="Y76" s="191" t="s">
        <v>28</v>
      </c>
      <c r="Z76" s="650">
        <v>2.6</v>
      </c>
      <c r="AA76" s="650"/>
      <c r="AB76" s="651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29"/>
      <c r="AS76" s="664"/>
      <c r="AT76" s="664"/>
      <c r="AU76" s="664"/>
      <c r="AV76" s="664"/>
      <c r="AW76" s="664"/>
      <c r="AX76" s="529"/>
      <c r="AY76" s="529"/>
      <c r="AZ76" s="529"/>
      <c r="BA76" s="529"/>
      <c r="BB76" s="665"/>
    </row>
    <row r="77" spans="1:54" ht="13.5" hidden="1" customHeight="1" thickBot="1" x14ac:dyDescent="0.25">
      <c r="A77" s="652"/>
      <c r="B77" s="653"/>
      <c r="C77" s="653"/>
      <c r="D77" s="653"/>
      <c r="E77" s="653"/>
      <c r="F77" s="653"/>
      <c r="G77" s="653"/>
      <c r="H77" s="198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200"/>
      <c r="AA77" s="200"/>
      <c r="AB77" s="201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29"/>
      <c r="AS77" s="664"/>
      <c r="AT77" s="664"/>
      <c r="AU77" s="664"/>
      <c r="AV77" s="664"/>
      <c r="AW77" s="664"/>
      <c r="AX77" s="529"/>
      <c r="AY77" s="529"/>
      <c r="AZ77" s="529"/>
      <c r="BA77" s="529"/>
      <c r="BB77" s="665"/>
    </row>
    <row r="78" spans="1:54" s="165" customFormat="1" ht="8.25" hidden="1" customHeight="1" x14ac:dyDescent="0.2">
      <c r="A78" s="660" t="s">
        <v>86</v>
      </c>
      <c r="B78" s="661"/>
      <c r="C78" s="661"/>
      <c r="D78" s="661"/>
      <c r="E78" s="661"/>
      <c r="F78" s="661"/>
      <c r="G78" s="661"/>
      <c r="H78" s="19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94" t="e">
        <f>#REF!</f>
        <v>#REF!</v>
      </c>
      <c r="AA78" s="191"/>
      <c r="AB78" s="195"/>
      <c r="AC78" s="662">
        <f>((R79+(R79*U81)+(R79*Q81)+(R79*M81)+(R79*I81))*Z81)*1.15</f>
        <v>0</v>
      </c>
      <c r="AD78" s="662"/>
      <c r="AE78" s="662"/>
      <c r="AF78" s="662"/>
      <c r="AG78" s="662"/>
      <c r="AH78" s="601">
        <v>144</v>
      </c>
      <c r="AI78" s="601"/>
      <c r="AJ78" s="601"/>
      <c r="AK78" s="601"/>
      <c r="AL78" s="601"/>
      <c r="AM78" s="601"/>
      <c r="AN78" s="601">
        <f>AC78/AH78</f>
        <v>0</v>
      </c>
      <c r="AO78" s="601"/>
      <c r="AP78" s="601"/>
      <c r="AQ78" s="601"/>
      <c r="AR78" s="601"/>
      <c r="AS78" s="663">
        <v>72</v>
      </c>
      <c r="AT78" s="663"/>
      <c r="AU78" s="663"/>
      <c r="AV78" s="663"/>
      <c r="AW78" s="663"/>
      <c r="AX78" s="601">
        <f>AN78*AS78</f>
        <v>0</v>
      </c>
      <c r="AY78" s="601"/>
      <c r="AZ78" s="601"/>
      <c r="BA78" s="601"/>
      <c r="BB78" s="655"/>
    </row>
    <row r="79" spans="1:54" s="165" customFormat="1" ht="27" hidden="1" customHeight="1" thickBot="1" x14ac:dyDescent="0.25">
      <c r="A79" s="652"/>
      <c r="B79" s="653"/>
      <c r="C79" s="653"/>
      <c r="D79" s="653"/>
      <c r="E79" s="653"/>
      <c r="F79" s="653"/>
      <c r="G79" s="653"/>
      <c r="H79" s="658" t="s">
        <v>26</v>
      </c>
      <c r="I79" s="659"/>
      <c r="J79" s="659"/>
      <c r="K79" s="659"/>
      <c r="L79" s="659"/>
      <c r="M79" s="659"/>
      <c r="N79" s="650">
        <v>0</v>
      </c>
      <c r="O79" s="650"/>
      <c r="P79" s="650"/>
      <c r="Q79" s="191" t="s">
        <v>27</v>
      </c>
      <c r="R79" s="650">
        <f>$AX$19*N79</f>
        <v>0</v>
      </c>
      <c r="S79" s="650"/>
      <c r="T79" s="650"/>
      <c r="U79" s="650"/>
      <c r="V79" s="650"/>
      <c r="W79" s="191" t="s">
        <v>28</v>
      </c>
      <c r="X79" s="191" t="s">
        <v>29</v>
      </c>
      <c r="Y79" s="191"/>
      <c r="Z79" s="191"/>
      <c r="AA79" s="191"/>
      <c r="AB79" s="195"/>
      <c r="AC79" s="601"/>
      <c r="AD79" s="601"/>
      <c r="AE79" s="601"/>
      <c r="AF79" s="601"/>
      <c r="AG79" s="601"/>
      <c r="AH79" s="601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64"/>
      <c r="AT79" s="664"/>
      <c r="AU79" s="664"/>
      <c r="AV79" s="664"/>
      <c r="AW79" s="664"/>
      <c r="AX79" s="601"/>
      <c r="AY79" s="601"/>
      <c r="AZ79" s="601"/>
      <c r="BA79" s="601"/>
      <c r="BB79" s="655"/>
    </row>
    <row r="80" spans="1:54" s="165" customFormat="1" ht="6.75" hidden="1" customHeight="1" thickBot="1" x14ac:dyDescent="0.25">
      <c r="A80" s="652"/>
      <c r="B80" s="653"/>
      <c r="C80" s="653"/>
      <c r="D80" s="653"/>
      <c r="E80" s="653"/>
      <c r="F80" s="653"/>
      <c r="G80" s="653"/>
      <c r="H80" s="19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91"/>
      <c r="AA80" s="191"/>
      <c r="AB80" s="195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ht="12" hidden="1" customHeight="1" thickBot="1" x14ac:dyDescent="0.25">
      <c r="A81" s="652"/>
      <c r="B81" s="653"/>
      <c r="C81" s="653"/>
      <c r="D81" s="653"/>
      <c r="E81" s="653"/>
      <c r="F81" s="653"/>
      <c r="G81" s="653"/>
      <c r="H81" s="197" t="s">
        <v>30</v>
      </c>
      <c r="I81" s="654">
        <v>0.2</v>
      </c>
      <c r="J81" s="654"/>
      <c r="K81" s="654"/>
      <c r="L81" s="191" t="s">
        <v>28</v>
      </c>
      <c r="M81" s="654">
        <v>0</v>
      </c>
      <c r="N81" s="654"/>
      <c r="O81" s="654"/>
      <c r="P81" s="191" t="s">
        <v>28</v>
      </c>
      <c r="Q81" s="654">
        <v>0</v>
      </c>
      <c r="R81" s="654"/>
      <c r="S81" s="654"/>
      <c r="T81" s="191" t="s">
        <v>28</v>
      </c>
      <c r="U81" s="654">
        <v>0</v>
      </c>
      <c r="V81" s="654"/>
      <c r="W81" s="654"/>
      <c r="X81" s="191" t="s">
        <v>31</v>
      </c>
      <c r="Y81" s="191" t="s">
        <v>28</v>
      </c>
      <c r="Z81" s="650">
        <v>2.6</v>
      </c>
      <c r="AA81" s="650"/>
      <c r="AB81" s="651"/>
      <c r="AC81" s="601"/>
      <c r="AD81" s="601"/>
      <c r="AE81" s="601"/>
      <c r="AF81" s="601"/>
      <c r="AG81" s="601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3.5" hidden="1" customHeight="1" thickBot="1" x14ac:dyDescent="0.25">
      <c r="A82" s="652"/>
      <c r="B82" s="653"/>
      <c r="C82" s="653"/>
      <c r="D82" s="653"/>
      <c r="E82" s="653"/>
      <c r="F82" s="653"/>
      <c r="G82" s="653"/>
      <c r="H82" s="202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4"/>
      <c r="AA82" s="204"/>
      <c r="AB82" s="205"/>
      <c r="AC82" s="601"/>
      <c r="AD82" s="601"/>
      <c r="AE82" s="601"/>
      <c r="AF82" s="601"/>
      <c r="AG82" s="601"/>
      <c r="AH82" s="656"/>
      <c r="AI82" s="656"/>
      <c r="AJ82" s="656"/>
      <c r="AK82" s="656"/>
      <c r="AL82" s="656"/>
      <c r="AM82" s="656"/>
      <c r="AN82" s="656"/>
      <c r="AO82" s="656"/>
      <c r="AP82" s="656"/>
      <c r="AQ82" s="656"/>
      <c r="AR82" s="656"/>
      <c r="AS82" s="664"/>
      <c r="AT82" s="664"/>
      <c r="AU82" s="664"/>
      <c r="AV82" s="664"/>
      <c r="AW82" s="664"/>
      <c r="AX82" s="656"/>
      <c r="AY82" s="656"/>
      <c r="AZ82" s="656"/>
      <c r="BA82" s="656"/>
      <c r="BB82" s="657"/>
    </row>
    <row r="83" spans="1:54" ht="11.25" customHeight="1" x14ac:dyDescent="0.2">
      <c r="R83" s="169" t="s">
        <v>18</v>
      </c>
      <c r="S83" s="170"/>
      <c r="T83" s="170"/>
      <c r="U83" s="171"/>
      <c r="V83" s="171"/>
      <c r="W83" s="171"/>
      <c r="X83" s="171"/>
      <c r="Y83" s="171"/>
      <c r="Z83" s="171"/>
      <c r="AA83" s="171"/>
      <c r="AB83" s="171"/>
      <c r="AC83" s="171"/>
      <c r="AD83" s="171" t="s">
        <v>19</v>
      </c>
      <c r="AE83" s="171" t="s">
        <v>20</v>
      </c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2"/>
      <c r="AS83" s="453">
        <f>AX83/U12</f>
        <v>281.66666666666669</v>
      </c>
      <c r="AT83" s="453"/>
      <c r="AU83" s="453"/>
      <c r="AV83" s="453"/>
      <c r="AW83" s="453"/>
      <c r="AX83" s="453">
        <f>SUM(AX58:BB82)</f>
        <v>20280</v>
      </c>
      <c r="AY83" s="453"/>
      <c r="AZ83" s="453"/>
      <c r="BA83" s="453"/>
      <c r="BB83" s="454"/>
    </row>
    <row r="84" spans="1:54" ht="11.25" customHeight="1" thickBot="1" x14ac:dyDescent="0.25">
      <c r="R84" s="175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 t="s">
        <v>19</v>
      </c>
      <c r="AE84" s="176" t="s">
        <v>21</v>
      </c>
      <c r="AF84" s="176"/>
      <c r="AG84" s="176"/>
      <c r="AH84" s="176"/>
      <c r="AI84" s="176"/>
      <c r="AJ84" s="176"/>
      <c r="AK84" s="176"/>
      <c r="AL84" s="176"/>
      <c r="AM84" s="176"/>
      <c r="AN84" s="176"/>
      <c r="AO84" s="630">
        <v>0.30199999999999999</v>
      </c>
      <c r="AP84" s="631"/>
      <c r="AQ84" s="631"/>
      <c r="AR84" s="632"/>
      <c r="AS84" s="463">
        <f>AX84/U12</f>
        <v>85.063333333333333</v>
      </c>
      <c r="AT84" s="463"/>
      <c r="AU84" s="463"/>
      <c r="AV84" s="463"/>
      <c r="AW84" s="463"/>
      <c r="AX84" s="463">
        <f>AX83*AO84</f>
        <v>6124.5599999999995</v>
      </c>
      <c r="AY84" s="463"/>
      <c r="AZ84" s="463"/>
      <c r="BA84" s="463"/>
      <c r="BB84" s="633"/>
    </row>
    <row r="85" spans="1:54" ht="11.25" customHeight="1" thickBot="1" x14ac:dyDescent="0.25">
      <c r="M85" s="164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206"/>
      <c r="AP85" s="179"/>
      <c r="AQ85" s="179"/>
      <c r="AR85" s="179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</row>
    <row r="86" spans="1:54" ht="12" customHeight="1" x14ac:dyDescent="0.2">
      <c r="A86" s="634" t="s">
        <v>32</v>
      </c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34"/>
      <c r="O86" s="635" t="s">
        <v>33</v>
      </c>
      <c r="P86" s="636"/>
      <c r="Q86" s="636"/>
      <c r="R86" s="636"/>
      <c r="S86" s="636"/>
      <c r="T86" s="636"/>
      <c r="U86" s="636"/>
      <c r="V86" s="636"/>
      <c r="W86" s="636"/>
      <c r="X86" s="636"/>
      <c r="Y86" s="636"/>
      <c r="Z86" s="636"/>
      <c r="AA86" s="636"/>
      <c r="AB86" s="636"/>
      <c r="AC86" s="636"/>
      <c r="AD86" s="636"/>
      <c r="AE86" s="636"/>
      <c r="AF86" s="636"/>
      <c r="AG86" s="636"/>
      <c r="AH86" s="636"/>
      <c r="AI86" s="636"/>
      <c r="AJ86" s="636"/>
      <c r="AK86" s="636"/>
      <c r="AL86" s="636"/>
      <c r="AM86" s="636"/>
      <c r="AN86" s="636"/>
      <c r="AO86" s="637">
        <f>AS34+AS51+AS83</f>
        <v>394.33333333333337</v>
      </c>
      <c r="AP86" s="637"/>
      <c r="AQ86" s="637"/>
      <c r="AR86" s="637"/>
      <c r="AS86" s="637"/>
      <c r="AT86" s="637"/>
      <c r="AU86" s="637"/>
      <c r="AV86" s="637">
        <f>AX34+AX51+AX83</f>
        <v>28392</v>
      </c>
      <c r="AW86" s="637"/>
      <c r="AX86" s="637"/>
      <c r="AY86" s="637"/>
      <c r="AZ86" s="637"/>
      <c r="BA86" s="637"/>
      <c r="BB86" s="638"/>
    </row>
    <row r="87" spans="1:54" ht="12" customHeight="1" thickBot="1" x14ac:dyDescent="0.25">
      <c r="M87" s="163"/>
      <c r="O87" s="643" t="s">
        <v>34</v>
      </c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4"/>
      <c r="AI87" s="644"/>
      <c r="AJ87" s="644"/>
      <c r="AK87" s="644"/>
      <c r="AL87" s="644"/>
      <c r="AM87" s="644"/>
      <c r="AN87" s="644"/>
      <c r="AO87" s="645">
        <f>AS35+AS52+AS84</f>
        <v>119.08866666666667</v>
      </c>
      <c r="AP87" s="645"/>
      <c r="AQ87" s="645"/>
      <c r="AR87" s="645"/>
      <c r="AS87" s="645"/>
      <c r="AT87" s="645"/>
      <c r="AU87" s="645"/>
      <c r="AV87" s="645">
        <f>AX35+AX52+AX84</f>
        <v>8574.384</v>
      </c>
      <c r="AW87" s="645"/>
      <c r="AX87" s="645"/>
      <c r="AY87" s="645"/>
      <c r="AZ87" s="645"/>
      <c r="BA87" s="645"/>
      <c r="BB87" s="646"/>
    </row>
    <row r="88" spans="1:54" ht="12" customHeight="1" thickBot="1" x14ac:dyDescent="0.25">
      <c r="M88" s="208" t="s">
        <v>35</v>
      </c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10"/>
      <c r="AO88" s="647">
        <f>AO87+AO86</f>
        <v>513.42200000000003</v>
      </c>
      <c r="AP88" s="648"/>
      <c r="AQ88" s="648"/>
      <c r="AR88" s="648"/>
      <c r="AS88" s="648"/>
      <c r="AT88" s="648"/>
      <c r="AU88" s="648"/>
      <c r="AV88" s="648">
        <f>AV86+AV87</f>
        <v>36966.383999999998</v>
      </c>
      <c r="AW88" s="648"/>
      <c r="AX88" s="648"/>
      <c r="AY88" s="648"/>
      <c r="AZ88" s="648"/>
      <c r="BA88" s="648"/>
      <c r="BB88" s="649"/>
    </row>
    <row r="89" spans="1:54" ht="10.5" customHeight="1" x14ac:dyDescent="0.2"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</row>
    <row r="90" spans="1:54" s="159" customFormat="1" ht="15" customHeight="1" x14ac:dyDescent="0.2">
      <c r="A90" s="159" t="s">
        <v>36</v>
      </c>
      <c r="C90" s="159" t="s">
        <v>37</v>
      </c>
      <c r="AX90" s="160"/>
      <c r="AY90" s="160"/>
      <c r="AZ90" s="160"/>
      <c r="BA90" s="160"/>
      <c r="BB90" s="160"/>
    </row>
    <row r="91" spans="1:54" ht="12" customHeight="1" thickBot="1" x14ac:dyDescent="0.25"/>
    <row r="92" spans="1:54" s="163" customFormat="1" ht="39" customHeight="1" x14ac:dyDescent="0.2">
      <c r="A92" s="499" t="s">
        <v>38</v>
      </c>
      <c r="B92" s="500"/>
      <c r="C92" s="500"/>
      <c r="D92" s="500"/>
      <c r="E92" s="500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35" t="s">
        <v>39</v>
      </c>
      <c r="R92" s="535"/>
      <c r="S92" s="535"/>
      <c r="T92" s="535"/>
      <c r="U92" s="535"/>
      <c r="V92" s="535"/>
      <c r="W92" s="535"/>
      <c r="X92" s="535" t="s">
        <v>40</v>
      </c>
      <c r="Y92" s="535"/>
      <c r="Z92" s="535"/>
      <c r="AA92" s="535"/>
      <c r="AB92" s="535"/>
      <c r="AC92" s="535"/>
      <c r="AD92" s="535"/>
      <c r="AE92" s="535" t="s">
        <v>41</v>
      </c>
      <c r="AF92" s="535"/>
      <c r="AG92" s="535"/>
      <c r="AH92" s="535"/>
      <c r="AI92" s="535"/>
      <c r="AJ92" s="535"/>
      <c r="AK92" s="535"/>
      <c r="AL92" s="535"/>
      <c r="AM92" s="500" t="s">
        <v>42</v>
      </c>
      <c r="AN92" s="500"/>
      <c r="AO92" s="500"/>
      <c r="AP92" s="500"/>
      <c r="AQ92" s="500"/>
      <c r="AR92" s="500"/>
      <c r="AS92" s="500"/>
      <c r="AT92" s="500"/>
      <c r="AU92" s="500"/>
      <c r="AV92" s="500" t="s">
        <v>43</v>
      </c>
      <c r="AW92" s="500"/>
      <c r="AX92" s="500"/>
      <c r="AY92" s="500"/>
      <c r="AZ92" s="500"/>
      <c r="BA92" s="500"/>
      <c r="BB92" s="639"/>
    </row>
    <row r="93" spans="1:54" s="163" customFormat="1" ht="12" customHeight="1" thickBot="1" x14ac:dyDescent="0.25">
      <c r="A93" s="640">
        <v>1</v>
      </c>
      <c r="B93" s="641"/>
      <c r="C93" s="641"/>
      <c r="D93" s="641"/>
      <c r="E93" s="641"/>
      <c r="F93" s="641"/>
      <c r="G93" s="641"/>
      <c r="H93" s="641"/>
      <c r="I93" s="641"/>
      <c r="J93" s="641"/>
      <c r="K93" s="641"/>
      <c r="L93" s="641"/>
      <c r="M93" s="641"/>
      <c r="N93" s="641"/>
      <c r="O93" s="641"/>
      <c r="P93" s="641"/>
      <c r="Q93" s="641">
        <v>2</v>
      </c>
      <c r="R93" s="641"/>
      <c r="S93" s="641"/>
      <c r="T93" s="641"/>
      <c r="U93" s="641"/>
      <c r="V93" s="641"/>
      <c r="W93" s="641"/>
      <c r="X93" s="641">
        <v>3</v>
      </c>
      <c r="Y93" s="641"/>
      <c r="Z93" s="641"/>
      <c r="AA93" s="641"/>
      <c r="AB93" s="641"/>
      <c r="AC93" s="641"/>
      <c r="AD93" s="641"/>
      <c r="AE93" s="641">
        <v>4</v>
      </c>
      <c r="AF93" s="641"/>
      <c r="AG93" s="641"/>
      <c r="AH93" s="641"/>
      <c r="AI93" s="641"/>
      <c r="AJ93" s="641"/>
      <c r="AK93" s="641"/>
      <c r="AL93" s="641"/>
      <c r="AM93" s="641">
        <v>5</v>
      </c>
      <c r="AN93" s="641"/>
      <c r="AO93" s="641"/>
      <c r="AP93" s="641"/>
      <c r="AQ93" s="641"/>
      <c r="AR93" s="641"/>
      <c r="AS93" s="641"/>
      <c r="AT93" s="641"/>
      <c r="AU93" s="641"/>
      <c r="AV93" s="641">
        <v>6</v>
      </c>
      <c r="AW93" s="641"/>
      <c r="AX93" s="641"/>
      <c r="AY93" s="641"/>
      <c r="AZ93" s="641"/>
      <c r="BA93" s="641"/>
      <c r="BB93" s="642"/>
    </row>
    <row r="94" spans="1:54" ht="15" customHeight="1" x14ac:dyDescent="0.2">
      <c r="A94" s="618" t="s">
        <v>44</v>
      </c>
      <c r="B94" s="619"/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9"/>
      <c r="Q94" s="572">
        <v>5014.7</v>
      </c>
      <c r="R94" s="573"/>
      <c r="S94" s="573"/>
      <c r="T94" s="573"/>
      <c r="U94" s="573"/>
      <c r="V94" s="573"/>
      <c r="W94" s="574"/>
      <c r="X94" s="572">
        <v>53.8</v>
      </c>
      <c r="Y94" s="573"/>
      <c r="Z94" s="573"/>
      <c r="AA94" s="573"/>
      <c r="AB94" s="573"/>
      <c r="AC94" s="573"/>
      <c r="AD94" s="574"/>
      <c r="AE94" s="477">
        <v>1543273.99</v>
      </c>
      <c r="AF94" s="477"/>
      <c r="AG94" s="477"/>
      <c r="AH94" s="477"/>
      <c r="AI94" s="477"/>
      <c r="AJ94" s="477"/>
      <c r="AK94" s="477"/>
      <c r="AL94" s="477"/>
      <c r="AM94" s="620" t="s">
        <v>45</v>
      </c>
      <c r="AN94" s="621"/>
      <c r="AO94" s="621"/>
      <c r="AP94" s="621"/>
      <c r="AQ94" s="621"/>
      <c r="AR94" s="621"/>
      <c r="AS94" s="621"/>
      <c r="AT94" s="621"/>
      <c r="AU94" s="622"/>
      <c r="AV94" s="615">
        <f>AE94/$Q$94*$X$94/($AN$95*$AN$96)</f>
        <v>5.5860157548413607</v>
      </c>
      <c r="AW94" s="615"/>
      <c r="AX94" s="615"/>
      <c r="AY94" s="615"/>
      <c r="AZ94" s="615"/>
      <c r="BA94" s="615"/>
      <c r="BB94" s="616"/>
    </row>
    <row r="95" spans="1:54" ht="15" customHeight="1" x14ac:dyDescent="0.2">
      <c r="A95" s="618" t="s">
        <v>46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/>
      <c r="R95" s="573"/>
      <c r="S95" s="573"/>
      <c r="T95" s="573"/>
      <c r="U95" s="573"/>
      <c r="V95" s="573"/>
      <c r="W95" s="574"/>
      <c r="X95" s="572"/>
      <c r="Y95" s="573"/>
      <c r="Z95" s="573"/>
      <c r="AA95" s="573"/>
      <c r="AB95" s="573"/>
      <c r="AC95" s="573"/>
      <c r="AD95" s="574"/>
      <c r="AE95" s="529">
        <v>2640483.81</v>
      </c>
      <c r="AF95" s="529"/>
      <c r="AG95" s="529"/>
      <c r="AH95" s="529"/>
      <c r="AI95" s="529"/>
      <c r="AJ95" s="529"/>
      <c r="AK95" s="529"/>
      <c r="AL95" s="529"/>
      <c r="AM95" s="213"/>
      <c r="AN95" s="623">
        <v>247</v>
      </c>
      <c r="AO95" s="623"/>
      <c r="AP95" s="623"/>
      <c r="AQ95" s="617" t="s">
        <v>47</v>
      </c>
      <c r="AR95" s="617"/>
      <c r="AS95" s="617"/>
      <c r="AT95" s="617"/>
      <c r="AU95" s="214"/>
      <c r="AV95" s="615">
        <f>AE95/$Q$94*$X$94/($AN$95*$AN$96)</f>
        <v>9.5574630678921384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449" t="s">
        <v>48</v>
      </c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  <c r="M96" s="450"/>
      <c r="N96" s="450"/>
      <c r="O96" s="450"/>
      <c r="P96" s="451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529">
        <v>4214618.8899999997</v>
      </c>
      <c r="AF96" s="529"/>
      <c r="AG96" s="529"/>
      <c r="AH96" s="529"/>
      <c r="AI96" s="529"/>
      <c r="AJ96" s="529"/>
      <c r="AK96" s="529"/>
      <c r="AL96" s="529"/>
      <c r="AM96" s="213"/>
      <c r="AN96" s="562">
        <v>12</v>
      </c>
      <c r="AO96" s="562"/>
      <c r="AP96" s="562"/>
      <c r="AQ96" s="617" t="s">
        <v>49</v>
      </c>
      <c r="AR96" s="617"/>
      <c r="AS96" s="617"/>
      <c r="AT96" s="617"/>
      <c r="AU96" s="214"/>
      <c r="AV96" s="615">
        <f>AE96/$Q$94*$X$94/($AN$95*$AN$96)</f>
        <v>15.255183248563661</v>
      </c>
      <c r="AW96" s="615"/>
      <c r="AX96" s="615"/>
      <c r="AY96" s="615"/>
      <c r="AZ96" s="615"/>
      <c r="BA96" s="615"/>
      <c r="BB96" s="616"/>
    </row>
    <row r="97" spans="1:57" ht="15" customHeight="1" thickBot="1" x14ac:dyDescent="0.25">
      <c r="A97" s="624" t="s">
        <v>50</v>
      </c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6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627">
        <v>1852856.09</v>
      </c>
      <c r="AF97" s="627"/>
      <c r="AG97" s="627"/>
      <c r="AH97" s="627"/>
      <c r="AI97" s="627"/>
      <c r="AJ97" s="627"/>
      <c r="AK97" s="627"/>
      <c r="AL97" s="627"/>
      <c r="AM97" s="213"/>
      <c r="AN97" s="186"/>
      <c r="AO97" s="186"/>
      <c r="AP97" s="186"/>
      <c r="AQ97" s="186"/>
      <c r="AR97" s="186"/>
      <c r="AS97" s="186"/>
      <c r="AT97" s="186"/>
      <c r="AU97" s="214"/>
      <c r="AV97" s="628">
        <f>AE97/$Q$94*$X$94/($AN$95*$AN$96)</f>
        <v>6.7065753568449384</v>
      </c>
      <c r="AW97" s="628"/>
      <c r="AX97" s="628"/>
      <c r="AY97" s="628"/>
      <c r="AZ97" s="628"/>
      <c r="BA97" s="628"/>
      <c r="BB97" s="629"/>
    </row>
    <row r="98" spans="1:57" s="161" customFormat="1" ht="15" customHeight="1" thickBot="1" x14ac:dyDescent="0.25">
      <c r="A98" s="610" t="s">
        <v>51</v>
      </c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531">
        <f>Q94</f>
        <v>5014.7</v>
      </c>
      <c r="R98" s="533"/>
      <c r="S98" s="533"/>
      <c r="T98" s="533"/>
      <c r="U98" s="533"/>
      <c r="V98" s="533"/>
      <c r="W98" s="534"/>
      <c r="X98" s="531">
        <f>X94</f>
        <v>53.8</v>
      </c>
      <c r="Y98" s="533"/>
      <c r="Z98" s="533"/>
      <c r="AA98" s="533"/>
      <c r="AB98" s="533"/>
      <c r="AC98" s="533"/>
      <c r="AD98" s="534"/>
      <c r="AE98" s="612">
        <f>SUM(AE94:AL97)</f>
        <v>10251232.779999999</v>
      </c>
      <c r="AF98" s="612"/>
      <c r="AG98" s="612"/>
      <c r="AH98" s="612"/>
      <c r="AI98" s="612"/>
      <c r="AJ98" s="612"/>
      <c r="AK98" s="612"/>
      <c r="AL98" s="612"/>
      <c r="AM98" s="531" t="s">
        <v>17</v>
      </c>
      <c r="AN98" s="533"/>
      <c r="AO98" s="533"/>
      <c r="AP98" s="533"/>
      <c r="AQ98" s="533"/>
      <c r="AR98" s="533"/>
      <c r="AS98" s="533"/>
      <c r="AT98" s="533"/>
      <c r="AU98" s="534"/>
      <c r="AV98" s="613">
        <f>SUM(AV94:BB97)</f>
        <v>37.105237428142097</v>
      </c>
      <c r="AW98" s="613"/>
      <c r="AX98" s="613"/>
      <c r="AY98" s="613"/>
      <c r="AZ98" s="613"/>
      <c r="BA98" s="613"/>
      <c r="BB98" s="614"/>
    </row>
    <row r="99" spans="1:57" ht="12" customHeight="1" x14ac:dyDescent="0.2"/>
    <row r="100" spans="1:57" s="159" customFormat="1" ht="15" customHeight="1" x14ac:dyDescent="0.2">
      <c r="A100" s="159" t="s">
        <v>52</v>
      </c>
      <c r="C100" s="159" t="s">
        <v>53</v>
      </c>
      <c r="AX100" s="160"/>
      <c r="AY100" s="160"/>
      <c r="AZ100" s="160"/>
      <c r="BA100" s="160"/>
      <c r="BB100" s="160"/>
    </row>
    <row r="101" spans="1:57" ht="12" customHeight="1" thickBot="1" x14ac:dyDescent="0.25"/>
    <row r="102" spans="1:57" ht="39" customHeight="1" thickBot="1" x14ac:dyDescent="0.25">
      <c r="A102" s="687" t="s">
        <v>54</v>
      </c>
      <c r="B102" s="688"/>
      <c r="C102" s="688"/>
      <c r="D102" s="688"/>
      <c r="E102" s="688"/>
      <c r="F102" s="688"/>
      <c r="G102" s="688"/>
      <c r="H102" s="688"/>
      <c r="I102" s="688"/>
      <c r="J102" s="688"/>
      <c r="K102" s="688"/>
      <c r="L102" s="688"/>
      <c r="M102" s="688"/>
      <c r="N102" s="688"/>
      <c r="O102" s="688"/>
      <c r="P102" s="688"/>
      <c r="Q102" s="688"/>
      <c r="R102" s="688"/>
      <c r="S102" s="688"/>
      <c r="T102" s="688"/>
      <c r="U102" s="688"/>
      <c r="V102" s="688"/>
      <c r="W102" s="688"/>
      <c r="X102" s="688"/>
      <c r="Y102" s="688"/>
      <c r="Z102" s="689"/>
      <c r="AA102" s="671" t="s">
        <v>55</v>
      </c>
      <c r="AB102" s="672"/>
      <c r="AC102" s="672"/>
      <c r="AD102" s="672"/>
      <c r="AE102" s="672"/>
      <c r="AF102" s="699"/>
      <c r="AG102" s="671" t="s">
        <v>56</v>
      </c>
      <c r="AH102" s="672"/>
      <c r="AI102" s="672"/>
      <c r="AJ102" s="672"/>
      <c r="AK102" s="672"/>
      <c r="AL102" s="699"/>
      <c r="AM102" s="696" t="s">
        <v>57</v>
      </c>
      <c r="AN102" s="688"/>
      <c r="AO102" s="688"/>
      <c r="AP102" s="688"/>
      <c r="AQ102" s="688"/>
      <c r="AR102" s="688"/>
      <c r="AS102" s="688"/>
      <c r="AT102" s="689"/>
      <c r="AU102" s="696" t="s">
        <v>43</v>
      </c>
      <c r="AV102" s="688"/>
      <c r="AW102" s="688"/>
      <c r="AX102" s="688"/>
      <c r="AY102" s="688"/>
      <c r="AZ102" s="688"/>
      <c r="BA102" s="688"/>
      <c r="BB102" s="852"/>
    </row>
    <row r="103" spans="1:57" ht="15.75" customHeight="1" thickBot="1" x14ac:dyDescent="0.25">
      <c r="A103" s="532">
        <v>1</v>
      </c>
      <c r="B103" s="533"/>
      <c r="C103" s="533"/>
      <c r="D103" s="533"/>
      <c r="E103" s="533"/>
      <c r="F103" s="533"/>
      <c r="G103" s="533"/>
      <c r="H103" s="533"/>
      <c r="I103" s="533"/>
      <c r="J103" s="533"/>
      <c r="K103" s="533"/>
      <c r="L103" s="533"/>
      <c r="M103" s="533"/>
      <c r="N103" s="533"/>
      <c r="O103" s="533"/>
      <c r="P103" s="533"/>
      <c r="Q103" s="533"/>
      <c r="R103" s="533"/>
      <c r="S103" s="533"/>
      <c r="T103" s="533"/>
      <c r="U103" s="533"/>
      <c r="V103" s="533"/>
      <c r="W103" s="533"/>
      <c r="X103" s="533"/>
      <c r="Y103" s="533"/>
      <c r="Z103" s="534"/>
      <c r="AA103" s="531">
        <v>2</v>
      </c>
      <c r="AB103" s="533"/>
      <c r="AC103" s="533"/>
      <c r="AD103" s="533"/>
      <c r="AE103" s="533"/>
      <c r="AF103" s="534"/>
      <c r="AG103" s="531">
        <v>3</v>
      </c>
      <c r="AH103" s="533"/>
      <c r="AI103" s="533"/>
      <c r="AJ103" s="533"/>
      <c r="AK103" s="533"/>
      <c r="AL103" s="534"/>
      <c r="AM103" s="531">
        <v>4</v>
      </c>
      <c r="AN103" s="533"/>
      <c r="AO103" s="533"/>
      <c r="AP103" s="533"/>
      <c r="AQ103" s="533"/>
      <c r="AR103" s="533"/>
      <c r="AS103" s="533"/>
      <c r="AT103" s="534"/>
      <c r="AU103" s="531">
        <v>5</v>
      </c>
      <c r="AV103" s="533"/>
      <c r="AW103" s="533"/>
      <c r="AX103" s="533"/>
      <c r="AY103" s="533"/>
      <c r="AZ103" s="533"/>
      <c r="BA103" s="533"/>
      <c r="BB103" s="680"/>
    </row>
    <row r="104" spans="1:57" ht="18.75" customHeight="1" x14ac:dyDescent="0.2">
      <c r="A104" s="856" t="s">
        <v>138</v>
      </c>
      <c r="B104" s="857"/>
      <c r="C104" s="857"/>
      <c r="D104" s="857"/>
      <c r="E104" s="857"/>
      <c r="F104" s="857"/>
      <c r="G104" s="857"/>
      <c r="H104" s="857"/>
      <c r="I104" s="857"/>
      <c r="J104" s="857"/>
      <c r="K104" s="857"/>
      <c r="L104" s="857"/>
      <c r="M104" s="857"/>
      <c r="N104" s="857"/>
      <c r="O104" s="857"/>
      <c r="P104" s="857"/>
      <c r="Q104" s="857"/>
      <c r="R104" s="857"/>
      <c r="S104" s="857"/>
      <c r="T104" s="857"/>
      <c r="U104" s="857"/>
      <c r="V104" s="857"/>
      <c r="W104" s="857"/>
      <c r="X104" s="857"/>
      <c r="Y104" s="857"/>
      <c r="Z104" s="858"/>
      <c r="AA104" s="604">
        <v>480</v>
      </c>
      <c r="AB104" s="605"/>
      <c r="AC104" s="605"/>
      <c r="AD104" s="605"/>
      <c r="AE104" s="605"/>
      <c r="AF104" s="606"/>
      <c r="AG104" s="569">
        <f>U12</f>
        <v>72</v>
      </c>
      <c r="AH104" s="570"/>
      <c r="AI104" s="570"/>
      <c r="AJ104" s="570"/>
      <c r="AK104" s="570"/>
      <c r="AL104" s="571"/>
      <c r="AM104" s="569" t="s">
        <v>58</v>
      </c>
      <c r="AN104" s="570"/>
      <c r="AO104" s="570"/>
      <c r="AP104" s="570"/>
      <c r="AQ104" s="570"/>
      <c r="AR104" s="570"/>
      <c r="AS104" s="570"/>
      <c r="AT104" s="571"/>
      <c r="AU104" s="607">
        <f>AA104/AG104</f>
        <v>6.666666666666667</v>
      </c>
      <c r="AV104" s="608"/>
      <c r="AW104" s="608"/>
      <c r="AX104" s="608"/>
      <c r="AY104" s="608"/>
      <c r="AZ104" s="608"/>
      <c r="BA104" s="608"/>
      <c r="BB104" s="609"/>
    </row>
    <row r="105" spans="1:57" ht="20.25" customHeight="1" x14ac:dyDescent="0.2">
      <c r="A105" s="853" t="s">
        <v>90</v>
      </c>
      <c r="B105" s="854"/>
      <c r="C105" s="854"/>
      <c r="D105" s="854"/>
      <c r="E105" s="854"/>
      <c r="F105" s="854"/>
      <c r="G105" s="854"/>
      <c r="H105" s="854"/>
      <c r="I105" s="854"/>
      <c r="J105" s="854"/>
      <c r="K105" s="854"/>
      <c r="L105" s="854"/>
      <c r="M105" s="854"/>
      <c r="N105" s="854"/>
      <c r="O105" s="854"/>
      <c r="P105" s="854"/>
      <c r="Q105" s="854"/>
      <c r="R105" s="854"/>
      <c r="S105" s="854"/>
      <c r="T105" s="854"/>
      <c r="U105" s="854"/>
      <c r="V105" s="854"/>
      <c r="W105" s="854"/>
      <c r="X105" s="854"/>
      <c r="Y105" s="854"/>
      <c r="Z105" s="855"/>
      <c r="AA105" s="596">
        <v>600</v>
      </c>
      <c r="AB105" s="597"/>
      <c r="AC105" s="597"/>
      <c r="AD105" s="597"/>
      <c r="AE105" s="597"/>
      <c r="AF105" s="59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590">
        <f>AA105/AG104</f>
        <v>8.3333333333333339</v>
      </c>
      <c r="AV105" s="591"/>
      <c r="AW105" s="591"/>
      <c r="AX105" s="591"/>
      <c r="AY105" s="591"/>
      <c r="AZ105" s="591"/>
      <c r="BA105" s="591"/>
      <c r="BB105" s="592"/>
    </row>
    <row r="106" spans="1:57" ht="20.25" customHeight="1" x14ac:dyDescent="0.2">
      <c r="A106" s="853" t="s">
        <v>102</v>
      </c>
      <c r="B106" s="854"/>
      <c r="C106" s="854"/>
      <c r="D106" s="854"/>
      <c r="E106" s="854"/>
      <c r="F106" s="854"/>
      <c r="G106" s="854"/>
      <c r="H106" s="854"/>
      <c r="I106" s="854"/>
      <c r="J106" s="854"/>
      <c r="K106" s="854"/>
      <c r="L106" s="854"/>
      <c r="M106" s="854"/>
      <c r="N106" s="854"/>
      <c r="O106" s="854"/>
      <c r="P106" s="854"/>
      <c r="Q106" s="854"/>
      <c r="R106" s="854"/>
      <c r="S106" s="854"/>
      <c r="T106" s="854"/>
      <c r="U106" s="854"/>
      <c r="V106" s="854"/>
      <c r="W106" s="854"/>
      <c r="X106" s="854"/>
      <c r="Y106" s="854"/>
      <c r="Z106" s="855"/>
      <c r="AA106" s="596">
        <v>300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AA106/AG104</f>
        <v>4.166666666666667</v>
      </c>
      <c r="AV106" s="591"/>
      <c r="AW106" s="591"/>
      <c r="AX106" s="591"/>
      <c r="AY106" s="591"/>
      <c r="AZ106" s="591"/>
      <c r="BA106" s="591"/>
      <c r="BB106" s="592"/>
      <c r="BE106" s="117">
        <f>AU106*12*4</f>
        <v>200</v>
      </c>
    </row>
    <row r="107" spans="1:57" ht="22.5" customHeight="1" x14ac:dyDescent="0.2">
      <c r="A107" s="853" t="s">
        <v>103</v>
      </c>
      <c r="B107" s="854"/>
      <c r="C107" s="854"/>
      <c r="D107" s="854"/>
      <c r="E107" s="854"/>
      <c r="F107" s="854"/>
      <c r="G107" s="854"/>
      <c r="H107" s="854"/>
      <c r="I107" s="854"/>
      <c r="J107" s="854"/>
      <c r="K107" s="854"/>
      <c r="L107" s="854"/>
      <c r="M107" s="854"/>
      <c r="N107" s="854"/>
      <c r="O107" s="854"/>
      <c r="P107" s="854"/>
      <c r="Q107" s="854"/>
      <c r="R107" s="854"/>
      <c r="S107" s="854"/>
      <c r="T107" s="854"/>
      <c r="U107" s="854"/>
      <c r="V107" s="854"/>
      <c r="W107" s="854"/>
      <c r="X107" s="854"/>
      <c r="Y107" s="854"/>
      <c r="Z107" s="855"/>
      <c r="AA107" s="596">
        <v>450</v>
      </c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AA107/AG104</f>
        <v>6.25</v>
      </c>
      <c r="AV107" s="591"/>
      <c r="AW107" s="591"/>
      <c r="AX107" s="591"/>
      <c r="AY107" s="591"/>
      <c r="AZ107" s="591"/>
      <c r="BA107" s="591"/>
      <c r="BB107" s="592"/>
    </row>
    <row r="108" spans="1:57" ht="26.25" customHeight="1" x14ac:dyDescent="0.2">
      <c r="A108" s="833" t="s">
        <v>104</v>
      </c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3"/>
      <c r="AA108" s="596">
        <v>250</v>
      </c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>
        <f>AA108/AG104</f>
        <v>3.4722222222222223</v>
      </c>
      <c r="AV108" s="591"/>
      <c r="AW108" s="591"/>
      <c r="AX108" s="591"/>
      <c r="AY108" s="591"/>
      <c r="AZ108" s="591"/>
      <c r="BA108" s="591"/>
      <c r="BB108" s="592"/>
    </row>
    <row r="109" spans="1:57" ht="26.25" customHeight="1" x14ac:dyDescent="0.2">
      <c r="A109" s="833" t="s">
        <v>76</v>
      </c>
      <c r="B109" s="862"/>
      <c r="C109" s="862"/>
      <c r="D109" s="862"/>
      <c r="E109" s="862"/>
      <c r="F109" s="862"/>
      <c r="G109" s="862"/>
      <c r="H109" s="862"/>
      <c r="I109" s="862"/>
      <c r="J109" s="862"/>
      <c r="K109" s="862"/>
      <c r="L109" s="862"/>
      <c r="M109" s="862"/>
      <c r="N109" s="862"/>
      <c r="O109" s="862"/>
      <c r="P109" s="862"/>
      <c r="Q109" s="862"/>
      <c r="R109" s="862"/>
      <c r="S109" s="862"/>
      <c r="T109" s="862"/>
      <c r="U109" s="862"/>
      <c r="V109" s="862"/>
      <c r="W109" s="862"/>
      <c r="X109" s="862"/>
      <c r="Y109" s="862"/>
      <c r="Z109" s="863"/>
      <c r="AA109" s="596">
        <v>365</v>
      </c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590">
        <f>AA109/AG104</f>
        <v>5.0694444444444446</v>
      </c>
      <c r="AV109" s="591"/>
      <c r="AW109" s="591"/>
      <c r="AX109" s="591"/>
      <c r="AY109" s="591"/>
      <c r="AZ109" s="591"/>
      <c r="BA109" s="591"/>
      <c r="BB109" s="592"/>
    </row>
    <row r="110" spans="1:57" ht="26.25" customHeight="1" x14ac:dyDescent="0.2">
      <c r="A110" s="833" t="s">
        <v>121</v>
      </c>
      <c r="B110" s="862"/>
      <c r="C110" s="862"/>
      <c r="D110" s="862"/>
      <c r="E110" s="862"/>
      <c r="F110" s="862"/>
      <c r="G110" s="862"/>
      <c r="H110" s="862"/>
      <c r="I110" s="862"/>
      <c r="J110" s="862"/>
      <c r="K110" s="862"/>
      <c r="L110" s="862"/>
      <c r="M110" s="862"/>
      <c r="N110" s="862"/>
      <c r="O110" s="862"/>
      <c r="P110" s="862"/>
      <c r="Q110" s="862"/>
      <c r="R110" s="862"/>
      <c r="S110" s="862"/>
      <c r="T110" s="862"/>
      <c r="U110" s="862"/>
      <c r="V110" s="862"/>
      <c r="W110" s="862"/>
      <c r="X110" s="862"/>
      <c r="Y110" s="862"/>
      <c r="Z110" s="863"/>
      <c r="AA110" s="596">
        <v>350</v>
      </c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590">
        <f>AA110/AG104</f>
        <v>4.8611111111111107</v>
      </c>
      <c r="AV110" s="591"/>
      <c r="AW110" s="591"/>
      <c r="AX110" s="591"/>
      <c r="AY110" s="591"/>
      <c r="AZ110" s="591"/>
      <c r="BA110" s="591"/>
      <c r="BB110" s="592"/>
    </row>
    <row r="111" spans="1:57" ht="26.25" customHeight="1" x14ac:dyDescent="0.2">
      <c r="A111" s="833" t="s">
        <v>511</v>
      </c>
      <c r="B111" s="862"/>
      <c r="C111" s="862"/>
      <c r="D111" s="862"/>
      <c r="E111" s="862"/>
      <c r="F111" s="862"/>
      <c r="G111" s="862"/>
      <c r="H111" s="862"/>
      <c r="I111" s="862"/>
      <c r="J111" s="862"/>
      <c r="K111" s="862"/>
      <c r="L111" s="862"/>
      <c r="M111" s="862"/>
      <c r="N111" s="862"/>
      <c r="O111" s="862"/>
      <c r="P111" s="862"/>
      <c r="Q111" s="862"/>
      <c r="R111" s="862"/>
      <c r="S111" s="862"/>
      <c r="T111" s="862"/>
      <c r="U111" s="862"/>
      <c r="V111" s="862"/>
      <c r="W111" s="862"/>
      <c r="X111" s="862"/>
      <c r="Y111" s="862"/>
      <c r="Z111" s="863"/>
      <c r="AA111" s="596">
        <v>352.89</v>
      </c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AA111/AG104</f>
        <v>4.9012500000000001</v>
      </c>
      <c r="AV111" s="591"/>
      <c r="AW111" s="591"/>
      <c r="AX111" s="591"/>
      <c r="AY111" s="591"/>
      <c r="AZ111" s="591"/>
      <c r="BA111" s="591"/>
      <c r="BB111" s="592"/>
    </row>
    <row r="112" spans="1:57" ht="26.25" customHeight="1" x14ac:dyDescent="0.2">
      <c r="A112" s="833" t="s">
        <v>512</v>
      </c>
      <c r="B112" s="862"/>
      <c r="C112" s="862"/>
      <c r="D112" s="862"/>
      <c r="E112" s="862"/>
      <c r="F112" s="862"/>
      <c r="G112" s="862"/>
      <c r="H112" s="862"/>
      <c r="I112" s="862"/>
      <c r="J112" s="862"/>
      <c r="K112" s="862"/>
      <c r="L112" s="862"/>
      <c r="M112" s="862"/>
      <c r="N112" s="862"/>
      <c r="O112" s="862"/>
      <c r="P112" s="862"/>
      <c r="Q112" s="862"/>
      <c r="R112" s="862"/>
      <c r="S112" s="862"/>
      <c r="T112" s="862"/>
      <c r="U112" s="862"/>
      <c r="V112" s="862"/>
      <c r="W112" s="862"/>
      <c r="X112" s="862"/>
      <c r="Y112" s="862"/>
      <c r="Z112" s="863"/>
      <c r="AA112" s="596">
        <v>600</v>
      </c>
      <c r="AB112" s="597"/>
      <c r="AC112" s="597"/>
      <c r="AD112" s="597"/>
      <c r="AE112" s="597"/>
      <c r="AF112" s="598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AA112/AG104</f>
        <v>8.3333333333333339</v>
      </c>
      <c r="AV112" s="591"/>
      <c r="AW112" s="591"/>
      <c r="AX112" s="591"/>
      <c r="AY112" s="591"/>
      <c r="AZ112" s="591"/>
      <c r="BA112" s="591"/>
      <c r="BB112" s="592"/>
    </row>
    <row r="113" spans="1:54" ht="26.25" customHeight="1" x14ac:dyDescent="0.25">
      <c r="A113" s="833" t="s">
        <v>654</v>
      </c>
      <c r="B113" s="834"/>
      <c r="C113" s="834"/>
      <c r="D113" s="834"/>
      <c r="E113" s="834"/>
      <c r="F113" s="834"/>
      <c r="G113" s="834"/>
      <c r="H113" s="834"/>
      <c r="I113" s="834"/>
      <c r="J113" s="834"/>
      <c r="K113" s="834"/>
      <c r="L113" s="834"/>
      <c r="M113" s="834"/>
      <c r="N113" s="834"/>
      <c r="O113" s="834"/>
      <c r="P113" s="834"/>
      <c r="Q113" s="834"/>
      <c r="R113" s="834"/>
      <c r="S113" s="834"/>
      <c r="T113" s="834"/>
      <c r="U113" s="834"/>
      <c r="V113" s="834"/>
      <c r="W113" s="834"/>
      <c r="X113" s="834"/>
      <c r="Y113" s="834"/>
      <c r="Z113" s="835"/>
      <c r="AA113" s="596">
        <v>150</v>
      </c>
      <c r="AB113" s="838"/>
      <c r="AC113" s="838"/>
      <c r="AD113" s="838"/>
      <c r="AE113" s="838"/>
      <c r="AF113" s="839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AA113/AG104</f>
        <v>2.0833333333333335</v>
      </c>
      <c r="AV113" s="836"/>
      <c r="AW113" s="836"/>
      <c r="AX113" s="836"/>
      <c r="AY113" s="836"/>
      <c r="AZ113" s="836"/>
      <c r="BA113" s="836"/>
      <c r="BB113" s="837"/>
    </row>
    <row r="114" spans="1:54" ht="26.25" customHeight="1" x14ac:dyDescent="0.25">
      <c r="A114" s="833" t="s">
        <v>653</v>
      </c>
      <c r="B114" s="834"/>
      <c r="C114" s="834"/>
      <c r="D114" s="834"/>
      <c r="E114" s="834"/>
      <c r="F114" s="834"/>
      <c r="G114" s="834"/>
      <c r="H114" s="834"/>
      <c r="I114" s="834"/>
      <c r="J114" s="834"/>
      <c r="K114" s="834"/>
      <c r="L114" s="834"/>
      <c r="M114" s="834"/>
      <c r="N114" s="834"/>
      <c r="O114" s="834"/>
      <c r="P114" s="834"/>
      <c r="Q114" s="834"/>
      <c r="R114" s="834"/>
      <c r="S114" s="834"/>
      <c r="T114" s="834"/>
      <c r="U114" s="834"/>
      <c r="V114" s="834"/>
      <c r="W114" s="834"/>
      <c r="X114" s="834"/>
      <c r="Y114" s="834"/>
      <c r="Z114" s="835"/>
      <c r="AA114" s="596">
        <v>650</v>
      </c>
      <c r="AB114" s="838"/>
      <c r="AC114" s="838"/>
      <c r="AD114" s="838"/>
      <c r="AE114" s="838"/>
      <c r="AF114" s="839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AA114/AG104</f>
        <v>9.0277777777777786</v>
      </c>
      <c r="AV114" s="836"/>
      <c r="AW114" s="836"/>
      <c r="AX114" s="836"/>
      <c r="AY114" s="836"/>
      <c r="AZ114" s="836"/>
      <c r="BA114" s="836"/>
      <c r="BB114" s="837"/>
    </row>
    <row r="115" spans="1:54" ht="26.25" customHeight="1" x14ac:dyDescent="0.2">
      <c r="A115" s="833" t="s">
        <v>513</v>
      </c>
      <c r="B115" s="862"/>
      <c r="C115" s="862"/>
      <c r="D115" s="862"/>
      <c r="E115" s="862"/>
      <c r="F115" s="862"/>
      <c r="G115" s="862"/>
      <c r="H115" s="862"/>
      <c r="I115" s="862"/>
      <c r="J115" s="862"/>
      <c r="K115" s="862"/>
      <c r="L115" s="862"/>
      <c r="M115" s="862"/>
      <c r="N115" s="862"/>
      <c r="O115" s="862"/>
      <c r="P115" s="862"/>
      <c r="Q115" s="862"/>
      <c r="R115" s="862"/>
      <c r="S115" s="862"/>
      <c r="T115" s="862"/>
      <c r="U115" s="862"/>
      <c r="V115" s="862"/>
      <c r="W115" s="862"/>
      <c r="X115" s="862"/>
      <c r="Y115" s="862"/>
      <c r="Z115" s="863"/>
      <c r="AA115" s="596">
        <v>550</v>
      </c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AA115/AG104</f>
        <v>7.6388888888888893</v>
      </c>
      <c r="AV115" s="591"/>
      <c r="AW115" s="591"/>
      <c r="AX115" s="591"/>
      <c r="AY115" s="591"/>
      <c r="AZ115" s="591"/>
      <c r="BA115" s="591"/>
      <c r="BB115" s="592"/>
    </row>
    <row r="116" spans="1:54" ht="19.5" customHeight="1" x14ac:dyDescent="0.2">
      <c r="A116" s="593" t="s">
        <v>105</v>
      </c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5"/>
      <c r="AA116" s="596">
        <v>400</v>
      </c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AA116/AG104</f>
        <v>5.5555555555555554</v>
      </c>
      <c r="AV116" s="591"/>
      <c r="AW116" s="591"/>
      <c r="AX116" s="591"/>
      <c r="AY116" s="591"/>
      <c r="AZ116" s="591"/>
      <c r="BA116" s="591"/>
      <c r="BB116" s="592"/>
    </row>
    <row r="117" spans="1:54" ht="0.75" customHeight="1" x14ac:dyDescent="0.2">
      <c r="A117" s="593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AA117/AG104</f>
        <v>0</v>
      </c>
      <c r="AV117" s="591"/>
      <c r="AW117" s="591"/>
      <c r="AX117" s="591"/>
      <c r="AY117" s="591"/>
      <c r="AZ117" s="591"/>
      <c r="BA117" s="591"/>
      <c r="BB117" s="592"/>
    </row>
    <row r="118" spans="1:54" ht="19.5" hidden="1" customHeight="1" x14ac:dyDescent="0.2">
      <c r="A118" s="593"/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596"/>
      <c r="AB118" s="597"/>
      <c r="AC118" s="597"/>
      <c r="AD118" s="597"/>
      <c r="AE118" s="597"/>
      <c r="AF118" s="59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AA118/AG104</f>
        <v>0</v>
      </c>
      <c r="AV118" s="591"/>
      <c r="AW118" s="591"/>
      <c r="AX118" s="591"/>
      <c r="AY118" s="591"/>
      <c r="AZ118" s="591"/>
      <c r="BA118" s="591"/>
      <c r="BB118" s="592"/>
    </row>
    <row r="119" spans="1:54" ht="20.25" hidden="1" customHeight="1" x14ac:dyDescent="0.2">
      <c r="A119" s="593"/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596"/>
      <c r="AB119" s="597"/>
      <c r="AC119" s="597"/>
      <c r="AD119" s="597"/>
      <c r="AE119" s="597"/>
      <c r="AF119" s="59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AA119/AG104</f>
        <v>0</v>
      </c>
      <c r="AV119" s="591"/>
      <c r="AW119" s="591"/>
      <c r="AX119" s="591"/>
      <c r="AY119" s="591"/>
      <c r="AZ119" s="591"/>
      <c r="BA119" s="591"/>
      <c r="BB119" s="592"/>
    </row>
    <row r="120" spans="1:54" ht="16.5" hidden="1" customHeight="1" x14ac:dyDescent="0.2">
      <c r="A120" s="593"/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5"/>
      <c r="AA120" s="596"/>
      <c r="AB120" s="597"/>
      <c r="AC120" s="597"/>
      <c r="AD120" s="597"/>
      <c r="AE120" s="597"/>
      <c r="AF120" s="598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90">
        <f>AA120/AG104</f>
        <v>0</v>
      </c>
      <c r="AV120" s="591"/>
      <c r="AW120" s="591"/>
      <c r="AX120" s="591"/>
      <c r="AY120" s="591"/>
      <c r="AZ120" s="591"/>
      <c r="BA120" s="591"/>
      <c r="BB120" s="592"/>
    </row>
    <row r="121" spans="1:54" s="161" customFormat="1" ht="19.5" hidden="1" customHeight="1" x14ac:dyDescent="0.2">
      <c r="A121" s="593"/>
      <c r="B121" s="594"/>
      <c r="C121" s="594"/>
      <c r="D121" s="594"/>
      <c r="E121" s="594"/>
      <c r="F121" s="594"/>
      <c r="G121" s="594"/>
      <c r="H121" s="594"/>
      <c r="I121" s="594"/>
      <c r="J121" s="594"/>
      <c r="K121" s="594"/>
      <c r="L121" s="594"/>
      <c r="M121" s="594"/>
      <c r="N121" s="594"/>
      <c r="O121" s="594"/>
      <c r="P121" s="594"/>
      <c r="Q121" s="594"/>
      <c r="R121" s="594"/>
      <c r="S121" s="594"/>
      <c r="T121" s="594"/>
      <c r="U121" s="594"/>
      <c r="V121" s="594"/>
      <c r="W121" s="594"/>
      <c r="X121" s="594"/>
      <c r="Y121" s="594"/>
      <c r="Z121" s="595"/>
      <c r="AA121" s="596"/>
      <c r="AB121" s="597"/>
      <c r="AC121" s="597"/>
      <c r="AD121" s="597"/>
      <c r="AE121" s="597"/>
      <c r="AF121" s="598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590">
        <f>AA121/AG104</f>
        <v>0</v>
      </c>
      <c r="AV121" s="591"/>
      <c r="AW121" s="591"/>
      <c r="AX121" s="591"/>
      <c r="AY121" s="591"/>
      <c r="AZ121" s="591"/>
      <c r="BA121" s="591"/>
      <c r="BB121" s="592"/>
    </row>
    <row r="122" spans="1:54" ht="1.5" hidden="1" customHeight="1" x14ac:dyDescent="0.2">
      <c r="A122" s="593"/>
      <c r="B122" s="594"/>
      <c r="C122" s="594"/>
      <c r="D122" s="594"/>
      <c r="E122" s="594"/>
      <c r="F122" s="594"/>
      <c r="G122" s="594"/>
      <c r="H122" s="594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4"/>
      <c r="Z122" s="595"/>
      <c r="AA122" s="596"/>
      <c r="AB122" s="597"/>
      <c r="AC122" s="597"/>
      <c r="AD122" s="597"/>
      <c r="AE122" s="597"/>
      <c r="AF122" s="598"/>
      <c r="AG122" s="572"/>
      <c r="AH122" s="573"/>
      <c r="AI122" s="573"/>
      <c r="AJ122" s="573"/>
      <c r="AK122" s="573"/>
      <c r="AL122" s="574"/>
      <c r="AM122" s="572"/>
      <c r="AN122" s="573"/>
      <c r="AO122" s="573"/>
      <c r="AP122" s="573"/>
      <c r="AQ122" s="573"/>
      <c r="AR122" s="573"/>
      <c r="AS122" s="573"/>
      <c r="AT122" s="574"/>
      <c r="AU122" s="590">
        <f>AA122/AG104</f>
        <v>0</v>
      </c>
      <c r="AV122" s="591"/>
      <c r="AW122" s="591"/>
      <c r="AX122" s="591"/>
      <c r="AY122" s="591"/>
      <c r="AZ122" s="591"/>
      <c r="BA122" s="591"/>
      <c r="BB122" s="592"/>
    </row>
    <row r="123" spans="1:54" s="159" customFormat="1" ht="17.25" hidden="1" customHeight="1" x14ac:dyDescent="0.2">
      <c r="A123" s="593"/>
      <c r="B123" s="594"/>
      <c r="C123" s="594"/>
      <c r="D123" s="594"/>
      <c r="E123" s="594"/>
      <c r="F123" s="594"/>
      <c r="G123" s="594"/>
      <c r="H123" s="594"/>
      <c r="I123" s="594"/>
      <c r="J123" s="594"/>
      <c r="K123" s="594"/>
      <c r="L123" s="594"/>
      <c r="M123" s="594"/>
      <c r="N123" s="594"/>
      <c r="O123" s="594"/>
      <c r="P123" s="594"/>
      <c r="Q123" s="594"/>
      <c r="R123" s="594"/>
      <c r="S123" s="594"/>
      <c r="T123" s="594"/>
      <c r="U123" s="594"/>
      <c r="V123" s="594"/>
      <c r="W123" s="594"/>
      <c r="X123" s="594"/>
      <c r="Y123" s="594"/>
      <c r="Z123" s="595"/>
      <c r="AA123" s="596"/>
      <c r="AB123" s="597"/>
      <c r="AC123" s="597"/>
      <c r="AD123" s="597"/>
      <c r="AE123" s="597"/>
      <c r="AF123" s="598"/>
      <c r="AG123" s="572"/>
      <c r="AH123" s="573"/>
      <c r="AI123" s="573"/>
      <c r="AJ123" s="573"/>
      <c r="AK123" s="573"/>
      <c r="AL123" s="574"/>
      <c r="AM123" s="572"/>
      <c r="AN123" s="573"/>
      <c r="AO123" s="573"/>
      <c r="AP123" s="573"/>
      <c r="AQ123" s="573"/>
      <c r="AR123" s="573"/>
      <c r="AS123" s="573"/>
      <c r="AT123" s="574"/>
      <c r="AU123" s="590">
        <f>AA123/AG104</f>
        <v>0</v>
      </c>
      <c r="AV123" s="591"/>
      <c r="AW123" s="591"/>
      <c r="AX123" s="591"/>
      <c r="AY123" s="591"/>
      <c r="AZ123" s="591"/>
      <c r="BA123" s="591"/>
      <c r="BB123" s="592"/>
    </row>
    <row r="124" spans="1:54" ht="20.25" hidden="1" customHeight="1" x14ac:dyDescent="0.2">
      <c r="A124" s="593"/>
      <c r="B124" s="594"/>
      <c r="C124" s="594"/>
      <c r="D124" s="594"/>
      <c r="E124" s="594"/>
      <c r="F124" s="594"/>
      <c r="G124" s="594"/>
      <c r="H124" s="594"/>
      <c r="I124" s="594"/>
      <c r="J124" s="594"/>
      <c r="K124" s="594"/>
      <c r="L124" s="594"/>
      <c r="M124" s="594"/>
      <c r="N124" s="594"/>
      <c r="O124" s="594"/>
      <c r="P124" s="594"/>
      <c r="Q124" s="594"/>
      <c r="R124" s="594"/>
      <c r="S124" s="594"/>
      <c r="T124" s="594"/>
      <c r="U124" s="594"/>
      <c r="V124" s="594"/>
      <c r="W124" s="594"/>
      <c r="X124" s="594"/>
      <c r="Y124" s="594"/>
      <c r="Z124" s="595"/>
      <c r="AA124" s="596"/>
      <c r="AB124" s="597"/>
      <c r="AC124" s="597"/>
      <c r="AD124" s="597"/>
      <c r="AE124" s="597"/>
      <c r="AF124" s="598"/>
      <c r="AG124" s="572"/>
      <c r="AH124" s="573"/>
      <c r="AI124" s="573"/>
      <c r="AJ124" s="573"/>
      <c r="AK124" s="573"/>
      <c r="AL124" s="574"/>
      <c r="AM124" s="572"/>
      <c r="AN124" s="573"/>
      <c r="AO124" s="573"/>
      <c r="AP124" s="573"/>
      <c r="AQ124" s="573"/>
      <c r="AR124" s="573"/>
      <c r="AS124" s="573"/>
      <c r="AT124" s="574"/>
      <c r="AU124" s="590">
        <f>AA124/AG104</f>
        <v>0</v>
      </c>
      <c r="AV124" s="591"/>
      <c r="AW124" s="591"/>
      <c r="AX124" s="591"/>
      <c r="AY124" s="591"/>
      <c r="AZ124" s="591"/>
      <c r="BA124" s="591"/>
      <c r="BB124" s="592"/>
    </row>
    <row r="125" spans="1:54" ht="18.75" hidden="1" customHeight="1" x14ac:dyDescent="0.2">
      <c r="A125" s="593"/>
      <c r="B125" s="594"/>
      <c r="C125" s="594"/>
      <c r="D125" s="594"/>
      <c r="E125" s="594"/>
      <c r="F125" s="594"/>
      <c r="G125" s="594"/>
      <c r="H125" s="594"/>
      <c r="I125" s="594"/>
      <c r="J125" s="594"/>
      <c r="K125" s="594"/>
      <c r="L125" s="594"/>
      <c r="M125" s="594"/>
      <c r="N125" s="594"/>
      <c r="O125" s="594"/>
      <c r="P125" s="594"/>
      <c r="Q125" s="594"/>
      <c r="R125" s="594"/>
      <c r="S125" s="594"/>
      <c r="T125" s="594"/>
      <c r="U125" s="594"/>
      <c r="V125" s="594"/>
      <c r="W125" s="594"/>
      <c r="X125" s="594"/>
      <c r="Y125" s="594"/>
      <c r="Z125" s="595"/>
      <c r="AA125" s="596"/>
      <c r="AB125" s="597"/>
      <c r="AC125" s="597"/>
      <c r="AD125" s="597"/>
      <c r="AE125" s="597"/>
      <c r="AF125" s="598"/>
      <c r="AG125" s="572"/>
      <c r="AH125" s="573"/>
      <c r="AI125" s="573"/>
      <c r="AJ125" s="573"/>
      <c r="AK125" s="573"/>
      <c r="AL125" s="574"/>
      <c r="AM125" s="572"/>
      <c r="AN125" s="573"/>
      <c r="AO125" s="573"/>
      <c r="AP125" s="573"/>
      <c r="AQ125" s="573"/>
      <c r="AR125" s="573"/>
      <c r="AS125" s="573"/>
      <c r="AT125" s="574"/>
      <c r="AU125" s="590">
        <f>AA125/AG104</f>
        <v>0</v>
      </c>
      <c r="AV125" s="591"/>
      <c r="AW125" s="591"/>
      <c r="AX125" s="591"/>
      <c r="AY125" s="591"/>
      <c r="AZ125" s="591"/>
      <c r="BA125" s="591"/>
      <c r="BB125" s="592"/>
    </row>
    <row r="126" spans="1:54" ht="37.5" hidden="1" customHeight="1" x14ac:dyDescent="0.2">
      <c r="A126" s="593"/>
      <c r="B126" s="594"/>
      <c r="C126" s="594"/>
      <c r="D126" s="594"/>
      <c r="E126" s="594"/>
      <c r="F126" s="594"/>
      <c r="G126" s="594"/>
      <c r="H126" s="594"/>
      <c r="I126" s="594"/>
      <c r="J126" s="594"/>
      <c r="K126" s="594"/>
      <c r="L126" s="594"/>
      <c r="M126" s="594"/>
      <c r="N126" s="594"/>
      <c r="O126" s="594"/>
      <c r="P126" s="594"/>
      <c r="Q126" s="594"/>
      <c r="R126" s="594"/>
      <c r="S126" s="594"/>
      <c r="T126" s="594"/>
      <c r="U126" s="594"/>
      <c r="V126" s="594"/>
      <c r="W126" s="594"/>
      <c r="X126" s="594"/>
      <c r="Y126" s="594"/>
      <c r="Z126" s="595"/>
      <c r="AA126" s="596"/>
      <c r="AB126" s="597"/>
      <c r="AC126" s="597"/>
      <c r="AD126" s="597"/>
      <c r="AE126" s="597"/>
      <c r="AF126" s="598"/>
      <c r="AG126" s="572"/>
      <c r="AH126" s="573"/>
      <c r="AI126" s="573"/>
      <c r="AJ126" s="573"/>
      <c r="AK126" s="573"/>
      <c r="AL126" s="574"/>
      <c r="AM126" s="572"/>
      <c r="AN126" s="573"/>
      <c r="AO126" s="573"/>
      <c r="AP126" s="573"/>
      <c r="AQ126" s="573"/>
      <c r="AR126" s="573"/>
      <c r="AS126" s="573"/>
      <c r="AT126" s="574"/>
      <c r="AU126" s="590">
        <f>AA126/AG104</f>
        <v>0</v>
      </c>
      <c r="AV126" s="591"/>
      <c r="AW126" s="591"/>
      <c r="AX126" s="591"/>
      <c r="AY126" s="591"/>
      <c r="AZ126" s="591"/>
      <c r="BA126" s="591"/>
      <c r="BB126" s="592"/>
    </row>
    <row r="127" spans="1:54" ht="28.5" hidden="1" customHeight="1" x14ac:dyDescent="0.2">
      <c r="A127" s="593"/>
      <c r="B127" s="594"/>
      <c r="C127" s="594"/>
      <c r="D127" s="594"/>
      <c r="E127" s="594"/>
      <c r="F127" s="594"/>
      <c r="G127" s="594"/>
      <c r="H127" s="594"/>
      <c r="I127" s="594"/>
      <c r="J127" s="594"/>
      <c r="K127" s="594"/>
      <c r="L127" s="594"/>
      <c r="M127" s="594"/>
      <c r="N127" s="594"/>
      <c r="O127" s="594"/>
      <c r="P127" s="594"/>
      <c r="Q127" s="594"/>
      <c r="R127" s="594"/>
      <c r="S127" s="594"/>
      <c r="T127" s="594"/>
      <c r="U127" s="594"/>
      <c r="V127" s="594"/>
      <c r="W127" s="594"/>
      <c r="X127" s="594"/>
      <c r="Y127" s="594"/>
      <c r="Z127" s="595"/>
      <c r="AA127" s="596"/>
      <c r="AB127" s="597"/>
      <c r="AC127" s="597"/>
      <c r="AD127" s="597"/>
      <c r="AE127" s="597"/>
      <c r="AF127" s="598"/>
      <c r="AG127" s="572"/>
      <c r="AH127" s="573"/>
      <c r="AI127" s="573"/>
      <c r="AJ127" s="573"/>
      <c r="AK127" s="573"/>
      <c r="AL127" s="574"/>
      <c r="AM127" s="572"/>
      <c r="AN127" s="573"/>
      <c r="AO127" s="573"/>
      <c r="AP127" s="573"/>
      <c r="AQ127" s="573"/>
      <c r="AR127" s="573"/>
      <c r="AS127" s="573"/>
      <c r="AT127" s="574"/>
      <c r="AU127" s="590">
        <f>AA127/AG104</f>
        <v>0</v>
      </c>
      <c r="AV127" s="591"/>
      <c r="AW127" s="591"/>
      <c r="AX127" s="591"/>
      <c r="AY127" s="591"/>
      <c r="AZ127" s="591"/>
      <c r="BA127" s="591"/>
      <c r="BB127" s="592"/>
    </row>
    <row r="128" spans="1:54" ht="21" hidden="1" customHeight="1" x14ac:dyDescent="0.2">
      <c r="A128" s="593"/>
      <c r="B128" s="594"/>
      <c r="C128" s="594"/>
      <c r="D128" s="594"/>
      <c r="E128" s="594"/>
      <c r="F128" s="594"/>
      <c r="G128" s="594"/>
      <c r="H128" s="594"/>
      <c r="I128" s="594"/>
      <c r="J128" s="594"/>
      <c r="K128" s="594"/>
      <c r="L128" s="594"/>
      <c r="M128" s="594"/>
      <c r="N128" s="594"/>
      <c r="O128" s="594"/>
      <c r="P128" s="594"/>
      <c r="Q128" s="594"/>
      <c r="R128" s="594"/>
      <c r="S128" s="594"/>
      <c r="T128" s="594"/>
      <c r="U128" s="594"/>
      <c r="V128" s="594"/>
      <c r="W128" s="594"/>
      <c r="X128" s="594"/>
      <c r="Y128" s="594"/>
      <c r="Z128" s="595"/>
      <c r="AA128" s="596"/>
      <c r="AB128" s="597"/>
      <c r="AC128" s="597"/>
      <c r="AD128" s="597"/>
      <c r="AE128" s="597"/>
      <c r="AF128" s="598"/>
      <c r="AG128" s="572"/>
      <c r="AH128" s="573"/>
      <c r="AI128" s="573"/>
      <c r="AJ128" s="573"/>
      <c r="AK128" s="573"/>
      <c r="AL128" s="574"/>
      <c r="AM128" s="572"/>
      <c r="AN128" s="573"/>
      <c r="AO128" s="573"/>
      <c r="AP128" s="573"/>
      <c r="AQ128" s="573"/>
      <c r="AR128" s="573"/>
      <c r="AS128" s="573"/>
      <c r="AT128" s="574"/>
      <c r="AU128" s="590">
        <f>AA128/AG104</f>
        <v>0</v>
      </c>
      <c r="AV128" s="591"/>
      <c r="AW128" s="591"/>
      <c r="AX128" s="591"/>
      <c r="AY128" s="591"/>
      <c r="AZ128" s="591"/>
      <c r="BA128" s="591"/>
      <c r="BB128" s="592"/>
    </row>
    <row r="129" spans="1:54" ht="21" hidden="1" customHeight="1" x14ac:dyDescent="0.2">
      <c r="A129" s="599"/>
      <c r="B129" s="600"/>
      <c r="C129" s="600"/>
      <c r="D129" s="600"/>
      <c r="E129" s="600"/>
      <c r="F129" s="600"/>
      <c r="G129" s="600"/>
      <c r="H129" s="600"/>
      <c r="I129" s="600"/>
      <c r="J129" s="600"/>
      <c r="K129" s="600"/>
      <c r="L129" s="600"/>
      <c r="M129" s="600"/>
      <c r="N129" s="600"/>
      <c r="O129" s="600"/>
      <c r="P129" s="600"/>
      <c r="Q129" s="600"/>
      <c r="R129" s="600"/>
      <c r="S129" s="600"/>
      <c r="T129" s="600"/>
      <c r="U129" s="600"/>
      <c r="V129" s="600"/>
      <c r="W129" s="600"/>
      <c r="X129" s="600"/>
      <c r="Y129" s="600"/>
      <c r="Z129" s="600"/>
      <c r="AA129" s="601"/>
      <c r="AB129" s="601"/>
      <c r="AC129" s="601"/>
      <c r="AD129" s="601"/>
      <c r="AE129" s="601"/>
      <c r="AF129" s="601"/>
      <c r="AG129" s="572"/>
      <c r="AH129" s="573"/>
      <c r="AI129" s="573"/>
      <c r="AJ129" s="573"/>
      <c r="AK129" s="573"/>
      <c r="AL129" s="574"/>
      <c r="AM129" s="572"/>
      <c r="AN129" s="573"/>
      <c r="AO129" s="573"/>
      <c r="AP129" s="573"/>
      <c r="AQ129" s="573"/>
      <c r="AR129" s="573"/>
      <c r="AS129" s="573"/>
      <c r="AT129" s="574"/>
      <c r="AU129" s="602">
        <f>AA129/AG104</f>
        <v>0</v>
      </c>
      <c r="AV129" s="602"/>
      <c r="AW129" s="602"/>
      <c r="AX129" s="602"/>
      <c r="AY129" s="602"/>
      <c r="AZ129" s="602"/>
      <c r="BA129" s="602"/>
      <c r="BB129" s="603"/>
    </row>
    <row r="130" spans="1:54" ht="0.75" customHeight="1" thickBot="1" x14ac:dyDescent="0.25">
      <c r="A130" s="864"/>
      <c r="B130" s="865"/>
      <c r="C130" s="865"/>
      <c r="D130" s="865"/>
      <c r="E130" s="865"/>
      <c r="F130" s="865"/>
      <c r="G130" s="865"/>
      <c r="H130" s="865"/>
      <c r="I130" s="865"/>
      <c r="J130" s="865"/>
      <c r="K130" s="865"/>
      <c r="L130" s="865"/>
      <c r="M130" s="865"/>
      <c r="N130" s="865"/>
      <c r="O130" s="865"/>
      <c r="P130" s="865"/>
      <c r="Q130" s="865"/>
      <c r="R130" s="865"/>
      <c r="S130" s="865"/>
      <c r="T130" s="865"/>
      <c r="U130" s="865"/>
      <c r="V130" s="865"/>
      <c r="W130" s="865"/>
      <c r="X130" s="865"/>
      <c r="Y130" s="865"/>
      <c r="Z130" s="865"/>
      <c r="AA130" s="656"/>
      <c r="AB130" s="656"/>
      <c r="AC130" s="656"/>
      <c r="AD130" s="656"/>
      <c r="AE130" s="656"/>
      <c r="AF130" s="656"/>
      <c r="AG130" s="859"/>
      <c r="AH130" s="860"/>
      <c r="AI130" s="860"/>
      <c r="AJ130" s="860"/>
      <c r="AK130" s="860"/>
      <c r="AL130" s="861"/>
      <c r="AM130" s="859"/>
      <c r="AN130" s="860"/>
      <c r="AO130" s="860"/>
      <c r="AP130" s="860"/>
      <c r="AQ130" s="860"/>
      <c r="AR130" s="860"/>
      <c r="AS130" s="860"/>
      <c r="AT130" s="861"/>
      <c r="AU130" s="866">
        <f>AA130/AG104</f>
        <v>0</v>
      </c>
      <c r="AV130" s="866"/>
      <c r="AW130" s="866"/>
      <c r="AX130" s="866"/>
      <c r="AY130" s="866"/>
      <c r="AZ130" s="866"/>
      <c r="BA130" s="866"/>
      <c r="BB130" s="867"/>
    </row>
    <row r="131" spans="1:54" ht="16.5" customHeight="1" thickBot="1" x14ac:dyDescent="0.25">
      <c r="A131" s="868" t="s">
        <v>51</v>
      </c>
      <c r="B131" s="868"/>
      <c r="C131" s="868"/>
      <c r="D131" s="868"/>
      <c r="E131" s="868"/>
      <c r="F131" s="868"/>
      <c r="G131" s="868"/>
      <c r="H131" s="868"/>
      <c r="I131" s="868"/>
      <c r="J131" s="868"/>
      <c r="K131" s="868"/>
      <c r="L131" s="868"/>
      <c r="M131" s="868"/>
      <c r="N131" s="868"/>
      <c r="O131" s="868"/>
      <c r="P131" s="868"/>
      <c r="Q131" s="868"/>
      <c r="R131" s="868"/>
      <c r="S131" s="868"/>
      <c r="T131" s="868"/>
      <c r="U131" s="868"/>
      <c r="V131" s="868"/>
      <c r="W131" s="868"/>
      <c r="X131" s="868"/>
      <c r="Y131" s="868"/>
      <c r="Z131" s="868"/>
      <c r="AA131" s="869">
        <f>SUM(AA104:AF130)</f>
        <v>5497.8899999999994</v>
      </c>
      <c r="AB131" s="869"/>
      <c r="AC131" s="869"/>
      <c r="AD131" s="869"/>
      <c r="AE131" s="869"/>
      <c r="AF131" s="869"/>
      <c r="AG131" s="870">
        <f>AG104</f>
        <v>72</v>
      </c>
      <c r="AH131" s="870"/>
      <c r="AI131" s="870"/>
      <c r="AJ131" s="870"/>
      <c r="AK131" s="870"/>
      <c r="AL131" s="870"/>
      <c r="AM131" s="871" t="s">
        <v>17</v>
      </c>
      <c r="AN131" s="871"/>
      <c r="AO131" s="871"/>
      <c r="AP131" s="871"/>
      <c r="AQ131" s="871"/>
      <c r="AR131" s="871"/>
      <c r="AS131" s="871"/>
      <c r="AT131" s="871"/>
      <c r="AU131" s="872">
        <f>SUM(AU104:BB130)</f>
        <v>76.359583333333333</v>
      </c>
      <c r="AV131" s="872"/>
      <c r="AW131" s="872"/>
      <c r="AX131" s="872"/>
      <c r="AY131" s="872"/>
      <c r="AZ131" s="872"/>
      <c r="BA131" s="872"/>
      <c r="BB131" s="872"/>
    </row>
    <row r="132" spans="1:54" ht="12.75" customHeight="1" x14ac:dyDescent="0.2"/>
    <row r="133" spans="1:54" s="161" customFormat="1" ht="15" customHeight="1" x14ac:dyDescent="0.2">
      <c r="A133" s="159" t="s">
        <v>59</v>
      </c>
      <c r="B133" s="159"/>
      <c r="C133" s="159" t="s">
        <v>60</v>
      </c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  <c r="AU133" s="159"/>
      <c r="AV133" s="159"/>
      <c r="AW133" s="159"/>
      <c r="AX133" s="160"/>
      <c r="AY133" s="160"/>
      <c r="AZ133" s="160"/>
      <c r="BA133" s="160"/>
      <c r="BB133" s="160"/>
    </row>
    <row r="134" spans="1:54" ht="12" customHeight="1" thickBot="1" x14ac:dyDescent="0.25"/>
    <row r="135" spans="1:54" s="159" customFormat="1" ht="12" customHeight="1" x14ac:dyDescent="0.2">
      <c r="A135" s="585" t="s">
        <v>54</v>
      </c>
      <c r="B135" s="586"/>
      <c r="C135" s="586"/>
      <c r="D135" s="586"/>
      <c r="E135" s="586"/>
      <c r="F135" s="586"/>
      <c r="G135" s="586"/>
      <c r="H135" s="586"/>
      <c r="I135" s="586"/>
      <c r="J135" s="586"/>
      <c r="K135" s="586"/>
      <c r="L135" s="586"/>
      <c r="M135" s="586"/>
      <c r="N135" s="586"/>
      <c r="O135" s="586"/>
      <c r="P135" s="586"/>
      <c r="Q135" s="586"/>
      <c r="R135" s="586"/>
      <c r="S135" s="586"/>
      <c r="T135" s="586"/>
      <c r="U135" s="586"/>
      <c r="V135" s="586"/>
      <c r="W135" s="586"/>
      <c r="X135" s="586"/>
      <c r="Y135" s="586"/>
      <c r="Z135" s="587"/>
      <c r="AA135" s="536" t="s">
        <v>55</v>
      </c>
      <c r="AB135" s="537"/>
      <c r="AC135" s="537"/>
      <c r="AD135" s="537"/>
      <c r="AE135" s="537"/>
      <c r="AF135" s="538"/>
      <c r="AG135" s="536" t="s">
        <v>56</v>
      </c>
      <c r="AH135" s="537"/>
      <c r="AI135" s="537"/>
      <c r="AJ135" s="537"/>
      <c r="AK135" s="537"/>
      <c r="AL135" s="538"/>
      <c r="AM135" s="588" t="s">
        <v>57</v>
      </c>
      <c r="AN135" s="586"/>
      <c r="AO135" s="586"/>
      <c r="AP135" s="586"/>
      <c r="AQ135" s="586"/>
      <c r="AR135" s="586"/>
      <c r="AS135" s="586"/>
      <c r="AT135" s="587"/>
      <c r="AU135" s="588" t="s">
        <v>43</v>
      </c>
      <c r="AV135" s="586"/>
      <c r="AW135" s="586"/>
      <c r="AX135" s="586"/>
      <c r="AY135" s="586"/>
      <c r="AZ135" s="586"/>
      <c r="BA135" s="586"/>
      <c r="BB135" s="589"/>
    </row>
    <row r="136" spans="1:54" ht="11.25" customHeight="1" thickBot="1" x14ac:dyDescent="0.25">
      <c r="A136" s="564">
        <v>1</v>
      </c>
      <c r="B136" s="475"/>
      <c r="C136" s="475"/>
      <c r="D136" s="475"/>
      <c r="E136" s="475"/>
      <c r="F136" s="475"/>
      <c r="G136" s="475"/>
      <c r="H136" s="475"/>
      <c r="I136" s="475"/>
      <c r="J136" s="475"/>
      <c r="K136" s="475"/>
      <c r="L136" s="475"/>
      <c r="M136" s="475"/>
      <c r="N136" s="475"/>
      <c r="O136" s="475"/>
      <c r="P136" s="475"/>
      <c r="Q136" s="475"/>
      <c r="R136" s="475"/>
      <c r="S136" s="475"/>
      <c r="T136" s="475"/>
      <c r="U136" s="475"/>
      <c r="V136" s="475"/>
      <c r="W136" s="475"/>
      <c r="X136" s="475"/>
      <c r="Y136" s="475"/>
      <c r="Z136" s="476"/>
      <c r="AA136" s="474">
        <v>2</v>
      </c>
      <c r="AB136" s="475"/>
      <c r="AC136" s="475"/>
      <c r="AD136" s="475"/>
      <c r="AE136" s="475"/>
      <c r="AF136" s="476"/>
      <c r="AG136" s="474">
        <v>3</v>
      </c>
      <c r="AH136" s="475"/>
      <c r="AI136" s="475"/>
      <c r="AJ136" s="475"/>
      <c r="AK136" s="475"/>
      <c r="AL136" s="476"/>
      <c r="AM136" s="474">
        <v>4</v>
      </c>
      <c r="AN136" s="475"/>
      <c r="AO136" s="475"/>
      <c r="AP136" s="475"/>
      <c r="AQ136" s="475"/>
      <c r="AR136" s="475"/>
      <c r="AS136" s="475"/>
      <c r="AT136" s="476"/>
      <c r="AU136" s="474">
        <v>5</v>
      </c>
      <c r="AV136" s="475"/>
      <c r="AW136" s="475"/>
      <c r="AX136" s="475"/>
      <c r="AY136" s="475"/>
      <c r="AZ136" s="475"/>
      <c r="BA136" s="475"/>
      <c r="BB136" s="565"/>
    </row>
    <row r="137" spans="1:54" ht="31.5" hidden="1" customHeight="1" x14ac:dyDescent="0.2">
      <c r="A137" s="566"/>
      <c r="B137" s="567"/>
      <c r="C137" s="567"/>
      <c r="D137" s="567"/>
      <c r="E137" s="567"/>
      <c r="F137" s="567"/>
      <c r="G137" s="567"/>
      <c r="H137" s="567"/>
      <c r="I137" s="567"/>
      <c r="J137" s="567"/>
      <c r="K137" s="567"/>
      <c r="L137" s="567"/>
      <c r="M137" s="567"/>
      <c r="N137" s="567"/>
      <c r="O137" s="567"/>
      <c r="P137" s="567"/>
      <c r="Q137" s="567"/>
      <c r="R137" s="567"/>
      <c r="S137" s="567"/>
      <c r="T137" s="567"/>
      <c r="U137" s="567"/>
      <c r="V137" s="567"/>
      <c r="W137" s="567"/>
      <c r="X137" s="567"/>
      <c r="Y137" s="567"/>
      <c r="Z137" s="568"/>
      <c r="AA137" s="569">
        <v>0</v>
      </c>
      <c r="AB137" s="570"/>
      <c r="AC137" s="570"/>
      <c r="AD137" s="570"/>
      <c r="AE137" s="570"/>
      <c r="AF137" s="571"/>
      <c r="AG137" s="569">
        <f>U12</f>
        <v>72</v>
      </c>
      <c r="AH137" s="570"/>
      <c r="AI137" s="570"/>
      <c r="AJ137" s="570"/>
      <c r="AK137" s="570"/>
      <c r="AL137" s="571"/>
      <c r="AM137" s="569" t="s">
        <v>61</v>
      </c>
      <c r="AN137" s="570"/>
      <c r="AO137" s="570"/>
      <c r="AP137" s="570"/>
      <c r="AQ137" s="570"/>
      <c r="AR137" s="570"/>
      <c r="AS137" s="570"/>
      <c r="AT137" s="571"/>
      <c r="AU137" s="558">
        <f>AA137/AG137</f>
        <v>0</v>
      </c>
      <c r="AV137" s="559"/>
      <c r="AW137" s="559"/>
      <c r="AX137" s="559"/>
      <c r="AY137" s="559"/>
      <c r="AZ137" s="559"/>
      <c r="BA137" s="559"/>
      <c r="BB137" s="560"/>
    </row>
    <row r="138" spans="1:54" ht="4.5" hidden="1" customHeight="1" x14ac:dyDescent="0.2">
      <c r="A138" s="561"/>
      <c r="B138" s="562"/>
      <c r="C138" s="562"/>
      <c r="D138" s="562"/>
      <c r="E138" s="562"/>
      <c r="F138" s="562"/>
      <c r="G138" s="562"/>
      <c r="H138" s="562"/>
      <c r="I138" s="562"/>
      <c r="J138" s="562"/>
      <c r="K138" s="562"/>
      <c r="L138" s="562"/>
      <c r="M138" s="562"/>
      <c r="N138" s="562"/>
      <c r="O138" s="562"/>
      <c r="P138" s="562"/>
      <c r="Q138" s="562"/>
      <c r="R138" s="562"/>
      <c r="S138" s="562"/>
      <c r="T138" s="562"/>
      <c r="U138" s="562"/>
      <c r="V138" s="562"/>
      <c r="W138" s="562"/>
      <c r="X138" s="562"/>
      <c r="Y138" s="562"/>
      <c r="Z138" s="563"/>
      <c r="AA138" s="518"/>
      <c r="AB138" s="518"/>
      <c r="AC138" s="518"/>
      <c r="AD138" s="518"/>
      <c r="AE138" s="518"/>
      <c r="AF138" s="518"/>
      <c r="AG138" s="572"/>
      <c r="AH138" s="573"/>
      <c r="AI138" s="573"/>
      <c r="AJ138" s="573"/>
      <c r="AK138" s="573"/>
      <c r="AL138" s="574"/>
      <c r="AM138" s="572"/>
      <c r="AN138" s="573"/>
      <c r="AO138" s="573"/>
      <c r="AP138" s="573"/>
      <c r="AQ138" s="573"/>
      <c r="AR138" s="573"/>
      <c r="AS138" s="573"/>
      <c r="AT138" s="574"/>
      <c r="AU138" s="558">
        <f>AA138/AG137</f>
        <v>0</v>
      </c>
      <c r="AV138" s="559"/>
      <c r="AW138" s="559"/>
      <c r="AX138" s="559"/>
      <c r="AY138" s="559"/>
      <c r="AZ138" s="559"/>
      <c r="BA138" s="559"/>
      <c r="BB138" s="560"/>
    </row>
    <row r="139" spans="1:54" ht="21" customHeight="1" x14ac:dyDescent="0.2">
      <c r="A139" s="449"/>
      <c r="B139" s="450"/>
      <c r="C139" s="450"/>
      <c r="D139" s="450"/>
      <c r="E139" s="450"/>
      <c r="F139" s="450"/>
      <c r="G139" s="450"/>
      <c r="H139" s="450"/>
      <c r="I139" s="450"/>
      <c r="J139" s="450"/>
      <c r="K139" s="450"/>
      <c r="L139" s="450"/>
      <c r="M139" s="450"/>
      <c r="N139" s="450"/>
      <c r="O139" s="450"/>
      <c r="P139" s="450"/>
      <c r="Q139" s="450"/>
      <c r="R139" s="450"/>
      <c r="S139" s="450"/>
      <c r="T139" s="450"/>
      <c r="U139" s="450"/>
      <c r="V139" s="450"/>
      <c r="W139" s="450"/>
      <c r="X139" s="450"/>
      <c r="Y139" s="450"/>
      <c r="Z139" s="451"/>
      <c r="AA139" s="557"/>
      <c r="AB139" s="557"/>
      <c r="AC139" s="557"/>
      <c r="AD139" s="557"/>
      <c r="AE139" s="557"/>
      <c r="AF139" s="557"/>
      <c r="AG139" s="572"/>
      <c r="AH139" s="573"/>
      <c r="AI139" s="573"/>
      <c r="AJ139" s="573"/>
      <c r="AK139" s="573"/>
      <c r="AL139" s="574"/>
      <c r="AM139" s="572"/>
      <c r="AN139" s="573"/>
      <c r="AO139" s="573"/>
      <c r="AP139" s="573"/>
      <c r="AQ139" s="573"/>
      <c r="AR139" s="573"/>
      <c r="AS139" s="573"/>
      <c r="AT139" s="574"/>
      <c r="AU139" s="558">
        <f>AA139/AG137</f>
        <v>0</v>
      </c>
      <c r="AV139" s="559"/>
      <c r="AW139" s="559"/>
      <c r="AX139" s="559"/>
      <c r="AY139" s="559"/>
      <c r="AZ139" s="559"/>
      <c r="BA139" s="559"/>
      <c r="BB139" s="560"/>
    </row>
    <row r="140" spans="1:54" ht="21" customHeight="1" x14ac:dyDescent="0.2">
      <c r="A140" s="449"/>
      <c r="B140" s="450"/>
      <c r="C140" s="450"/>
      <c r="D140" s="450"/>
      <c r="E140" s="450"/>
      <c r="F140" s="450"/>
      <c r="G140" s="450"/>
      <c r="H140" s="450"/>
      <c r="I140" s="450"/>
      <c r="J140" s="450"/>
      <c r="K140" s="450"/>
      <c r="L140" s="450"/>
      <c r="M140" s="450"/>
      <c r="N140" s="450"/>
      <c r="O140" s="450"/>
      <c r="P140" s="450"/>
      <c r="Q140" s="450"/>
      <c r="R140" s="450"/>
      <c r="S140" s="450"/>
      <c r="T140" s="450"/>
      <c r="U140" s="450"/>
      <c r="V140" s="450"/>
      <c r="W140" s="450"/>
      <c r="X140" s="450"/>
      <c r="Y140" s="450"/>
      <c r="Z140" s="451"/>
      <c r="AA140" s="557"/>
      <c r="AB140" s="557"/>
      <c r="AC140" s="557"/>
      <c r="AD140" s="557"/>
      <c r="AE140" s="557"/>
      <c r="AF140" s="557"/>
      <c r="AG140" s="572"/>
      <c r="AH140" s="573"/>
      <c r="AI140" s="573"/>
      <c r="AJ140" s="573"/>
      <c r="AK140" s="573"/>
      <c r="AL140" s="574"/>
      <c r="AM140" s="572"/>
      <c r="AN140" s="573"/>
      <c r="AO140" s="573"/>
      <c r="AP140" s="573"/>
      <c r="AQ140" s="573"/>
      <c r="AR140" s="573"/>
      <c r="AS140" s="573"/>
      <c r="AT140" s="574"/>
      <c r="AU140" s="558">
        <f>AA140/AG137</f>
        <v>0</v>
      </c>
      <c r="AV140" s="559"/>
      <c r="AW140" s="559"/>
      <c r="AX140" s="559"/>
      <c r="AY140" s="559"/>
      <c r="AZ140" s="559"/>
      <c r="BA140" s="559"/>
      <c r="BB140" s="560"/>
    </row>
    <row r="141" spans="1:54" ht="6" hidden="1" customHeight="1" x14ac:dyDescent="0.2">
      <c r="A141" s="449"/>
      <c r="B141" s="450"/>
      <c r="C141" s="450"/>
      <c r="D141" s="450"/>
      <c r="E141" s="450"/>
      <c r="F141" s="450"/>
      <c r="G141" s="450"/>
      <c r="H141" s="450"/>
      <c r="I141" s="450"/>
      <c r="J141" s="450"/>
      <c r="K141" s="450"/>
      <c r="L141" s="450"/>
      <c r="M141" s="450"/>
      <c r="N141" s="450"/>
      <c r="O141" s="450"/>
      <c r="P141" s="450"/>
      <c r="Q141" s="450"/>
      <c r="R141" s="450"/>
      <c r="S141" s="450"/>
      <c r="T141" s="450"/>
      <c r="U141" s="450"/>
      <c r="V141" s="450"/>
      <c r="W141" s="450"/>
      <c r="X141" s="450"/>
      <c r="Y141" s="450"/>
      <c r="Z141" s="451"/>
      <c r="AA141" s="557"/>
      <c r="AB141" s="557"/>
      <c r="AC141" s="557"/>
      <c r="AD141" s="557"/>
      <c r="AE141" s="557"/>
      <c r="AF141" s="557"/>
      <c r="AG141" s="572"/>
      <c r="AH141" s="573"/>
      <c r="AI141" s="573"/>
      <c r="AJ141" s="573"/>
      <c r="AK141" s="573"/>
      <c r="AL141" s="574"/>
      <c r="AM141" s="572"/>
      <c r="AN141" s="573"/>
      <c r="AO141" s="573"/>
      <c r="AP141" s="573"/>
      <c r="AQ141" s="573"/>
      <c r="AR141" s="573"/>
      <c r="AS141" s="573"/>
      <c r="AT141" s="574"/>
      <c r="AU141" s="558">
        <f>AA141/AG137</f>
        <v>0</v>
      </c>
      <c r="AV141" s="559"/>
      <c r="AW141" s="559"/>
      <c r="AX141" s="559"/>
      <c r="AY141" s="559"/>
      <c r="AZ141" s="559"/>
      <c r="BA141" s="559"/>
      <c r="BB141" s="560"/>
    </row>
    <row r="142" spans="1:54" ht="0.75" customHeight="1" thickBot="1" x14ac:dyDescent="0.25">
      <c r="A142" s="575"/>
      <c r="B142" s="576"/>
      <c r="C142" s="576"/>
      <c r="D142" s="576"/>
      <c r="E142" s="576"/>
      <c r="F142" s="576"/>
      <c r="G142" s="576"/>
      <c r="H142" s="576"/>
      <c r="I142" s="576"/>
      <c r="J142" s="576"/>
      <c r="K142" s="576"/>
      <c r="L142" s="576"/>
      <c r="M142" s="576"/>
      <c r="N142" s="576"/>
      <c r="O142" s="576"/>
      <c r="P142" s="576"/>
      <c r="Q142" s="576"/>
      <c r="R142" s="576"/>
      <c r="S142" s="576"/>
      <c r="T142" s="576"/>
      <c r="U142" s="576"/>
      <c r="V142" s="576"/>
      <c r="W142" s="576"/>
      <c r="X142" s="576"/>
      <c r="Y142" s="576"/>
      <c r="Z142" s="577"/>
      <c r="AA142" s="578">
        <v>0</v>
      </c>
      <c r="AB142" s="578"/>
      <c r="AC142" s="578"/>
      <c r="AD142" s="578"/>
      <c r="AE142" s="578"/>
      <c r="AF142" s="578"/>
      <c r="AG142" s="572"/>
      <c r="AH142" s="573"/>
      <c r="AI142" s="573"/>
      <c r="AJ142" s="573"/>
      <c r="AK142" s="573"/>
      <c r="AL142" s="574"/>
      <c r="AM142" s="572"/>
      <c r="AN142" s="573"/>
      <c r="AO142" s="573"/>
      <c r="AP142" s="573"/>
      <c r="AQ142" s="573"/>
      <c r="AR142" s="573"/>
      <c r="AS142" s="573"/>
      <c r="AT142" s="574"/>
      <c r="AU142" s="579">
        <f>AA142/AG137</f>
        <v>0</v>
      </c>
      <c r="AV142" s="580"/>
      <c r="AW142" s="580"/>
      <c r="AX142" s="580"/>
      <c r="AY142" s="580"/>
      <c r="AZ142" s="580"/>
      <c r="BA142" s="580"/>
      <c r="BB142" s="581"/>
    </row>
    <row r="143" spans="1:54" ht="15" customHeight="1" thickBot="1" x14ac:dyDescent="0.25">
      <c r="A143" s="545" t="s">
        <v>51</v>
      </c>
      <c r="B143" s="546"/>
      <c r="C143" s="546"/>
      <c r="D143" s="546"/>
      <c r="E143" s="546"/>
      <c r="F143" s="546"/>
      <c r="G143" s="546"/>
      <c r="H143" s="546"/>
      <c r="I143" s="546"/>
      <c r="J143" s="546"/>
      <c r="K143" s="546"/>
      <c r="L143" s="546"/>
      <c r="M143" s="546"/>
      <c r="N143" s="546"/>
      <c r="O143" s="546"/>
      <c r="P143" s="546"/>
      <c r="Q143" s="546"/>
      <c r="R143" s="546"/>
      <c r="S143" s="546"/>
      <c r="T143" s="546"/>
      <c r="U143" s="546"/>
      <c r="V143" s="546"/>
      <c r="W143" s="546"/>
      <c r="X143" s="546"/>
      <c r="Y143" s="546"/>
      <c r="Z143" s="547"/>
      <c r="AA143" s="548">
        <f>SUM(AA137:AF140)</f>
        <v>0</v>
      </c>
      <c r="AB143" s="549"/>
      <c r="AC143" s="549"/>
      <c r="AD143" s="549"/>
      <c r="AE143" s="549"/>
      <c r="AF143" s="550"/>
      <c r="AG143" s="531">
        <f>AG137</f>
        <v>72</v>
      </c>
      <c r="AH143" s="533"/>
      <c r="AI143" s="533"/>
      <c r="AJ143" s="533"/>
      <c r="AK143" s="533"/>
      <c r="AL143" s="534"/>
      <c r="AM143" s="551" t="s">
        <v>17</v>
      </c>
      <c r="AN143" s="552"/>
      <c r="AO143" s="552"/>
      <c r="AP143" s="552"/>
      <c r="AQ143" s="552"/>
      <c r="AR143" s="552"/>
      <c r="AS143" s="552"/>
      <c r="AT143" s="553"/>
      <c r="AU143" s="554">
        <f>SUM(AU137:BB142)</f>
        <v>0</v>
      </c>
      <c r="AV143" s="555"/>
      <c r="AW143" s="555"/>
      <c r="AX143" s="555"/>
      <c r="AY143" s="555"/>
      <c r="AZ143" s="555"/>
      <c r="BA143" s="555"/>
      <c r="BB143" s="556"/>
    </row>
    <row r="144" spans="1:54" s="161" customFormat="1" ht="15" customHeight="1" x14ac:dyDescent="0.2">
      <c r="A144" s="117"/>
      <c r="B144" s="117"/>
      <c r="C144" s="117"/>
      <c r="D144" s="117"/>
      <c r="E144" s="117"/>
      <c r="F144" s="117"/>
      <c r="G144" s="117"/>
      <c r="H144" s="117"/>
      <c r="I144" s="117"/>
      <c r="J144" s="117"/>
      <c r="K144" s="117"/>
      <c r="L144" s="117"/>
      <c r="M144" s="117"/>
      <c r="N144" s="117"/>
      <c r="O144" s="117"/>
      <c r="P144" s="117"/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</row>
    <row r="145" spans="1:61" ht="27" customHeight="1" x14ac:dyDescent="0.2">
      <c r="A145" s="159" t="s">
        <v>62</v>
      </c>
      <c r="B145" s="159"/>
      <c r="C145" s="159" t="s">
        <v>63</v>
      </c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  <c r="AU145" s="159"/>
      <c r="AV145" s="159"/>
      <c r="AW145" s="159"/>
      <c r="AX145" s="160"/>
      <c r="AY145" s="160"/>
      <c r="AZ145" s="160"/>
      <c r="BA145" s="160"/>
      <c r="BB145" s="160"/>
    </row>
    <row r="146" spans="1:61" ht="21.75" customHeight="1" thickBot="1" x14ac:dyDescent="0.25"/>
    <row r="147" spans="1:61" ht="63" customHeight="1" thickBot="1" x14ac:dyDescent="0.25">
      <c r="A147" s="871" t="s">
        <v>54</v>
      </c>
      <c r="B147" s="871"/>
      <c r="C147" s="871"/>
      <c r="D147" s="871"/>
      <c r="E147" s="871"/>
      <c r="F147" s="871"/>
      <c r="G147" s="871"/>
      <c r="H147" s="873" t="s">
        <v>64</v>
      </c>
      <c r="I147" s="873"/>
      <c r="J147" s="873"/>
      <c r="K147" s="873"/>
      <c r="L147" s="873"/>
      <c r="M147" s="873" t="s">
        <v>94</v>
      </c>
      <c r="N147" s="873"/>
      <c r="O147" s="873"/>
      <c r="P147" s="873"/>
      <c r="Q147" s="873"/>
      <c r="R147" s="873" t="s">
        <v>82</v>
      </c>
      <c r="S147" s="873"/>
      <c r="T147" s="873"/>
      <c r="U147" s="873"/>
      <c r="V147" s="873" t="s">
        <v>65</v>
      </c>
      <c r="W147" s="873"/>
      <c r="X147" s="873"/>
      <c r="Y147" s="873"/>
      <c r="Z147" s="873" t="s">
        <v>66</v>
      </c>
      <c r="AA147" s="873"/>
      <c r="AB147" s="873"/>
      <c r="AC147" s="873"/>
      <c r="AD147" s="873" t="s">
        <v>67</v>
      </c>
      <c r="AE147" s="873"/>
      <c r="AF147" s="873"/>
      <c r="AG147" s="873"/>
      <c r="AH147" s="873"/>
      <c r="AI147" s="873"/>
      <c r="AJ147" s="873"/>
      <c r="AK147" s="873"/>
      <c r="AL147" s="873"/>
      <c r="AM147" s="873"/>
      <c r="AN147" s="873"/>
      <c r="AO147" s="873"/>
      <c r="AP147" s="873"/>
      <c r="AQ147" s="873" t="s">
        <v>662</v>
      </c>
      <c r="AR147" s="873"/>
      <c r="AS147" s="873"/>
      <c r="AT147" s="873"/>
      <c r="AU147" s="873" t="s">
        <v>514</v>
      </c>
      <c r="AV147" s="873"/>
      <c r="AW147" s="873"/>
      <c r="AX147" s="873"/>
      <c r="AY147" s="873" t="s">
        <v>87</v>
      </c>
      <c r="AZ147" s="873"/>
      <c r="BA147" s="873"/>
      <c r="BB147" s="873"/>
    </row>
    <row r="148" spans="1:61" ht="71.25" customHeight="1" thickBot="1" x14ac:dyDescent="0.25">
      <c r="A148" s="871"/>
      <c r="B148" s="871"/>
      <c r="C148" s="871"/>
      <c r="D148" s="871"/>
      <c r="E148" s="871"/>
      <c r="F148" s="871"/>
      <c r="G148" s="871"/>
      <c r="H148" s="873" t="s">
        <v>68</v>
      </c>
      <c r="I148" s="873"/>
      <c r="J148" s="873"/>
      <c r="K148" s="873"/>
      <c r="L148" s="873"/>
      <c r="M148" s="873" t="s">
        <v>68</v>
      </c>
      <c r="N148" s="873"/>
      <c r="O148" s="873"/>
      <c r="P148" s="873"/>
      <c r="Q148" s="873"/>
      <c r="R148" s="873"/>
      <c r="S148" s="873"/>
      <c r="T148" s="873"/>
      <c r="U148" s="873"/>
      <c r="V148" s="873"/>
      <c r="W148" s="873"/>
      <c r="X148" s="873"/>
      <c r="Y148" s="873"/>
      <c r="Z148" s="873"/>
      <c r="AA148" s="873"/>
      <c r="AB148" s="873"/>
      <c r="AC148" s="873"/>
      <c r="AD148" s="873" t="s">
        <v>68</v>
      </c>
      <c r="AE148" s="873"/>
      <c r="AF148" s="873"/>
      <c r="AG148" s="873"/>
      <c r="AH148" s="873"/>
      <c r="AI148" s="873"/>
      <c r="AJ148" s="873" t="s">
        <v>69</v>
      </c>
      <c r="AK148" s="873"/>
      <c r="AL148" s="873"/>
      <c r="AM148" s="873"/>
      <c r="AN148" s="873"/>
      <c r="AO148" s="873"/>
      <c r="AP148" s="873"/>
      <c r="AQ148" s="873" t="s">
        <v>68</v>
      </c>
      <c r="AR148" s="873"/>
      <c r="AS148" s="873"/>
      <c r="AT148" s="873"/>
      <c r="AU148" s="873" t="s">
        <v>68</v>
      </c>
      <c r="AV148" s="873"/>
      <c r="AW148" s="873"/>
      <c r="AX148" s="873"/>
      <c r="AY148" s="873" t="s">
        <v>68</v>
      </c>
      <c r="AZ148" s="873"/>
      <c r="BA148" s="873"/>
      <c r="BB148" s="873"/>
    </row>
    <row r="149" spans="1:61" ht="22.5" customHeight="1" thickBot="1" x14ac:dyDescent="0.25">
      <c r="A149" s="870">
        <v>1</v>
      </c>
      <c r="B149" s="870"/>
      <c r="C149" s="870"/>
      <c r="D149" s="870"/>
      <c r="E149" s="870"/>
      <c r="F149" s="870"/>
      <c r="G149" s="870"/>
      <c r="H149" s="870">
        <v>2</v>
      </c>
      <c r="I149" s="870"/>
      <c r="J149" s="870"/>
      <c r="K149" s="870"/>
      <c r="L149" s="870"/>
      <c r="M149" s="870">
        <v>3</v>
      </c>
      <c r="N149" s="870"/>
      <c r="O149" s="870"/>
      <c r="P149" s="870"/>
      <c r="Q149" s="870"/>
      <c r="R149" s="870">
        <v>4</v>
      </c>
      <c r="S149" s="870"/>
      <c r="T149" s="870"/>
      <c r="U149" s="870"/>
      <c r="V149" s="870">
        <v>5</v>
      </c>
      <c r="W149" s="870"/>
      <c r="X149" s="870"/>
      <c r="Y149" s="870"/>
      <c r="Z149" s="870">
        <v>6</v>
      </c>
      <c r="AA149" s="870"/>
      <c r="AB149" s="870"/>
      <c r="AC149" s="870"/>
      <c r="AD149" s="870">
        <v>7</v>
      </c>
      <c r="AE149" s="870"/>
      <c r="AF149" s="870"/>
      <c r="AG149" s="870"/>
      <c r="AH149" s="870"/>
      <c r="AI149" s="870"/>
      <c r="AJ149" s="870">
        <v>8</v>
      </c>
      <c r="AK149" s="870"/>
      <c r="AL149" s="870"/>
      <c r="AM149" s="870"/>
      <c r="AN149" s="870"/>
      <c r="AO149" s="870"/>
      <c r="AP149" s="870"/>
      <c r="AQ149" s="870">
        <v>9</v>
      </c>
      <c r="AR149" s="870"/>
      <c r="AS149" s="870"/>
      <c r="AT149" s="870"/>
      <c r="AU149" s="870">
        <v>10</v>
      </c>
      <c r="AV149" s="870"/>
      <c r="AW149" s="870"/>
      <c r="AX149" s="870"/>
      <c r="AY149" s="870">
        <v>11</v>
      </c>
      <c r="AZ149" s="870"/>
      <c r="BA149" s="870"/>
      <c r="BB149" s="870"/>
    </row>
    <row r="150" spans="1:61" ht="24.75" customHeight="1" x14ac:dyDescent="0.2">
      <c r="A150" s="618" t="s">
        <v>70</v>
      </c>
      <c r="B150" s="619"/>
      <c r="C150" s="619"/>
      <c r="D150" s="619"/>
      <c r="E150" s="619"/>
      <c r="F150" s="619"/>
      <c r="G150" s="619"/>
      <c r="H150" s="477">
        <f>AO88/V150</f>
        <v>42.785166666666669</v>
      </c>
      <c r="I150" s="477"/>
      <c r="J150" s="477"/>
      <c r="K150" s="477"/>
      <c r="L150" s="477"/>
      <c r="M150" s="477">
        <f>H150</f>
        <v>42.785166666666669</v>
      </c>
      <c r="N150" s="477"/>
      <c r="O150" s="477"/>
      <c r="P150" s="477"/>
      <c r="Q150" s="477"/>
      <c r="R150" s="508">
        <f>U12</f>
        <v>72</v>
      </c>
      <c r="S150" s="509"/>
      <c r="T150" s="509"/>
      <c r="U150" s="510"/>
      <c r="V150" s="807">
        <f>Y16</f>
        <v>12</v>
      </c>
      <c r="W150" s="807"/>
      <c r="X150" s="807"/>
      <c r="Y150" s="807"/>
      <c r="Z150" s="807">
        <f>U16</f>
        <v>2</v>
      </c>
      <c r="AA150" s="807"/>
      <c r="AB150" s="807"/>
      <c r="AC150" s="807"/>
      <c r="AD150" s="809" t="s">
        <v>71</v>
      </c>
      <c r="AE150" s="810"/>
      <c r="AF150" s="810"/>
      <c r="AG150" s="810"/>
      <c r="AH150" s="810"/>
      <c r="AI150" s="811"/>
      <c r="AJ150" s="812"/>
      <c r="AK150" s="813"/>
      <c r="AL150" s="813"/>
      <c r="AM150" s="813"/>
      <c r="AN150" s="813"/>
      <c r="AO150" s="813"/>
      <c r="AP150" s="814"/>
      <c r="AQ150" s="477">
        <f>H150*8</f>
        <v>342.28133333333335</v>
      </c>
      <c r="AR150" s="477"/>
      <c r="AS150" s="477"/>
      <c r="AT150" s="477"/>
      <c r="AU150" s="477">
        <f>M150*2</f>
        <v>85.570333333333338</v>
      </c>
      <c r="AV150" s="477"/>
      <c r="AW150" s="477"/>
      <c r="AX150" s="477"/>
      <c r="AY150" s="477">
        <f>H150*R150</f>
        <v>3080.5320000000002</v>
      </c>
      <c r="AZ150" s="477"/>
      <c r="BA150" s="477"/>
      <c r="BB150" s="481"/>
    </row>
    <row r="151" spans="1:61" ht="29.25" customHeight="1" x14ac:dyDescent="0.2">
      <c r="A151" s="527" t="s">
        <v>72</v>
      </c>
      <c r="B151" s="528"/>
      <c r="C151" s="528"/>
      <c r="D151" s="528"/>
      <c r="E151" s="528"/>
      <c r="F151" s="528"/>
      <c r="G151" s="528"/>
      <c r="H151" s="529">
        <f>AV98</f>
        <v>37.105237428142097</v>
      </c>
      <c r="I151" s="529"/>
      <c r="J151" s="529"/>
      <c r="K151" s="529"/>
      <c r="L151" s="529"/>
      <c r="M151" s="477">
        <f t="shared" ref="M151:M153" si="3">H151</f>
        <v>37.105237428142097</v>
      </c>
      <c r="N151" s="477"/>
      <c r="O151" s="477"/>
      <c r="P151" s="477"/>
      <c r="Q151" s="477"/>
      <c r="R151" s="511"/>
      <c r="S151" s="512"/>
      <c r="T151" s="512"/>
      <c r="U151" s="513"/>
      <c r="V151" s="518"/>
      <c r="W151" s="518"/>
      <c r="X151" s="518"/>
      <c r="Y151" s="518"/>
      <c r="Z151" s="518"/>
      <c r="AA151" s="518"/>
      <c r="AB151" s="518"/>
      <c r="AC151" s="518"/>
      <c r="AD151" s="477" t="s">
        <v>71</v>
      </c>
      <c r="AE151" s="477"/>
      <c r="AF151" s="477"/>
      <c r="AG151" s="477"/>
      <c r="AH151" s="477"/>
      <c r="AI151" s="477"/>
      <c r="AJ151" s="478"/>
      <c r="AK151" s="479"/>
      <c r="AL151" s="479"/>
      <c r="AM151" s="479"/>
      <c r="AN151" s="479"/>
      <c r="AO151" s="479"/>
      <c r="AP151" s="480"/>
      <c r="AQ151" s="477">
        <f t="shared" ref="AQ151:AQ153" si="4">H151*8</f>
        <v>296.84189942513677</v>
      </c>
      <c r="AR151" s="477"/>
      <c r="AS151" s="477"/>
      <c r="AT151" s="477"/>
      <c r="AU151" s="477">
        <f t="shared" ref="AU151:AU153" si="5">M151*2</f>
        <v>74.210474856284193</v>
      </c>
      <c r="AV151" s="477"/>
      <c r="AW151" s="477"/>
      <c r="AX151" s="477"/>
      <c r="AY151" s="477">
        <f>H151*R150</f>
        <v>2671.5770948262311</v>
      </c>
      <c r="AZ151" s="477"/>
      <c r="BA151" s="477"/>
      <c r="BB151" s="481"/>
    </row>
    <row r="152" spans="1:61" ht="15" customHeight="1" x14ac:dyDescent="0.2">
      <c r="A152" s="527" t="s">
        <v>73</v>
      </c>
      <c r="B152" s="528"/>
      <c r="C152" s="528"/>
      <c r="D152" s="528"/>
      <c r="E152" s="528"/>
      <c r="F152" s="528"/>
      <c r="G152" s="528"/>
      <c r="H152" s="529">
        <f>AU131</f>
        <v>76.359583333333333</v>
      </c>
      <c r="I152" s="529"/>
      <c r="J152" s="529"/>
      <c r="K152" s="529"/>
      <c r="L152" s="529"/>
      <c r="M152" s="477">
        <f t="shared" si="3"/>
        <v>76.359583333333333</v>
      </c>
      <c r="N152" s="477"/>
      <c r="O152" s="477"/>
      <c r="P152" s="477"/>
      <c r="Q152" s="477"/>
      <c r="R152" s="511"/>
      <c r="S152" s="512"/>
      <c r="T152" s="512"/>
      <c r="U152" s="513"/>
      <c r="V152" s="518"/>
      <c r="W152" s="518"/>
      <c r="X152" s="518"/>
      <c r="Y152" s="518"/>
      <c r="Z152" s="518"/>
      <c r="AA152" s="518"/>
      <c r="AB152" s="518"/>
      <c r="AC152" s="518"/>
      <c r="AD152" s="477" t="s">
        <v>71</v>
      </c>
      <c r="AE152" s="477"/>
      <c r="AF152" s="477"/>
      <c r="AG152" s="477"/>
      <c r="AH152" s="477"/>
      <c r="AI152" s="477"/>
      <c r="AJ152" s="478"/>
      <c r="AK152" s="479"/>
      <c r="AL152" s="479"/>
      <c r="AM152" s="479"/>
      <c r="AN152" s="479"/>
      <c r="AO152" s="479"/>
      <c r="AP152" s="480"/>
      <c r="AQ152" s="477">
        <f t="shared" si="4"/>
        <v>610.87666666666667</v>
      </c>
      <c r="AR152" s="477"/>
      <c r="AS152" s="477"/>
      <c r="AT152" s="477"/>
      <c r="AU152" s="477">
        <f t="shared" si="5"/>
        <v>152.71916666666667</v>
      </c>
      <c r="AV152" s="477"/>
      <c r="AW152" s="477"/>
      <c r="AX152" s="477"/>
      <c r="AY152" s="477">
        <f>H152*R150</f>
        <v>5497.89</v>
      </c>
      <c r="AZ152" s="477"/>
      <c r="BA152" s="477"/>
      <c r="BB152" s="481"/>
    </row>
    <row r="153" spans="1:61" ht="26.25" customHeight="1" thickBot="1" x14ac:dyDescent="0.25">
      <c r="A153" s="815" t="s">
        <v>74</v>
      </c>
      <c r="B153" s="816"/>
      <c r="C153" s="816"/>
      <c r="D153" s="816"/>
      <c r="E153" s="816"/>
      <c r="F153" s="816"/>
      <c r="G153" s="816"/>
      <c r="H153" s="627">
        <f>AU143</f>
        <v>0</v>
      </c>
      <c r="I153" s="627"/>
      <c r="J153" s="627"/>
      <c r="K153" s="627"/>
      <c r="L153" s="627"/>
      <c r="M153" s="477">
        <f t="shared" si="3"/>
        <v>0</v>
      </c>
      <c r="N153" s="477"/>
      <c r="O153" s="477"/>
      <c r="P153" s="477"/>
      <c r="Q153" s="477"/>
      <c r="R153" s="514"/>
      <c r="S153" s="515"/>
      <c r="T153" s="515"/>
      <c r="U153" s="516"/>
      <c r="V153" s="808"/>
      <c r="W153" s="808"/>
      <c r="X153" s="808"/>
      <c r="Y153" s="808"/>
      <c r="Z153" s="808"/>
      <c r="AA153" s="808"/>
      <c r="AB153" s="808"/>
      <c r="AC153" s="808"/>
      <c r="AD153" s="477" t="s">
        <v>71</v>
      </c>
      <c r="AE153" s="477"/>
      <c r="AF153" s="477"/>
      <c r="AG153" s="477"/>
      <c r="AH153" s="477"/>
      <c r="AI153" s="477"/>
      <c r="AJ153" s="496" t="s">
        <v>17</v>
      </c>
      <c r="AK153" s="497"/>
      <c r="AL153" s="497"/>
      <c r="AM153" s="497"/>
      <c r="AN153" s="497"/>
      <c r="AO153" s="497"/>
      <c r="AP153" s="498"/>
      <c r="AQ153" s="874">
        <f t="shared" si="4"/>
        <v>0</v>
      </c>
      <c r="AR153" s="874"/>
      <c r="AS153" s="874"/>
      <c r="AT153" s="874"/>
      <c r="AU153" s="874">
        <f t="shared" si="5"/>
        <v>0</v>
      </c>
      <c r="AV153" s="874"/>
      <c r="AW153" s="874"/>
      <c r="AX153" s="874"/>
      <c r="AY153" s="627">
        <f>H153*R150</f>
        <v>0</v>
      </c>
      <c r="AZ153" s="627"/>
      <c r="BA153" s="627"/>
      <c r="BB153" s="875"/>
    </row>
    <row r="154" spans="1:61" ht="25.5" customHeight="1" x14ac:dyDescent="0.2">
      <c r="A154" s="485" t="s">
        <v>80</v>
      </c>
      <c r="B154" s="486"/>
      <c r="C154" s="486"/>
      <c r="D154" s="486"/>
      <c r="E154" s="486"/>
      <c r="F154" s="486"/>
      <c r="G154" s="487"/>
      <c r="H154" s="488">
        <f>SUM(H150:L153)</f>
        <v>156.24998742814211</v>
      </c>
      <c r="I154" s="488"/>
      <c r="J154" s="488"/>
      <c r="K154" s="488"/>
      <c r="L154" s="488"/>
      <c r="M154" s="488">
        <f>SUM(M150:Q153)</f>
        <v>156.24998742814211</v>
      </c>
      <c r="N154" s="488"/>
      <c r="O154" s="488"/>
      <c r="P154" s="488"/>
      <c r="Q154" s="488"/>
      <c r="R154" s="489">
        <f>R150</f>
        <v>72</v>
      </c>
      <c r="S154" s="489"/>
      <c r="T154" s="489"/>
      <c r="U154" s="489"/>
      <c r="V154" s="490">
        <f>V150</f>
        <v>12</v>
      </c>
      <c r="W154" s="490"/>
      <c r="X154" s="490"/>
      <c r="Y154" s="490"/>
      <c r="Z154" s="490">
        <f>Z150</f>
        <v>2</v>
      </c>
      <c r="AA154" s="490"/>
      <c r="AB154" s="490"/>
      <c r="AC154" s="490"/>
      <c r="AD154" s="488" t="s">
        <v>17</v>
      </c>
      <c r="AE154" s="488"/>
      <c r="AF154" s="488"/>
      <c r="AG154" s="488"/>
      <c r="AH154" s="488"/>
      <c r="AI154" s="488"/>
      <c r="AJ154" s="491" t="s">
        <v>17</v>
      </c>
      <c r="AK154" s="492"/>
      <c r="AL154" s="492"/>
      <c r="AM154" s="492"/>
      <c r="AN154" s="492"/>
      <c r="AO154" s="492"/>
      <c r="AP154" s="493"/>
      <c r="AQ154" s="453">
        <f>SUM(AQ150:AT153)</f>
        <v>1249.9998994251368</v>
      </c>
      <c r="AR154" s="453"/>
      <c r="AS154" s="453"/>
      <c r="AT154" s="453"/>
      <c r="AU154" s="453">
        <f>SUM(AU150:AX153)</f>
        <v>312.49997485628421</v>
      </c>
      <c r="AV154" s="453"/>
      <c r="AW154" s="453"/>
      <c r="AX154" s="453"/>
      <c r="AY154" s="453">
        <f>SUM(AY150:BB153)</f>
        <v>11249.999094826231</v>
      </c>
      <c r="AZ154" s="453"/>
      <c r="BA154" s="453"/>
      <c r="BB154" s="454"/>
    </row>
    <row r="155" spans="1:61" ht="30.75" customHeight="1" x14ac:dyDescent="0.2">
      <c r="A155" s="455" t="s">
        <v>75</v>
      </c>
      <c r="B155" s="456"/>
      <c r="C155" s="456"/>
      <c r="D155" s="456"/>
      <c r="E155" s="456"/>
      <c r="F155" s="456"/>
      <c r="G155" s="215">
        <v>0.6</v>
      </c>
      <c r="H155" s="457">
        <f>H154*G155</f>
        <v>93.749992456885266</v>
      </c>
      <c r="I155" s="457"/>
      <c r="J155" s="457"/>
      <c r="K155" s="457"/>
      <c r="L155" s="457"/>
      <c r="M155" s="457">
        <f>M154*G155</f>
        <v>93.749992456885266</v>
      </c>
      <c r="N155" s="457"/>
      <c r="O155" s="457"/>
      <c r="P155" s="457"/>
      <c r="Q155" s="457"/>
      <c r="R155" s="818">
        <f>R150</f>
        <v>72</v>
      </c>
      <c r="S155" s="819"/>
      <c r="T155" s="819"/>
      <c r="U155" s="820"/>
      <c r="V155" s="821">
        <f>V150</f>
        <v>12</v>
      </c>
      <c r="W155" s="819"/>
      <c r="X155" s="819"/>
      <c r="Y155" s="820"/>
      <c r="Z155" s="821">
        <f>Z150</f>
        <v>2</v>
      </c>
      <c r="AA155" s="819"/>
      <c r="AB155" s="819"/>
      <c r="AC155" s="820"/>
      <c r="AD155" s="462" t="s">
        <v>17</v>
      </c>
      <c r="AE155" s="462"/>
      <c r="AF155" s="462"/>
      <c r="AG155" s="462"/>
      <c r="AH155" s="462"/>
      <c r="AI155" s="462"/>
      <c r="AJ155" s="462" t="s">
        <v>17</v>
      </c>
      <c r="AK155" s="462"/>
      <c r="AL155" s="462"/>
      <c r="AM155" s="462"/>
      <c r="AN155" s="462"/>
      <c r="AO155" s="462"/>
      <c r="AP155" s="462"/>
      <c r="AQ155" s="466">
        <f>AQ154*G155</f>
        <v>749.99993965508213</v>
      </c>
      <c r="AR155" s="466"/>
      <c r="AS155" s="466"/>
      <c r="AT155" s="466"/>
      <c r="AU155" s="466">
        <f>AU154*G155</f>
        <v>187.49998491377053</v>
      </c>
      <c r="AV155" s="466"/>
      <c r="AW155" s="466"/>
      <c r="AX155" s="466"/>
      <c r="AY155" s="466">
        <f>AY154*G155</f>
        <v>6749.9994568957381</v>
      </c>
      <c r="AZ155" s="466"/>
      <c r="BA155" s="466"/>
      <c r="BB155" s="467"/>
    </row>
    <row r="156" spans="1:61" ht="30.75" customHeight="1" thickBot="1" x14ac:dyDescent="0.25">
      <c r="A156" s="468" t="s">
        <v>81</v>
      </c>
      <c r="B156" s="469"/>
      <c r="C156" s="469"/>
      <c r="D156" s="469"/>
      <c r="E156" s="469"/>
      <c r="F156" s="469"/>
      <c r="G156" s="470"/>
      <c r="H156" s="464">
        <f>H154+H155</f>
        <v>249.99997988502736</v>
      </c>
      <c r="I156" s="464"/>
      <c r="J156" s="464"/>
      <c r="K156" s="464"/>
      <c r="L156" s="464"/>
      <c r="M156" s="471">
        <f>M154+M155</f>
        <v>249.99997988502736</v>
      </c>
      <c r="N156" s="472"/>
      <c r="O156" s="472"/>
      <c r="P156" s="472"/>
      <c r="Q156" s="473"/>
      <c r="R156" s="825">
        <f>R150</f>
        <v>72</v>
      </c>
      <c r="S156" s="826"/>
      <c r="T156" s="826"/>
      <c r="U156" s="827"/>
      <c r="V156" s="828">
        <f>V150</f>
        <v>12</v>
      </c>
      <c r="W156" s="829"/>
      <c r="X156" s="829"/>
      <c r="Y156" s="830"/>
      <c r="Z156" s="828">
        <f>Z150</f>
        <v>2</v>
      </c>
      <c r="AA156" s="829"/>
      <c r="AB156" s="829"/>
      <c r="AC156" s="830"/>
      <c r="AD156" s="463" t="s">
        <v>17</v>
      </c>
      <c r="AE156" s="463"/>
      <c r="AF156" s="463"/>
      <c r="AG156" s="463"/>
      <c r="AH156" s="463"/>
      <c r="AI156" s="463"/>
      <c r="AJ156" s="463" t="s">
        <v>17</v>
      </c>
      <c r="AK156" s="463"/>
      <c r="AL156" s="463"/>
      <c r="AM156" s="463"/>
      <c r="AN156" s="463"/>
      <c r="AO156" s="463"/>
      <c r="AP156" s="463"/>
      <c r="AQ156" s="464">
        <f>AQ154+AQ155</f>
        <v>1999.9998390802189</v>
      </c>
      <c r="AR156" s="464"/>
      <c r="AS156" s="464"/>
      <c r="AT156" s="464"/>
      <c r="AU156" s="464">
        <f>AU154+AU155</f>
        <v>499.99995977005472</v>
      </c>
      <c r="AV156" s="464"/>
      <c r="AW156" s="464"/>
      <c r="AX156" s="464"/>
      <c r="AY156" s="876">
        <f>AY154+AY155</f>
        <v>17999.998551721968</v>
      </c>
      <c r="AZ156" s="876"/>
      <c r="BA156" s="876"/>
      <c r="BB156" s="877"/>
      <c r="BE156" s="216"/>
      <c r="BF156" s="216"/>
    </row>
    <row r="157" spans="1:61" ht="16.5" customHeight="1" x14ac:dyDescent="0.2">
      <c r="BC157" s="432"/>
      <c r="BD157" s="432"/>
      <c r="BE157" s="216"/>
      <c r="BF157" s="216"/>
      <c r="BG157" s="216"/>
      <c r="BH157" s="216"/>
      <c r="BI157" s="216"/>
    </row>
    <row r="158" spans="1:61" ht="12" customHeight="1" x14ac:dyDescent="0.2">
      <c r="BC158" s="432"/>
      <c r="BD158" s="432"/>
      <c r="BE158" s="216"/>
      <c r="BF158" s="216"/>
    </row>
    <row r="159" spans="1:61" ht="14.25" customHeight="1" x14ac:dyDescent="0.2">
      <c r="B159" s="452" t="s">
        <v>658</v>
      </c>
      <c r="C159" s="452"/>
      <c r="D159" s="452"/>
      <c r="E159" s="452"/>
      <c r="F159" s="452"/>
      <c r="G159" s="452"/>
      <c r="H159" s="452"/>
      <c r="I159" s="452"/>
      <c r="J159" s="452"/>
      <c r="K159" s="452"/>
      <c r="L159" s="452"/>
      <c r="M159" s="452"/>
      <c r="N159" s="452"/>
      <c r="O159" s="452"/>
      <c r="P159" s="452"/>
      <c r="Q159" s="452"/>
      <c r="R159" s="452"/>
      <c r="S159" s="452"/>
      <c r="U159" s="164"/>
      <c r="V159" s="164"/>
      <c r="W159" s="164"/>
      <c r="X159" s="217"/>
      <c r="Y159" s="217"/>
      <c r="Z159" s="217"/>
      <c r="AA159" s="217"/>
      <c r="AB159" s="217"/>
      <c r="AC159" s="217"/>
      <c r="AD159" s="217"/>
      <c r="AE159" s="217"/>
      <c r="AF159" s="217"/>
      <c r="AG159" s="217"/>
      <c r="AH159" s="217"/>
      <c r="AI159" s="217"/>
      <c r="AJ159" s="217"/>
      <c r="AK159" s="217"/>
      <c r="AM159" s="442" t="s">
        <v>515</v>
      </c>
      <c r="AN159" s="763"/>
      <c r="AO159" s="763"/>
      <c r="AP159" s="763"/>
      <c r="AQ159" s="763"/>
      <c r="AR159" s="763"/>
      <c r="AS159" s="763"/>
      <c r="AT159" s="763"/>
      <c r="AU159" s="763"/>
      <c r="AV159" s="763"/>
      <c r="AW159" s="763"/>
      <c r="AX159" s="763"/>
      <c r="AY159" s="763"/>
      <c r="AZ159" s="763"/>
      <c r="BA159" s="763"/>
      <c r="BB159" s="763"/>
      <c r="BC159" s="432"/>
      <c r="BD159" s="432"/>
      <c r="BE159" s="216"/>
      <c r="BF159" s="216"/>
    </row>
    <row r="160" spans="1:61" ht="8.25" customHeight="1" x14ac:dyDescent="0.2">
      <c r="B160" s="452" t="s">
        <v>78</v>
      </c>
      <c r="C160" s="452"/>
      <c r="D160" s="452"/>
      <c r="E160" s="452"/>
      <c r="F160" s="452"/>
      <c r="G160" s="452"/>
      <c r="H160" s="452"/>
      <c r="I160" s="452"/>
      <c r="J160" s="452"/>
      <c r="K160" s="452"/>
      <c r="L160" s="452"/>
      <c r="M160" s="452"/>
      <c r="N160" s="452"/>
      <c r="O160" s="452"/>
      <c r="P160" s="452"/>
      <c r="Q160" s="452"/>
      <c r="R160" s="452"/>
      <c r="S160" s="452"/>
      <c r="AM160" s="442" t="s">
        <v>418</v>
      </c>
      <c r="AN160" s="442"/>
      <c r="AO160" s="442"/>
      <c r="AP160" s="442"/>
      <c r="AQ160" s="442"/>
      <c r="AR160" s="442"/>
      <c r="AS160" s="442"/>
      <c r="AT160" s="442"/>
      <c r="AU160" s="442"/>
      <c r="AV160" s="442"/>
      <c r="AW160" s="442"/>
      <c r="AX160" s="442"/>
      <c r="AY160" s="442"/>
      <c r="AZ160" s="442"/>
      <c r="BA160" s="442"/>
      <c r="BB160" s="442"/>
      <c r="BC160" s="442"/>
    </row>
    <row r="161" spans="1:183" ht="19.5" customHeight="1" x14ac:dyDescent="0.2">
      <c r="B161" s="452"/>
      <c r="C161" s="452"/>
      <c r="D161" s="452"/>
      <c r="E161" s="452"/>
      <c r="F161" s="452"/>
      <c r="G161" s="452"/>
      <c r="H161" s="452"/>
      <c r="I161" s="452"/>
      <c r="J161" s="452"/>
      <c r="K161" s="452"/>
      <c r="L161" s="452"/>
      <c r="M161" s="452"/>
      <c r="N161" s="452"/>
      <c r="O161" s="452"/>
      <c r="P161" s="452"/>
      <c r="Q161" s="452"/>
      <c r="R161" s="452"/>
      <c r="S161" s="452"/>
      <c r="U161" s="164"/>
      <c r="V161" s="164"/>
      <c r="W161" s="164"/>
      <c r="X161" s="217"/>
      <c r="Y161" s="217"/>
      <c r="Z161" s="217"/>
      <c r="AA161" s="217"/>
      <c r="AB161" s="217"/>
      <c r="AC161" s="217"/>
      <c r="AD161" s="217"/>
      <c r="AE161" s="217"/>
      <c r="AF161" s="217"/>
      <c r="AG161" s="217"/>
      <c r="AH161" s="217"/>
      <c r="AI161" s="217"/>
      <c r="AJ161" s="217"/>
      <c r="AK161" s="217"/>
      <c r="AM161" s="442"/>
      <c r="AN161" s="442"/>
      <c r="AO161" s="442"/>
      <c r="AP161" s="442"/>
      <c r="AQ161" s="442"/>
      <c r="AR161" s="442"/>
      <c r="AS161" s="442"/>
      <c r="AT161" s="442"/>
      <c r="AU161" s="442"/>
      <c r="AV161" s="442"/>
      <c r="AW161" s="442"/>
      <c r="AX161" s="442"/>
      <c r="AY161" s="442"/>
      <c r="AZ161" s="442"/>
      <c r="BA161" s="442"/>
      <c r="BB161" s="442"/>
      <c r="BC161" s="442"/>
      <c r="BG161" s="216"/>
    </row>
    <row r="162" spans="1:183" ht="13.5" customHeight="1" x14ac:dyDescent="0.2"/>
    <row r="163" spans="1:183" ht="13.5" customHeight="1" x14ac:dyDescent="0.2">
      <c r="A163" s="219" t="s">
        <v>125</v>
      </c>
      <c r="B163" s="219"/>
      <c r="C163" s="219"/>
      <c r="D163" s="219"/>
      <c r="BG163" s="216"/>
    </row>
    <row r="164" spans="1:183" ht="16.5" hidden="1" customHeight="1" x14ac:dyDescent="0.2">
      <c r="A164" s="221"/>
      <c r="B164" s="221"/>
      <c r="C164" s="221"/>
      <c r="D164" s="221"/>
      <c r="E164" s="221"/>
      <c r="F164" s="221"/>
      <c r="G164" s="221"/>
      <c r="H164" s="221"/>
      <c r="I164" s="221"/>
      <c r="J164" s="221"/>
      <c r="K164" s="221"/>
      <c r="L164" s="221"/>
      <c r="M164" s="221"/>
      <c r="N164" s="221"/>
      <c r="BB164" s="432" t="s">
        <v>340</v>
      </c>
      <c r="BC164" s="432"/>
      <c r="BD164" s="432"/>
      <c r="BE164" s="432"/>
      <c r="BF164" s="432"/>
      <c r="BG164" s="432"/>
      <c r="BH164" s="432"/>
      <c r="BI164" s="432"/>
      <c r="BJ164" s="432"/>
      <c r="BK164" s="432"/>
      <c r="BL164" s="432"/>
      <c r="BM164" s="432"/>
      <c r="BN164" s="432"/>
      <c r="BO164" s="432"/>
      <c r="BP164" s="432"/>
      <c r="BQ164" s="432"/>
      <c r="BR164" s="432"/>
      <c r="BS164" s="432"/>
      <c r="BT164" s="432"/>
      <c r="BU164" s="432"/>
      <c r="BV164" s="432"/>
      <c r="BW164" s="432"/>
      <c r="BX164" s="432"/>
      <c r="CB164" s="432"/>
      <c r="CC164" s="432"/>
      <c r="CD164" s="432"/>
      <c r="CE164" s="432"/>
      <c r="CF164" s="432"/>
      <c r="CG164" s="432"/>
      <c r="CH164" s="432"/>
      <c r="CI164" s="432"/>
      <c r="CJ164" s="432"/>
      <c r="CK164" s="432"/>
      <c r="CL164" s="432"/>
      <c r="CM164" s="432"/>
      <c r="CN164" s="432"/>
      <c r="CO164" s="432"/>
      <c r="CP164" s="432"/>
      <c r="CQ164" s="432"/>
      <c r="CR164" s="432"/>
      <c r="CS164" s="432"/>
      <c r="CT164" s="432"/>
      <c r="CU164" s="432"/>
      <c r="CV164" s="432"/>
      <c r="CW164" s="432"/>
      <c r="CX164" s="432"/>
      <c r="DD164" s="432" t="s">
        <v>153</v>
      </c>
      <c r="DE164" s="432"/>
      <c r="DF164" s="432"/>
      <c r="DG164" s="432"/>
      <c r="DH164" s="432"/>
      <c r="DI164" s="432"/>
      <c r="DJ164" s="432"/>
      <c r="DK164" s="432"/>
      <c r="DL164" s="432"/>
      <c r="DM164" s="432"/>
      <c r="DN164" s="432"/>
      <c r="DO164" s="432"/>
      <c r="DP164" s="432"/>
      <c r="DQ164" s="432"/>
      <c r="DR164" s="432"/>
      <c r="DS164" s="432"/>
      <c r="DT164" s="432"/>
      <c r="DU164" s="432"/>
      <c r="DV164" s="432"/>
      <c r="DW164" s="432"/>
      <c r="DX164" s="432"/>
      <c r="DY164" s="432"/>
      <c r="DZ164" s="432"/>
      <c r="ED164" s="432" t="s">
        <v>155</v>
      </c>
      <c r="EE164" s="432"/>
      <c r="EF164" s="432"/>
      <c r="EG164" s="432"/>
      <c r="EH164" s="432"/>
      <c r="EI164" s="432"/>
      <c r="EJ164" s="432"/>
      <c r="EK164" s="432"/>
      <c r="EL164" s="432"/>
      <c r="EM164" s="432"/>
      <c r="EN164" s="432"/>
      <c r="EO164" s="432"/>
      <c r="EP164" s="432"/>
      <c r="EQ164" s="432"/>
      <c r="ER164" s="432"/>
      <c r="ES164" s="432"/>
      <c r="ET164" s="432"/>
      <c r="EU164" s="432"/>
      <c r="EV164" s="432"/>
      <c r="EW164" s="432"/>
      <c r="EX164" s="432"/>
      <c r="EY164" s="432"/>
      <c r="EZ164" s="432"/>
      <c r="FE164" s="432" t="s">
        <v>131</v>
      </c>
      <c r="FF164" s="432"/>
      <c r="FG164" s="432"/>
      <c r="FH164" s="432"/>
      <c r="FI164" s="432"/>
      <c r="FJ164" s="432"/>
      <c r="FK164" s="432"/>
      <c r="FL164" s="432"/>
      <c r="FM164" s="432"/>
      <c r="FN164" s="432"/>
      <c r="FO164" s="432"/>
      <c r="FP164" s="432"/>
      <c r="FQ164" s="432"/>
      <c r="FR164" s="432"/>
      <c r="FS164" s="432"/>
      <c r="FT164" s="432"/>
      <c r="FU164" s="432"/>
      <c r="FV164" s="432"/>
      <c r="FW164" s="432"/>
      <c r="FX164" s="432"/>
      <c r="FY164" s="432"/>
      <c r="FZ164" s="432"/>
      <c r="GA164" s="432"/>
    </row>
    <row r="165" spans="1:183" ht="23.25" hidden="1" customHeight="1" x14ac:dyDescent="0.25">
      <c r="A165" s="222"/>
      <c r="B165" s="222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222"/>
      <c r="AF165" s="222"/>
      <c r="AG165" s="222"/>
      <c r="AH165" s="222"/>
      <c r="AI165" s="222"/>
      <c r="AJ165" s="222"/>
      <c r="AK165" s="222"/>
      <c r="AL165" s="222"/>
      <c r="AM165" s="222"/>
      <c r="AN165" s="222"/>
      <c r="AO165" s="222"/>
      <c r="AP165" s="222"/>
      <c r="AQ165" s="222"/>
      <c r="AR165" s="222"/>
      <c r="AS165" s="222"/>
      <c r="BB165" s="432" t="s">
        <v>126</v>
      </c>
      <c r="BC165" s="432"/>
      <c r="BD165" s="432"/>
      <c r="BE165" s="433">
        <f>200*6</f>
        <v>1200</v>
      </c>
      <c r="BF165" s="433"/>
      <c r="BG165" s="433"/>
      <c r="BH165" s="433"/>
      <c r="BI165" s="433"/>
      <c r="BJ165" s="220" t="s">
        <v>127</v>
      </c>
      <c r="BK165" s="220"/>
      <c r="BL165" s="220"/>
      <c r="BM165" s="220"/>
      <c r="BN165" s="220"/>
      <c r="BO165" s="220"/>
      <c r="BP165" s="220"/>
      <c r="BQ165" s="220"/>
      <c r="CB165" s="432"/>
      <c r="CC165" s="432"/>
      <c r="CD165" s="432"/>
      <c r="CE165" s="433"/>
      <c r="CF165" s="433"/>
      <c r="CG165" s="433"/>
      <c r="CH165" s="433"/>
      <c r="CI165" s="433"/>
      <c r="CJ165" s="220"/>
      <c r="CK165" s="220"/>
      <c r="CL165" s="220"/>
      <c r="CM165" s="220"/>
      <c r="CN165" s="220"/>
      <c r="CO165" s="220"/>
      <c r="CP165" s="220"/>
      <c r="CQ165" s="220"/>
      <c r="DD165" s="432" t="s">
        <v>126</v>
      </c>
      <c r="DE165" s="432"/>
      <c r="DF165" s="432"/>
      <c r="DG165" s="433">
        <f>150*55</f>
        <v>8250</v>
      </c>
      <c r="DH165" s="433"/>
      <c r="DI165" s="433"/>
      <c r="DJ165" s="433"/>
      <c r="DK165" s="433"/>
      <c r="DL165" s="220" t="s">
        <v>127</v>
      </c>
      <c r="DM165" s="220"/>
      <c r="DN165" s="220"/>
      <c r="DO165" s="220"/>
      <c r="DP165" s="220"/>
      <c r="DQ165" s="220"/>
      <c r="DR165" s="220"/>
      <c r="DS165" s="220"/>
      <c r="ED165" s="432" t="s">
        <v>126</v>
      </c>
      <c r="EE165" s="432"/>
      <c r="EF165" s="432"/>
      <c r="EG165" s="433">
        <f>150*37</f>
        <v>5550</v>
      </c>
      <c r="EH165" s="433"/>
      <c r="EI165" s="433"/>
      <c r="EJ165" s="433"/>
      <c r="EK165" s="433"/>
      <c r="EL165" s="220" t="s">
        <v>127</v>
      </c>
      <c r="EM165" s="220"/>
      <c r="EN165" s="220"/>
      <c r="EO165" s="220"/>
      <c r="EP165" s="220"/>
      <c r="EQ165" s="220"/>
      <c r="ER165" s="220"/>
      <c r="ES165" s="220"/>
      <c r="FE165" s="432" t="s">
        <v>126</v>
      </c>
      <c r="FF165" s="432"/>
      <c r="FG165" s="432"/>
      <c r="FH165" s="433">
        <f>100*37</f>
        <v>3700</v>
      </c>
      <c r="FI165" s="433"/>
      <c r="FJ165" s="433"/>
      <c r="FK165" s="433"/>
      <c r="FL165" s="433"/>
      <c r="FM165" s="220" t="s">
        <v>127</v>
      </c>
      <c r="FN165" s="220"/>
      <c r="FO165" s="220"/>
      <c r="FP165" s="220"/>
      <c r="FQ165" s="220"/>
      <c r="FR165" s="220"/>
      <c r="FS165" s="220"/>
      <c r="FT165" s="220"/>
    </row>
    <row r="166" spans="1:183" ht="21" hidden="1" customHeight="1" x14ac:dyDescent="0.2">
      <c r="BB166" s="434">
        <v>0.6</v>
      </c>
      <c r="BC166" s="432"/>
      <c r="BD166" s="432"/>
      <c r="BE166" s="216">
        <f>BE165*BB166</f>
        <v>720</v>
      </c>
      <c r="BF166" s="432" t="s">
        <v>128</v>
      </c>
      <c r="BG166" s="432"/>
      <c r="BH166" s="432"/>
      <c r="BI166" s="432"/>
      <c r="BJ166" s="432"/>
      <c r="BK166" s="432" t="s">
        <v>129</v>
      </c>
      <c r="BL166" s="432"/>
      <c r="BM166" s="432"/>
      <c r="BN166" s="432"/>
      <c r="BO166" s="432"/>
      <c r="BP166" s="432"/>
      <c r="BQ166" s="432"/>
      <c r="CB166" s="434"/>
      <c r="CC166" s="432"/>
      <c r="CD166" s="432"/>
      <c r="CE166" s="216"/>
      <c r="CF166" s="432"/>
      <c r="CG166" s="432"/>
      <c r="CH166" s="432"/>
      <c r="CI166" s="432"/>
      <c r="CJ166" s="432"/>
      <c r="CK166" s="432"/>
      <c r="CL166" s="432"/>
      <c r="CM166" s="432"/>
      <c r="CN166" s="432"/>
      <c r="CO166" s="432"/>
      <c r="CP166" s="432"/>
      <c r="CQ166" s="432"/>
      <c r="DD166" s="434">
        <v>0.6</v>
      </c>
      <c r="DE166" s="432"/>
      <c r="DF166" s="432"/>
      <c r="DG166" s="216">
        <f>DG165*DD166</f>
        <v>4950</v>
      </c>
      <c r="DH166" s="432" t="s">
        <v>128</v>
      </c>
      <c r="DI166" s="432"/>
      <c r="DJ166" s="432"/>
      <c r="DK166" s="432"/>
      <c r="DL166" s="432"/>
      <c r="DM166" s="432" t="s">
        <v>129</v>
      </c>
      <c r="DN166" s="432"/>
      <c r="DO166" s="432"/>
      <c r="DP166" s="432"/>
      <c r="DQ166" s="432"/>
      <c r="DR166" s="432"/>
      <c r="DS166" s="432"/>
      <c r="ED166" s="434">
        <v>0.6</v>
      </c>
      <c r="EE166" s="432"/>
      <c r="EF166" s="432"/>
      <c r="EG166" s="216">
        <f>EG165*ED166</f>
        <v>3330</v>
      </c>
      <c r="EH166" s="432" t="s">
        <v>128</v>
      </c>
      <c r="EI166" s="432"/>
      <c r="EJ166" s="432"/>
      <c r="EK166" s="432"/>
      <c r="EL166" s="432"/>
      <c r="EM166" s="432" t="s">
        <v>129</v>
      </c>
      <c r="EN166" s="432"/>
      <c r="EO166" s="432"/>
      <c r="EP166" s="432"/>
      <c r="EQ166" s="432"/>
      <c r="ER166" s="432"/>
      <c r="ES166" s="432"/>
      <c r="FE166" s="434">
        <v>0.6</v>
      </c>
      <c r="FF166" s="432"/>
      <c r="FG166" s="432"/>
      <c r="FH166" s="216">
        <f>FH165*FE166</f>
        <v>2220</v>
      </c>
      <c r="FI166" s="432" t="s">
        <v>128</v>
      </c>
      <c r="FJ166" s="432"/>
      <c r="FK166" s="432"/>
      <c r="FL166" s="432"/>
      <c r="FM166" s="432"/>
      <c r="FN166" s="432" t="s">
        <v>129</v>
      </c>
      <c r="FO166" s="432"/>
      <c r="FP166" s="432"/>
      <c r="FQ166" s="432"/>
      <c r="FR166" s="432"/>
      <c r="FS166" s="432"/>
      <c r="FT166" s="432"/>
    </row>
    <row r="167" spans="1:183" ht="22.5" hidden="1" customHeight="1" x14ac:dyDescent="0.2">
      <c r="BB167" s="432">
        <v>211</v>
      </c>
      <c r="BC167" s="432"/>
      <c r="BD167" s="432"/>
      <c r="BE167" s="216">
        <f>BE166-BE168</f>
        <v>552.9953917050691</v>
      </c>
      <c r="BF167" s="435">
        <f>BE167*0.1</f>
        <v>55.299539170506911</v>
      </c>
      <c r="BG167" s="435"/>
      <c r="BH167" s="435"/>
      <c r="BI167" s="435"/>
      <c r="BJ167" s="435"/>
      <c r="BK167" s="436">
        <f>BE167-BF167</f>
        <v>497.69585253456216</v>
      </c>
      <c r="BL167" s="445"/>
      <c r="BM167" s="445"/>
      <c r="BN167" s="445"/>
      <c r="BO167" s="445"/>
      <c r="BP167" s="445"/>
      <c r="BQ167" s="445"/>
      <c r="CB167" s="432"/>
      <c r="CC167" s="432"/>
      <c r="CD167" s="432"/>
      <c r="CE167" s="216"/>
      <c r="CF167" s="435"/>
      <c r="CG167" s="435"/>
      <c r="CH167" s="435"/>
      <c r="CI167" s="435"/>
      <c r="CJ167" s="435"/>
      <c r="CK167" s="435"/>
      <c r="CL167" s="432"/>
      <c r="CM167" s="432"/>
      <c r="CN167" s="432"/>
      <c r="CO167" s="432"/>
      <c r="CP167" s="432"/>
      <c r="CQ167" s="432"/>
      <c r="DD167" s="432">
        <v>211</v>
      </c>
      <c r="DE167" s="432"/>
      <c r="DF167" s="432"/>
      <c r="DG167" s="216">
        <f>DG166-DG168</f>
        <v>3801.8433179723502</v>
      </c>
      <c r="DH167" s="435">
        <f>DG167*0.1</f>
        <v>380.18433179723502</v>
      </c>
      <c r="DI167" s="435"/>
      <c r="DJ167" s="435"/>
      <c r="DK167" s="435"/>
      <c r="DL167" s="435"/>
      <c r="DM167" s="435">
        <f>DG167-DH167</f>
        <v>3421.6589861751154</v>
      </c>
      <c r="DN167" s="432"/>
      <c r="DO167" s="432"/>
      <c r="DP167" s="432"/>
      <c r="DQ167" s="432"/>
      <c r="DR167" s="432"/>
      <c r="DS167" s="432"/>
      <c r="ED167" s="432">
        <v>211</v>
      </c>
      <c r="EE167" s="432"/>
      <c r="EF167" s="432"/>
      <c r="EG167" s="216">
        <f>EG166-EG168</f>
        <v>2557.6036866359445</v>
      </c>
      <c r="EH167" s="435">
        <f>EG167*0.1</f>
        <v>255.76036866359448</v>
      </c>
      <c r="EI167" s="435"/>
      <c r="EJ167" s="435"/>
      <c r="EK167" s="435"/>
      <c r="EL167" s="435"/>
      <c r="EM167" s="435">
        <f>EG167-EH167</f>
        <v>2301.8433179723502</v>
      </c>
      <c r="EN167" s="432"/>
      <c r="EO167" s="432"/>
      <c r="EP167" s="432"/>
      <c r="EQ167" s="432"/>
      <c r="ER167" s="432"/>
      <c r="ES167" s="432"/>
      <c r="FE167" s="432">
        <v>211</v>
      </c>
      <c r="FF167" s="432"/>
      <c r="FG167" s="432"/>
      <c r="FH167" s="216">
        <f>FH166-FH168</f>
        <v>1705.0691244239631</v>
      </c>
      <c r="FI167" s="435">
        <f>FH167*0.1</f>
        <v>170.50691244239633</v>
      </c>
      <c r="FJ167" s="435"/>
      <c r="FK167" s="435"/>
      <c r="FL167" s="435"/>
      <c r="FM167" s="435"/>
      <c r="FN167" s="435">
        <f>FH167-FI167</f>
        <v>1534.5622119815669</v>
      </c>
      <c r="FO167" s="432"/>
      <c r="FP167" s="432"/>
      <c r="FQ167" s="432"/>
      <c r="FR167" s="432"/>
      <c r="FS167" s="432"/>
      <c r="FT167" s="432"/>
    </row>
    <row r="168" spans="1:183" ht="27" hidden="1" customHeight="1" x14ac:dyDescent="0.2">
      <c r="BB168" s="432">
        <v>213</v>
      </c>
      <c r="BC168" s="432"/>
      <c r="BD168" s="432"/>
      <c r="BE168" s="216">
        <f>BE166*30.2/130.2</f>
        <v>167.0046082949309</v>
      </c>
      <c r="BF168" s="435">
        <f>BF167*30.2%</f>
        <v>16.700460829493085</v>
      </c>
      <c r="BG168" s="435"/>
      <c r="BH168" s="435"/>
      <c r="BI168" s="435"/>
      <c r="BJ168" s="435"/>
      <c r="BK168" s="435">
        <f>BK167*30.2%</f>
        <v>150.30414746543778</v>
      </c>
      <c r="BL168" s="435"/>
      <c r="BM168" s="435"/>
      <c r="BN168" s="435"/>
      <c r="BO168" s="435"/>
      <c r="BP168" s="435"/>
      <c r="BQ168" s="435"/>
      <c r="CB168" s="432"/>
      <c r="CC168" s="432"/>
      <c r="CD168" s="432"/>
      <c r="CE168" s="216"/>
      <c r="CF168" s="435"/>
      <c r="CG168" s="435"/>
      <c r="CH168" s="435"/>
      <c r="CI168" s="435"/>
      <c r="CJ168" s="435"/>
      <c r="CK168" s="435"/>
      <c r="CL168" s="435"/>
      <c r="CM168" s="435"/>
      <c r="CN168" s="435"/>
      <c r="CO168" s="435"/>
      <c r="CP168" s="435"/>
      <c r="CQ168" s="435"/>
      <c r="DD168" s="432">
        <v>213</v>
      </c>
      <c r="DE168" s="432"/>
      <c r="DF168" s="432"/>
      <c r="DG168" s="216">
        <f>DG166*30.2/130.2</f>
        <v>1148.1566820276498</v>
      </c>
      <c r="DH168" s="435">
        <f>DH167*30.2%</f>
        <v>114.81566820276497</v>
      </c>
      <c r="DI168" s="435"/>
      <c r="DJ168" s="435"/>
      <c r="DK168" s="435"/>
      <c r="DL168" s="435"/>
      <c r="DM168" s="435">
        <f>DM167*30.2%</f>
        <v>1033.3410138248848</v>
      </c>
      <c r="DN168" s="435"/>
      <c r="DO168" s="435"/>
      <c r="DP168" s="435"/>
      <c r="DQ168" s="435"/>
      <c r="DR168" s="435"/>
      <c r="DS168" s="435"/>
      <c r="ED168" s="432">
        <v>213</v>
      </c>
      <c r="EE168" s="432"/>
      <c r="EF168" s="432"/>
      <c r="EG168" s="216">
        <f>EG166*30.2/130.2</f>
        <v>772.39631336405535</v>
      </c>
      <c r="EH168" s="435">
        <f>EH167*30.2%</f>
        <v>77.239631336405523</v>
      </c>
      <c r="EI168" s="435"/>
      <c r="EJ168" s="435"/>
      <c r="EK168" s="435"/>
      <c r="EL168" s="435"/>
      <c r="EM168" s="435">
        <f>EM167*30.2%</f>
        <v>695.15668202764971</v>
      </c>
      <c r="EN168" s="435"/>
      <c r="EO168" s="435"/>
      <c r="EP168" s="435"/>
      <c r="EQ168" s="435"/>
      <c r="ER168" s="435"/>
      <c r="ES168" s="435"/>
      <c r="FE168" s="432">
        <v>213</v>
      </c>
      <c r="FF168" s="432"/>
      <c r="FG168" s="432"/>
      <c r="FH168" s="216">
        <f>FH166*30.2/130.2</f>
        <v>514.9308755760369</v>
      </c>
      <c r="FI168" s="435">
        <f>FI167*30.2%</f>
        <v>51.493087557603687</v>
      </c>
      <c r="FJ168" s="435"/>
      <c r="FK168" s="435"/>
      <c r="FL168" s="435"/>
      <c r="FM168" s="435"/>
      <c r="FN168" s="435">
        <f>FN167*30.2%</f>
        <v>463.4377880184332</v>
      </c>
      <c r="FO168" s="435"/>
      <c r="FP168" s="435"/>
      <c r="FQ168" s="435"/>
      <c r="FR168" s="435"/>
      <c r="FS168" s="435"/>
      <c r="FT168" s="435"/>
    </row>
    <row r="169" spans="1:183" ht="8.25" hidden="1" customHeight="1" x14ac:dyDescent="0.2">
      <c r="Z169" s="223"/>
      <c r="AA169" s="223"/>
      <c r="AB169" s="223"/>
      <c r="AC169" s="223"/>
      <c r="AD169" s="223"/>
      <c r="AE169" s="223"/>
      <c r="AF169" s="223"/>
      <c r="AG169" s="223"/>
    </row>
    <row r="170" spans="1:183" ht="8.25" hidden="1" customHeight="1" x14ac:dyDescent="0.2"/>
    <row r="171" spans="1:183" ht="8.25" hidden="1" customHeight="1" x14ac:dyDescent="0.2"/>
    <row r="172" spans="1:183" ht="18" hidden="1" customHeight="1" x14ac:dyDescent="0.2">
      <c r="BB172" s="432" t="s">
        <v>342</v>
      </c>
      <c r="BC172" s="432"/>
      <c r="BD172" s="432"/>
      <c r="BE172" s="432"/>
      <c r="BF172" s="432"/>
      <c r="BG172" s="432"/>
      <c r="BH172" s="432"/>
      <c r="BI172" s="432"/>
      <c r="BJ172" s="432"/>
      <c r="BK172" s="432"/>
      <c r="BL172" s="432"/>
      <c r="BM172" s="432"/>
      <c r="BN172" s="432"/>
      <c r="BO172" s="432"/>
      <c r="BP172" s="432"/>
      <c r="BQ172" s="432"/>
      <c r="BR172" s="432"/>
      <c r="BS172" s="432"/>
      <c r="BT172" s="432"/>
      <c r="BU172" s="432"/>
      <c r="BV172" s="432"/>
      <c r="BW172" s="432"/>
      <c r="BX172" s="432"/>
      <c r="CB172" s="432"/>
      <c r="CC172" s="432"/>
      <c r="CD172" s="432"/>
      <c r="CE172" s="432"/>
      <c r="CF172" s="432"/>
      <c r="CG172" s="432"/>
      <c r="CH172" s="432"/>
      <c r="CI172" s="432"/>
      <c r="CJ172" s="432"/>
      <c r="CK172" s="432"/>
      <c r="CL172" s="432"/>
      <c r="CM172" s="432"/>
      <c r="CN172" s="432"/>
      <c r="CO172" s="432"/>
      <c r="CP172" s="432"/>
      <c r="CQ172" s="432"/>
      <c r="CR172" s="432"/>
      <c r="CS172" s="432"/>
      <c r="CT172" s="432"/>
      <c r="CU172" s="432"/>
      <c r="CV172" s="432"/>
      <c r="CW172" s="432"/>
      <c r="CX172" s="432"/>
      <c r="DD172" s="432" t="s">
        <v>154</v>
      </c>
      <c r="DE172" s="432"/>
      <c r="DF172" s="432"/>
      <c r="DG172" s="432"/>
      <c r="DH172" s="432"/>
      <c r="DI172" s="432"/>
      <c r="DJ172" s="432"/>
      <c r="DK172" s="432"/>
      <c r="DL172" s="432"/>
      <c r="DM172" s="432"/>
      <c r="DN172" s="432"/>
      <c r="DO172" s="432"/>
      <c r="DP172" s="432"/>
      <c r="DQ172" s="432"/>
      <c r="DR172" s="432"/>
      <c r="DS172" s="432"/>
      <c r="DT172" s="432"/>
      <c r="DU172" s="432"/>
      <c r="DV172" s="432"/>
      <c r="DW172" s="432"/>
      <c r="DX172" s="432"/>
      <c r="DY172" s="432"/>
      <c r="DZ172" s="432"/>
      <c r="ED172" s="432" t="s">
        <v>157</v>
      </c>
      <c r="EE172" s="432"/>
      <c r="EF172" s="432"/>
      <c r="EG172" s="432"/>
      <c r="EH172" s="432"/>
      <c r="EI172" s="432"/>
      <c r="EJ172" s="432"/>
      <c r="EK172" s="432"/>
      <c r="EL172" s="432"/>
      <c r="EM172" s="432"/>
      <c r="EN172" s="432"/>
      <c r="EO172" s="432"/>
      <c r="EP172" s="432"/>
      <c r="EQ172" s="432"/>
      <c r="ER172" s="432"/>
      <c r="ES172" s="432"/>
      <c r="ET172" s="432"/>
      <c r="EU172" s="432"/>
      <c r="EV172" s="432"/>
      <c r="EW172" s="432"/>
      <c r="EX172" s="432"/>
      <c r="EY172" s="432"/>
      <c r="EZ172" s="432"/>
      <c r="FE172" s="432" t="s">
        <v>132</v>
      </c>
      <c r="FF172" s="432"/>
      <c r="FG172" s="432"/>
      <c r="FH172" s="432"/>
      <c r="FI172" s="432"/>
      <c r="FJ172" s="432"/>
      <c r="FK172" s="432"/>
      <c r="FL172" s="432"/>
      <c r="FM172" s="432"/>
      <c r="FN172" s="432"/>
      <c r="FO172" s="432"/>
      <c r="FP172" s="432"/>
      <c r="FQ172" s="432"/>
      <c r="FR172" s="432"/>
      <c r="FS172" s="432"/>
      <c r="FT172" s="432"/>
      <c r="FU172" s="432"/>
      <c r="FV172" s="432"/>
      <c r="FW172" s="432"/>
      <c r="FX172" s="432"/>
      <c r="FY172" s="432"/>
      <c r="FZ172" s="432"/>
      <c r="GA172" s="432"/>
    </row>
    <row r="173" spans="1:183" ht="12" hidden="1" x14ac:dyDescent="0.2">
      <c r="BB173" s="432" t="s">
        <v>126</v>
      </c>
      <c r="BC173" s="432"/>
      <c r="BD173" s="432"/>
      <c r="BE173" s="433">
        <f>200*23</f>
        <v>4600</v>
      </c>
      <c r="BF173" s="433"/>
      <c r="BG173" s="433"/>
      <c r="BH173" s="433"/>
      <c r="BI173" s="433"/>
      <c r="BJ173" s="227" t="s">
        <v>127</v>
      </c>
      <c r="BK173" s="227"/>
      <c r="BL173" s="227"/>
      <c r="BM173" s="227"/>
      <c r="BN173" s="227"/>
      <c r="BO173" s="227"/>
      <c r="BP173" s="227"/>
      <c r="BQ173" s="227"/>
      <c r="CB173" s="432"/>
      <c r="CC173" s="432"/>
      <c r="CD173" s="432"/>
      <c r="CE173" s="433"/>
      <c r="CF173" s="433"/>
      <c r="CG173" s="433"/>
      <c r="CH173" s="433"/>
      <c r="CI173" s="433"/>
      <c r="CJ173" s="220"/>
      <c r="CK173" s="220"/>
      <c r="CL173" s="220"/>
      <c r="CM173" s="220"/>
      <c r="CN173" s="220"/>
      <c r="CO173" s="220"/>
      <c r="CP173" s="220"/>
      <c r="CQ173" s="220"/>
      <c r="DD173" s="432" t="s">
        <v>126</v>
      </c>
      <c r="DE173" s="432"/>
      <c r="DF173" s="432"/>
      <c r="DG173" s="433">
        <f>150*48</f>
        <v>7200</v>
      </c>
      <c r="DH173" s="433"/>
      <c r="DI173" s="433"/>
      <c r="DJ173" s="433"/>
      <c r="DK173" s="433"/>
      <c r="DL173" s="220" t="s">
        <v>127</v>
      </c>
      <c r="DM173" s="220"/>
      <c r="DN173" s="220"/>
      <c r="DO173" s="220"/>
      <c r="DP173" s="220"/>
      <c r="DQ173" s="220"/>
      <c r="DR173" s="220"/>
      <c r="DS173" s="220"/>
      <c r="ED173" s="432" t="s">
        <v>126</v>
      </c>
      <c r="EE173" s="432"/>
      <c r="EF173" s="432"/>
      <c r="EG173" s="433">
        <f>150*46</f>
        <v>6900</v>
      </c>
      <c r="EH173" s="433"/>
      <c r="EI173" s="433"/>
      <c r="EJ173" s="433"/>
      <c r="EK173" s="433"/>
      <c r="EL173" s="220" t="s">
        <v>127</v>
      </c>
      <c r="EM173" s="220"/>
      <c r="EN173" s="220"/>
      <c r="EO173" s="220"/>
      <c r="EP173" s="220"/>
      <c r="EQ173" s="220"/>
      <c r="ER173" s="220"/>
      <c r="ES173" s="220"/>
      <c r="FE173" s="432" t="s">
        <v>126</v>
      </c>
      <c r="FF173" s="432"/>
      <c r="FG173" s="432"/>
      <c r="FH173" s="433">
        <f>100*111</f>
        <v>11100</v>
      </c>
      <c r="FI173" s="433"/>
      <c r="FJ173" s="433"/>
      <c r="FK173" s="433"/>
      <c r="FL173" s="433"/>
      <c r="FM173" s="220" t="s">
        <v>127</v>
      </c>
      <c r="FN173" s="220"/>
      <c r="FO173" s="220"/>
      <c r="FP173" s="220"/>
      <c r="FQ173" s="220"/>
      <c r="FR173" s="220"/>
      <c r="FS173" s="220"/>
      <c r="FT173" s="220"/>
    </row>
    <row r="174" spans="1:183" ht="12" hidden="1" x14ac:dyDescent="0.2">
      <c r="BB174" s="434">
        <v>0.6</v>
      </c>
      <c r="BC174" s="432"/>
      <c r="BD174" s="432"/>
      <c r="BE174" s="216">
        <f>BE173*BB174</f>
        <v>2760</v>
      </c>
      <c r="BF174" s="432" t="s">
        <v>128</v>
      </c>
      <c r="BG174" s="432"/>
      <c r="BH174" s="432"/>
      <c r="BI174" s="432"/>
      <c r="BJ174" s="432"/>
      <c r="BK174" s="432" t="s">
        <v>129</v>
      </c>
      <c r="BL174" s="432"/>
      <c r="BM174" s="432"/>
      <c r="BN174" s="432"/>
      <c r="BO174" s="432"/>
      <c r="BP174" s="432"/>
      <c r="BQ174" s="432"/>
      <c r="CB174" s="434"/>
      <c r="CC174" s="432"/>
      <c r="CD174" s="432"/>
      <c r="CE174" s="216"/>
      <c r="CF174" s="432"/>
      <c r="CG174" s="432"/>
      <c r="CH174" s="432"/>
      <c r="CI174" s="432"/>
      <c r="CJ174" s="432"/>
      <c r="CK174" s="432"/>
      <c r="CL174" s="432"/>
      <c r="CM174" s="432"/>
      <c r="CN174" s="432"/>
      <c r="CO174" s="432"/>
      <c r="CP174" s="432"/>
      <c r="CQ174" s="432"/>
      <c r="DD174" s="434">
        <v>0.6</v>
      </c>
      <c r="DE174" s="432"/>
      <c r="DF174" s="432"/>
      <c r="DG174" s="216">
        <f>DG173*DD174</f>
        <v>4320</v>
      </c>
      <c r="DH174" s="432" t="s">
        <v>128</v>
      </c>
      <c r="DI174" s="432"/>
      <c r="DJ174" s="432"/>
      <c r="DK174" s="432"/>
      <c r="DL174" s="432"/>
      <c r="DM174" s="432" t="s">
        <v>129</v>
      </c>
      <c r="DN174" s="432"/>
      <c r="DO174" s="432"/>
      <c r="DP174" s="432"/>
      <c r="DQ174" s="432"/>
      <c r="DR174" s="432"/>
      <c r="DS174" s="432"/>
      <c r="ED174" s="434">
        <v>0.6</v>
      </c>
      <c r="EE174" s="432"/>
      <c r="EF174" s="432"/>
      <c r="EG174" s="216">
        <f>EG173*ED174</f>
        <v>4140</v>
      </c>
      <c r="EH174" s="432" t="s">
        <v>128</v>
      </c>
      <c r="EI174" s="432"/>
      <c r="EJ174" s="432"/>
      <c r="EK174" s="432"/>
      <c r="EL174" s="432"/>
      <c r="EM174" s="432" t="s">
        <v>129</v>
      </c>
      <c r="EN174" s="432"/>
      <c r="EO174" s="432"/>
      <c r="EP174" s="432"/>
      <c r="EQ174" s="432"/>
      <c r="ER174" s="432"/>
      <c r="ES174" s="432"/>
      <c r="FE174" s="434">
        <v>0.6</v>
      </c>
      <c r="FF174" s="432"/>
      <c r="FG174" s="432"/>
      <c r="FH174" s="216">
        <f>FH173*FE174</f>
        <v>6660</v>
      </c>
      <c r="FI174" s="432" t="s">
        <v>128</v>
      </c>
      <c r="FJ174" s="432"/>
      <c r="FK174" s="432"/>
      <c r="FL174" s="432"/>
      <c r="FM174" s="432"/>
      <c r="FN174" s="432" t="s">
        <v>129</v>
      </c>
      <c r="FO174" s="432"/>
      <c r="FP174" s="432"/>
      <c r="FQ174" s="432"/>
      <c r="FR174" s="432"/>
      <c r="FS174" s="432"/>
      <c r="FT174" s="432"/>
    </row>
    <row r="175" spans="1:183" ht="12" hidden="1" x14ac:dyDescent="0.2">
      <c r="BB175" s="432">
        <v>211</v>
      </c>
      <c r="BC175" s="432"/>
      <c r="BD175" s="432"/>
      <c r="BE175" s="216">
        <f>BE174-BE176</f>
        <v>2119.8156682027648</v>
      </c>
      <c r="BF175" s="435">
        <f>BE175*0.1</f>
        <v>211.9815668202765</v>
      </c>
      <c r="BG175" s="435"/>
      <c r="BH175" s="435"/>
      <c r="BI175" s="435"/>
      <c r="BJ175" s="435"/>
      <c r="BK175" s="436">
        <f>BE175-BF175</f>
        <v>1907.8341013824884</v>
      </c>
      <c r="BL175" s="445"/>
      <c r="BM175" s="445"/>
      <c r="BN175" s="445"/>
      <c r="BO175" s="445"/>
      <c r="BP175" s="445"/>
      <c r="BQ175" s="445"/>
      <c r="CB175" s="432"/>
      <c r="CC175" s="432"/>
      <c r="CD175" s="432"/>
      <c r="CE175" s="216"/>
      <c r="CF175" s="435"/>
      <c r="CG175" s="435"/>
      <c r="CH175" s="435"/>
      <c r="CI175" s="435"/>
      <c r="CJ175" s="435"/>
      <c r="CK175" s="435"/>
      <c r="CL175" s="432"/>
      <c r="CM175" s="432"/>
      <c r="CN175" s="432"/>
      <c r="CO175" s="432"/>
      <c r="CP175" s="432"/>
      <c r="CQ175" s="432"/>
      <c r="DD175" s="432">
        <v>211</v>
      </c>
      <c r="DE175" s="432"/>
      <c r="DF175" s="432"/>
      <c r="DG175" s="216">
        <f>DG174-DG176</f>
        <v>3317.9723502304146</v>
      </c>
      <c r="DH175" s="435">
        <f>DG175*0.1</f>
        <v>331.79723502304148</v>
      </c>
      <c r="DI175" s="435"/>
      <c r="DJ175" s="435"/>
      <c r="DK175" s="435"/>
      <c r="DL175" s="435"/>
      <c r="DM175" s="435">
        <f>DG175-DH175</f>
        <v>2986.175115207373</v>
      </c>
      <c r="DN175" s="432"/>
      <c r="DO175" s="432"/>
      <c r="DP175" s="432"/>
      <c r="DQ175" s="432"/>
      <c r="DR175" s="432"/>
      <c r="DS175" s="432"/>
      <c r="ED175" s="432">
        <v>211</v>
      </c>
      <c r="EE175" s="432"/>
      <c r="EF175" s="432"/>
      <c r="EG175" s="216">
        <f>EG174-EG176</f>
        <v>3179.7235023041476</v>
      </c>
      <c r="EH175" s="435">
        <f>EG175*0.1</f>
        <v>317.9723502304148</v>
      </c>
      <c r="EI175" s="435"/>
      <c r="EJ175" s="435"/>
      <c r="EK175" s="435"/>
      <c r="EL175" s="435"/>
      <c r="EM175" s="435">
        <f>EG175-EH175</f>
        <v>2861.7511520737326</v>
      </c>
      <c r="EN175" s="432"/>
      <c r="EO175" s="432"/>
      <c r="EP175" s="432"/>
      <c r="EQ175" s="432"/>
      <c r="ER175" s="432"/>
      <c r="ES175" s="432"/>
      <c r="FE175" s="432">
        <v>211</v>
      </c>
      <c r="FF175" s="432"/>
      <c r="FG175" s="432"/>
      <c r="FH175" s="216">
        <f>FH174-FH176</f>
        <v>5115.2073732718891</v>
      </c>
      <c r="FI175" s="435">
        <f>FH175*0.1</f>
        <v>511.52073732718895</v>
      </c>
      <c r="FJ175" s="435"/>
      <c r="FK175" s="435"/>
      <c r="FL175" s="435"/>
      <c r="FM175" s="435"/>
      <c r="FN175" s="435">
        <f>FH175-FI175</f>
        <v>4603.6866359447004</v>
      </c>
      <c r="FO175" s="432"/>
      <c r="FP175" s="432"/>
      <c r="FQ175" s="432"/>
      <c r="FR175" s="432"/>
      <c r="FS175" s="432"/>
      <c r="FT175" s="432"/>
    </row>
    <row r="176" spans="1:183" ht="12" hidden="1" x14ac:dyDescent="0.2">
      <c r="BB176" s="432">
        <v>213</v>
      </c>
      <c r="BC176" s="432"/>
      <c r="BD176" s="432"/>
      <c r="BE176" s="216">
        <f>BE174*30.2/130.2</f>
        <v>640.18433179723513</v>
      </c>
      <c r="BF176" s="435">
        <f>BF175*30.2%</f>
        <v>64.018433179723502</v>
      </c>
      <c r="BG176" s="435"/>
      <c r="BH176" s="435"/>
      <c r="BI176" s="435"/>
      <c r="BJ176" s="435"/>
      <c r="BK176" s="435">
        <f>BK175*30.2%</f>
        <v>576.16589861751152</v>
      </c>
      <c r="BL176" s="435"/>
      <c r="BM176" s="435"/>
      <c r="BN176" s="435"/>
      <c r="BO176" s="435"/>
      <c r="BP176" s="435"/>
      <c r="BQ176" s="435"/>
      <c r="CB176" s="432"/>
      <c r="CC176" s="432"/>
      <c r="CD176" s="432"/>
      <c r="CE176" s="216"/>
      <c r="CF176" s="435"/>
      <c r="CG176" s="435"/>
      <c r="CH176" s="435"/>
      <c r="CI176" s="435"/>
      <c r="CJ176" s="435"/>
      <c r="CK176" s="435"/>
      <c r="CL176" s="435"/>
      <c r="CM176" s="435"/>
      <c r="CN176" s="435"/>
      <c r="CO176" s="435"/>
      <c r="CP176" s="435"/>
      <c r="CQ176" s="435"/>
      <c r="DD176" s="432">
        <v>213</v>
      </c>
      <c r="DE176" s="432"/>
      <c r="DF176" s="432"/>
      <c r="DG176" s="216">
        <f>DG174*30.2/130.2</f>
        <v>1002.0276497695853</v>
      </c>
      <c r="DH176" s="435">
        <f>DH175*30.2%</f>
        <v>100.20276497695852</v>
      </c>
      <c r="DI176" s="435"/>
      <c r="DJ176" s="435"/>
      <c r="DK176" s="435"/>
      <c r="DL176" s="435"/>
      <c r="DM176" s="435">
        <f>DM175*30.2%</f>
        <v>901.82488479262656</v>
      </c>
      <c r="DN176" s="435"/>
      <c r="DO176" s="435"/>
      <c r="DP176" s="435"/>
      <c r="DQ176" s="435"/>
      <c r="DR176" s="435"/>
      <c r="DS176" s="435"/>
      <c r="ED176" s="432">
        <v>213</v>
      </c>
      <c r="EE176" s="432"/>
      <c r="EF176" s="432"/>
      <c r="EG176" s="216">
        <f>EG174*30.2/130.2</f>
        <v>960.27649769585264</v>
      </c>
      <c r="EH176" s="435">
        <f>EH175*30.2%</f>
        <v>96.027649769585267</v>
      </c>
      <c r="EI176" s="435"/>
      <c r="EJ176" s="435"/>
      <c r="EK176" s="435"/>
      <c r="EL176" s="435"/>
      <c r="EM176" s="435">
        <f>EM175*30.2%</f>
        <v>864.24884792626722</v>
      </c>
      <c r="EN176" s="435"/>
      <c r="EO176" s="435"/>
      <c r="EP176" s="435"/>
      <c r="EQ176" s="435"/>
      <c r="ER176" s="435"/>
      <c r="ES176" s="435"/>
      <c r="FE176" s="432">
        <v>213</v>
      </c>
      <c r="FF176" s="432"/>
      <c r="FG176" s="432"/>
      <c r="FH176" s="216">
        <f>FH174*30.2/130.2</f>
        <v>1544.7926267281107</v>
      </c>
      <c r="FI176" s="435">
        <f>FI175*30.2%</f>
        <v>154.47926267281105</v>
      </c>
      <c r="FJ176" s="435"/>
      <c r="FK176" s="435"/>
      <c r="FL176" s="435"/>
      <c r="FM176" s="435"/>
      <c r="FN176" s="435">
        <f>FN175*30.2%</f>
        <v>1390.3133640552994</v>
      </c>
      <c r="FO176" s="435"/>
      <c r="FP176" s="435"/>
      <c r="FQ176" s="435"/>
      <c r="FR176" s="435"/>
      <c r="FS176" s="435"/>
      <c r="FT176" s="435"/>
    </row>
    <row r="177" spans="54:156" ht="16.5" hidden="1" customHeight="1" x14ac:dyDescent="0.2">
      <c r="DD177" s="432" t="s">
        <v>166</v>
      </c>
      <c r="DE177" s="432"/>
      <c r="DF177" s="432"/>
      <c r="DG177" s="432"/>
      <c r="DH177" s="432"/>
      <c r="DI177" s="432"/>
      <c r="DJ177" s="432"/>
      <c r="DK177" s="432"/>
      <c r="DL177" s="432"/>
      <c r="DM177" s="432"/>
      <c r="DN177" s="432"/>
      <c r="DO177" s="432"/>
      <c r="DP177" s="432"/>
      <c r="DQ177" s="432"/>
      <c r="DR177" s="432"/>
      <c r="DS177" s="432"/>
      <c r="DT177" s="432"/>
      <c r="DU177" s="432"/>
      <c r="DV177" s="432"/>
      <c r="DW177" s="432"/>
      <c r="DX177" s="432"/>
      <c r="DY177" s="432"/>
      <c r="DZ177" s="432"/>
      <c r="ED177" s="432" t="s">
        <v>165</v>
      </c>
      <c r="EE177" s="432"/>
      <c r="EF177" s="432"/>
      <c r="EG177" s="432"/>
      <c r="EH177" s="432"/>
      <c r="EI177" s="432"/>
      <c r="EJ177" s="432"/>
      <c r="EK177" s="432"/>
      <c r="EL177" s="432"/>
      <c r="EM177" s="432"/>
      <c r="EN177" s="432"/>
      <c r="EO177" s="432"/>
      <c r="EP177" s="432"/>
      <c r="EQ177" s="432"/>
      <c r="ER177" s="432"/>
      <c r="ES177" s="432"/>
      <c r="ET177" s="432"/>
      <c r="EU177" s="432"/>
      <c r="EV177" s="432"/>
      <c r="EW177" s="432"/>
      <c r="EX177" s="432"/>
      <c r="EY177" s="432"/>
      <c r="EZ177" s="432"/>
    </row>
    <row r="178" spans="54:156" ht="16.5" hidden="1" customHeight="1" x14ac:dyDescent="0.2">
      <c r="BB178" s="432"/>
      <c r="BC178" s="432"/>
      <c r="BD178" s="432"/>
      <c r="BE178" s="432"/>
      <c r="BF178" s="432"/>
      <c r="BG178" s="432"/>
      <c r="BH178" s="432"/>
      <c r="BI178" s="432"/>
      <c r="BJ178" s="432"/>
      <c r="BK178" s="432"/>
      <c r="BL178" s="432"/>
      <c r="BM178" s="432"/>
      <c r="BN178" s="432"/>
      <c r="BO178" s="432"/>
      <c r="BP178" s="432"/>
      <c r="BQ178" s="432"/>
      <c r="BR178" s="432"/>
      <c r="BS178" s="432"/>
      <c r="BT178" s="432"/>
      <c r="BU178" s="432"/>
      <c r="BV178" s="432"/>
      <c r="BW178" s="432"/>
      <c r="BX178" s="432"/>
      <c r="DD178" s="432" t="s">
        <v>126</v>
      </c>
      <c r="DE178" s="432"/>
      <c r="DF178" s="432"/>
      <c r="DG178" s="433">
        <f>150*9</f>
        <v>1350</v>
      </c>
      <c r="DH178" s="433"/>
      <c r="DI178" s="433"/>
      <c r="DJ178" s="433"/>
      <c r="DK178" s="433"/>
      <c r="DL178" s="220" t="s">
        <v>127</v>
      </c>
      <c r="DM178" s="220"/>
      <c r="DN178" s="220"/>
      <c r="DO178" s="220"/>
      <c r="DP178" s="220"/>
      <c r="DQ178" s="220"/>
      <c r="DR178" s="220"/>
      <c r="DS178" s="220"/>
      <c r="ED178" s="432" t="s">
        <v>126</v>
      </c>
      <c r="EE178" s="432"/>
      <c r="EF178" s="432"/>
      <c r="EG178" s="433">
        <f>150*49</f>
        <v>7350</v>
      </c>
      <c r="EH178" s="433"/>
      <c r="EI178" s="433"/>
      <c r="EJ178" s="433"/>
      <c r="EK178" s="433"/>
      <c r="EL178" s="220" t="s">
        <v>127</v>
      </c>
      <c r="EM178" s="220"/>
      <c r="EN178" s="220"/>
      <c r="EO178" s="220"/>
      <c r="EP178" s="220"/>
      <c r="EQ178" s="220"/>
      <c r="ER178" s="220"/>
      <c r="ES178" s="220"/>
    </row>
    <row r="179" spans="54:156" ht="17.25" hidden="1" customHeight="1" x14ac:dyDescent="0.2">
      <c r="BB179" s="432" t="s">
        <v>346</v>
      </c>
      <c r="BC179" s="432"/>
      <c r="BD179" s="432"/>
      <c r="BE179" s="432"/>
      <c r="BF179" s="432"/>
      <c r="BG179" s="432"/>
      <c r="BH179" s="432"/>
      <c r="BI179" s="432"/>
      <c r="BJ179" s="432"/>
      <c r="BK179" s="432"/>
      <c r="BL179" s="432"/>
      <c r="BM179" s="432"/>
      <c r="BN179" s="432"/>
      <c r="BO179" s="432"/>
      <c r="BP179" s="432"/>
      <c r="BQ179" s="432"/>
      <c r="BR179" s="432"/>
      <c r="BS179" s="432"/>
      <c r="BT179" s="432"/>
      <c r="BU179" s="432"/>
      <c r="BV179" s="432"/>
      <c r="BW179" s="432"/>
      <c r="BX179" s="432"/>
      <c r="DD179" s="434">
        <v>0.6</v>
      </c>
      <c r="DE179" s="432"/>
      <c r="DF179" s="432"/>
      <c r="DG179" s="216">
        <f>DG178*DD179</f>
        <v>810</v>
      </c>
      <c r="DH179" s="432" t="s">
        <v>128</v>
      </c>
      <c r="DI179" s="432"/>
      <c r="DJ179" s="432"/>
      <c r="DK179" s="432"/>
      <c r="DL179" s="432"/>
      <c r="DM179" s="432" t="s">
        <v>129</v>
      </c>
      <c r="DN179" s="432"/>
      <c r="DO179" s="432"/>
      <c r="DP179" s="432"/>
      <c r="DQ179" s="432"/>
      <c r="DR179" s="432"/>
      <c r="DS179" s="432"/>
      <c r="ED179" s="434">
        <v>0.6</v>
      </c>
      <c r="EE179" s="432"/>
      <c r="EF179" s="432"/>
      <c r="EG179" s="216">
        <f>EG178*ED179</f>
        <v>4410</v>
      </c>
      <c r="EH179" s="432" t="s">
        <v>128</v>
      </c>
      <c r="EI179" s="432"/>
      <c r="EJ179" s="432"/>
      <c r="EK179" s="432"/>
      <c r="EL179" s="432"/>
      <c r="EM179" s="432" t="s">
        <v>129</v>
      </c>
      <c r="EN179" s="432"/>
      <c r="EO179" s="432"/>
      <c r="EP179" s="432"/>
      <c r="EQ179" s="432"/>
      <c r="ER179" s="432"/>
      <c r="ES179" s="432"/>
    </row>
    <row r="180" spans="54:156" ht="16.5" hidden="1" customHeight="1" x14ac:dyDescent="0.2">
      <c r="BB180" s="432" t="s">
        <v>126</v>
      </c>
      <c r="BC180" s="432"/>
      <c r="BD180" s="432"/>
      <c r="BE180" s="433">
        <f>200*46</f>
        <v>9200</v>
      </c>
      <c r="BF180" s="433"/>
      <c r="BG180" s="433"/>
      <c r="BH180" s="433"/>
      <c r="BI180" s="433"/>
      <c r="BJ180" s="228" t="s">
        <v>127</v>
      </c>
      <c r="BK180" s="228"/>
      <c r="BL180" s="228"/>
      <c r="BM180" s="228"/>
      <c r="BN180" s="228"/>
      <c r="BO180" s="228"/>
      <c r="BP180" s="228"/>
      <c r="BQ180" s="228"/>
      <c r="DD180" s="432">
        <v>211</v>
      </c>
      <c r="DE180" s="432"/>
      <c r="DF180" s="432"/>
      <c r="DG180" s="216">
        <f>DG179-DG181</f>
        <v>622.11981566820282</v>
      </c>
      <c r="DH180" s="435">
        <f>DG180*0.1</f>
        <v>62.211981566820285</v>
      </c>
      <c r="DI180" s="435"/>
      <c r="DJ180" s="435"/>
      <c r="DK180" s="435"/>
      <c r="DL180" s="435"/>
      <c r="DM180" s="435">
        <f>DG180-DH180</f>
        <v>559.90783410138249</v>
      </c>
      <c r="DN180" s="432"/>
      <c r="DO180" s="432"/>
      <c r="DP180" s="432"/>
      <c r="DQ180" s="432"/>
      <c r="DR180" s="432"/>
      <c r="DS180" s="432"/>
      <c r="ED180" s="432">
        <v>211</v>
      </c>
      <c r="EE180" s="432"/>
      <c r="EF180" s="432"/>
      <c r="EG180" s="216">
        <f>EG179-EG181</f>
        <v>3387.0967741935483</v>
      </c>
      <c r="EH180" s="435">
        <f>EG180*0.1</f>
        <v>338.70967741935488</v>
      </c>
      <c r="EI180" s="435"/>
      <c r="EJ180" s="435"/>
      <c r="EK180" s="435"/>
      <c r="EL180" s="435"/>
      <c r="EM180" s="435">
        <f>EG180-EH180</f>
        <v>3048.3870967741932</v>
      </c>
      <c r="EN180" s="432"/>
      <c r="EO180" s="432"/>
      <c r="EP180" s="432"/>
      <c r="EQ180" s="432"/>
      <c r="ER180" s="432"/>
      <c r="ES180" s="432"/>
    </row>
    <row r="181" spans="54:156" ht="16.5" hidden="1" customHeight="1" x14ac:dyDescent="0.2">
      <c r="BB181" s="434">
        <v>0.6</v>
      </c>
      <c r="BC181" s="432"/>
      <c r="BD181" s="432"/>
      <c r="BE181" s="216">
        <f>BE180*BB181</f>
        <v>5520</v>
      </c>
      <c r="BF181" s="432" t="s">
        <v>128</v>
      </c>
      <c r="BG181" s="432"/>
      <c r="BH181" s="432"/>
      <c r="BI181" s="432"/>
      <c r="BJ181" s="432"/>
      <c r="BK181" s="432" t="s">
        <v>129</v>
      </c>
      <c r="BL181" s="432"/>
      <c r="BM181" s="432"/>
      <c r="BN181" s="432"/>
      <c r="BO181" s="432"/>
      <c r="BP181" s="432"/>
      <c r="BQ181" s="432"/>
      <c r="DD181" s="432">
        <v>213</v>
      </c>
      <c r="DE181" s="432"/>
      <c r="DF181" s="432"/>
      <c r="DG181" s="216">
        <f>DG179*30.2/130.2</f>
        <v>187.88018433179724</v>
      </c>
      <c r="DH181" s="435">
        <f>DH180*30.2%</f>
        <v>18.788018433179726</v>
      </c>
      <c r="DI181" s="435"/>
      <c r="DJ181" s="435"/>
      <c r="DK181" s="435"/>
      <c r="DL181" s="435"/>
      <c r="DM181" s="435">
        <f>DM180*30.2%</f>
        <v>169.09216589861751</v>
      </c>
      <c r="DN181" s="435"/>
      <c r="DO181" s="435"/>
      <c r="DP181" s="435"/>
      <c r="DQ181" s="435"/>
      <c r="DR181" s="435"/>
      <c r="DS181" s="435"/>
      <c r="ED181" s="432">
        <v>213</v>
      </c>
      <c r="EE181" s="432"/>
      <c r="EF181" s="432"/>
      <c r="EG181" s="216">
        <f>EG179*30.2/130.2</f>
        <v>1022.9032258064517</v>
      </c>
      <c r="EH181" s="435">
        <f>EH180*30.2%</f>
        <v>102.29032258064517</v>
      </c>
      <c r="EI181" s="435"/>
      <c r="EJ181" s="435"/>
      <c r="EK181" s="435"/>
      <c r="EL181" s="435"/>
      <c r="EM181" s="435">
        <f>EM180*30.2%</f>
        <v>920.61290322580635</v>
      </c>
      <c r="EN181" s="435"/>
      <c r="EO181" s="435"/>
      <c r="EP181" s="435"/>
      <c r="EQ181" s="435"/>
      <c r="ER181" s="435"/>
      <c r="ES181" s="435"/>
    </row>
    <row r="182" spans="54:156" ht="12" hidden="1" x14ac:dyDescent="0.2">
      <c r="BB182" s="432">
        <v>211</v>
      </c>
      <c r="BC182" s="432"/>
      <c r="BD182" s="432"/>
      <c r="BE182" s="216">
        <f>BE181-BE183</f>
        <v>4239.6313364055295</v>
      </c>
      <c r="BF182" s="435">
        <f>BE182*0.1</f>
        <v>423.963133640553</v>
      </c>
      <c r="BG182" s="435"/>
      <c r="BH182" s="435"/>
      <c r="BI182" s="435"/>
      <c r="BJ182" s="435"/>
      <c r="BK182" s="436">
        <f>BE182-BF182</f>
        <v>3815.6682027649767</v>
      </c>
      <c r="BL182" s="445"/>
      <c r="BM182" s="445"/>
      <c r="BN182" s="445"/>
      <c r="BO182" s="445"/>
      <c r="BP182" s="445"/>
      <c r="BQ182" s="445"/>
    </row>
    <row r="183" spans="54:156" ht="12" hidden="1" x14ac:dyDescent="0.2">
      <c r="BB183" s="432">
        <v>213</v>
      </c>
      <c r="BC183" s="432"/>
      <c r="BD183" s="432"/>
      <c r="BE183" s="216">
        <f>BE181*30.2/130.2</f>
        <v>1280.3686635944703</v>
      </c>
      <c r="BF183" s="435">
        <f>BF182*30.2%</f>
        <v>128.036866359447</v>
      </c>
      <c r="BG183" s="435"/>
      <c r="BH183" s="435"/>
      <c r="BI183" s="435"/>
      <c r="BJ183" s="435"/>
      <c r="BK183" s="435">
        <f>BK182*30.2%</f>
        <v>1152.331797235023</v>
      </c>
      <c r="BL183" s="435"/>
      <c r="BM183" s="435"/>
      <c r="BN183" s="435"/>
      <c r="BO183" s="435"/>
      <c r="BP183" s="435"/>
      <c r="BQ183" s="435"/>
    </row>
    <row r="184" spans="54:156" ht="8.25" hidden="1" customHeight="1" x14ac:dyDescent="0.2">
      <c r="BB184" s="432"/>
      <c r="BC184" s="432"/>
      <c r="BD184" s="432"/>
      <c r="BE184" s="433"/>
      <c r="BF184" s="433"/>
      <c r="BG184" s="433"/>
      <c r="BH184" s="433"/>
      <c r="BI184" s="433"/>
      <c r="BJ184" s="220"/>
      <c r="BK184" s="220"/>
      <c r="BL184" s="220"/>
      <c r="BM184" s="220"/>
      <c r="BN184" s="220"/>
      <c r="BO184" s="220"/>
      <c r="BP184" s="220"/>
      <c r="BQ184" s="220"/>
    </row>
    <row r="185" spans="54:156" ht="15.75" hidden="1" customHeight="1" x14ac:dyDescent="0.2">
      <c r="BB185" s="434"/>
      <c r="BC185" s="432"/>
      <c r="BD185" s="432"/>
      <c r="BE185" s="216"/>
      <c r="BF185" s="432"/>
      <c r="BG185" s="432"/>
      <c r="BH185" s="432"/>
      <c r="BI185" s="432"/>
      <c r="BJ185" s="432"/>
      <c r="BK185" s="432"/>
      <c r="BL185" s="432"/>
      <c r="BM185" s="432"/>
      <c r="BN185" s="432"/>
      <c r="BO185" s="432"/>
      <c r="BP185" s="432"/>
      <c r="BQ185" s="432"/>
      <c r="DD185" s="432" t="s">
        <v>167</v>
      </c>
      <c r="DE185" s="432"/>
      <c r="DF185" s="432"/>
      <c r="DG185" s="432"/>
      <c r="DH185" s="432"/>
      <c r="DI185" s="432"/>
      <c r="DJ185" s="432"/>
      <c r="DK185" s="432"/>
      <c r="DL185" s="432"/>
      <c r="DM185" s="432"/>
      <c r="DN185" s="432"/>
      <c r="DO185" s="432"/>
      <c r="DP185" s="432"/>
      <c r="DQ185" s="432"/>
      <c r="DR185" s="432"/>
      <c r="DS185" s="432"/>
      <c r="DT185" s="432"/>
      <c r="DU185" s="432"/>
      <c r="DV185" s="432"/>
      <c r="DW185" s="432"/>
      <c r="DX185" s="432"/>
      <c r="DY185" s="432"/>
      <c r="DZ185" s="432"/>
      <c r="ED185" s="432" t="s">
        <v>168</v>
      </c>
      <c r="EE185" s="432"/>
      <c r="EF185" s="432"/>
      <c r="EG185" s="432"/>
      <c r="EH185" s="432"/>
      <c r="EI185" s="432"/>
      <c r="EJ185" s="432"/>
      <c r="EK185" s="432"/>
      <c r="EL185" s="432"/>
      <c r="EM185" s="432"/>
      <c r="EN185" s="432"/>
      <c r="EO185" s="432"/>
      <c r="EP185" s="432"/>
      <c r="EQ185" s="432"/>
      <c r="ER185" s="432"/>
      <c r="ES185" s="432"/>
      <c r="ET185" s="432"/>
      <c r="EU185" s="432"/>
      <c r="EV185" s="432"/>
      <c r="EW185" s="432"/>
      <c r="EX185" s="432"/>
      <c r="EY185" s="432"/>
      <c r="EZ185" s="432"/>
    </row>
    <row r="186" spans="54:156" ht="17.25" hidden="1" customHeight="1" x14ac:dyDescent="0.2">
      <c r="BB186" s="432" t="s">
        <v>347</v>
      </c>
      <c r="BC186" s="432"/>
      <c r="BD186" s="432"/>
      <c r="BE186" s="432"/>
      <c r="BF186" s="432"/>
      <c r="BG186" s="432"/>
      <c r="BH186" s="432"/>
      <c r="BI186" s="432"/>
      <c r="BJ186" s="432"/>
      <c r="BK186" s="432"/>
      <c r="BL186" s="432"/>
      <c r="BM186" s="432"/>
      <c r="BN186" s="432"/>
      <c r="BO186" s="432"/>
      <c r="BP186" s="432"/>
      <c r="BQ186" s="432"/>
      <c r="BR186" s="432"/>
      <c r="BS186" s="432"/>
      <c r="BT186" s="432"/>
      <c r="BU186" s="432"/>
      <c r="BV186" s="432"/>
      <c r="BW186" s="432"/>
      <c r="BX186" s="432"/>
      <c r="DD186" s="432" t="s">
        <v>126</v>
      </c>
      <c r="DE186" s="432"/>
      <c r="DF186" s="432"/>
      <c r="DG186" s="433">
        <f>150*53</f>
        <v>7950</v>
      </c>
      <c r="DH186" s="433"/>
      <c r="DI186" s="433"/>
      <c r="DJ186" s="433"/>
      <c r="DK186" s="433"/>
      <c r="DL186" s="220" t="s">
        <v>127</v>
      </c>
      <c r="DM186" s="220"/>
      <c r="DN186" s="220"/>
      <c r="DO186" s="220"/>
      <c r="DP186" s="220"/>
      <c r="DQ186" s="220"/>
      <c r="DR186" s="220"/>
      <c r="DS186" s="220"/>
      <c r="ED186" s="432" t="s">
        <v>126</v>
      </c>
      <c r="EE186" s="432"/>
      <c r="EF186" s="432"/>
      <c r="EG186" s="433">
        <f>150*34</f>
        <v>5100</v>
      </c>
      <c r="EH186" s="433"/>
      <c r="EI186" s="433"/>
      <c r="EJ186" s="433"/>
      <c r="EK186" s="433"/>
      <c r="EL186" s="220" t="s">
        <v>127</v>
      </c>
      <c r="EM186" s="220"/>
      <c r="EN186" s="220"/>
      <c r="EO186" s="220"/>
      <c r="EP186" s="220"/>
      <c r="EQ186" s="220"/>
      <c r="ER186" s="220"/>
      <c r="ES186" s="220"/>
    </row>
    <row r="187" spans="54:156" ht="16.5" hidden="1" customHeight="1" x14ac:dyDescent="0.2">
      <c r="BB187" s="432" t="s">
        <v>126</v>
      </c>
      <c r="BC187" s="432"/>
      <c r="BD187" s="432"/>
      <c r="BE187" s="433">
        <f>200*24</f>
        <v>4800</v>
      </c>
      <c r="BF187" s="433"/>
      <c r="BG187" s="433"/>
      <c r="BH187" s="433"/>
      <c r="BI187" s="433"/>
      <c r="BJ187" s="228" t="s">
        <v>127</v>
      </c>
      <c r="BK187" s="228"/>
      <c r="BL187" s="228"/>
      <c r="BM187" s="228"/>
      <c r="BN187" s="228"/>
      <c r="BO187" s="228"/>
      <c r="BP187" s="228"/>
      <c r="BQ187" s="228"/>
      <c r="DD187" s="434">
        <v>0.6</v>
      </c>
      <c r="DE187" s="432"/>
      <c r="DF187" s="432"/>
      <c r="DG187" s="216">
        <f>DG186*DD187</f>
        <v>4770</v>
      </c>
      <c r="DH187" s="432" t="s">
        <v>128</v>
      </c>
      <c r="DI187" s="432"/>
      <c r="DJ187" s="432"/>
      <c r="DK187" s="432"/>
      <c r="DL187" s="432"/>
      <c r="DM187" s="432" t="s">
        <v>129</v>
      </c>
      <c r="DN187" s="432"/>
      <c r="DO187" s="432"/>
      <c r="DP187" s="432"/>
      <c r="DQ187" s="432"/>
      <c r="DR187" s="432"/>
      <c r="DS187" s="432"/>
      <c r="ED187" s="434">
        <v>0.6</v>
      </c>
      <c r="EE187" s="432"/>
      <c r="EF187" s="432"/>
      <c r="EG187" s="216">
        <f>EG186*ED187</f>
        <v>3060</v>
      </c>
      <c r="EH187" s="432" t="s">
        <v>128</v>
      </c>
      <c r="EI187" s="432"/>
      <c r="EJ187" s="432"/>
      <c r="EK187" s="432"/>
      <c r="EL187" s="432"/>
      <c r="EM187" s="432" t="s">
        <v>129</v>
      </c>
      <c r="EN187" s="432"/>
      <c r="EO187" s="432"/>
      <c r="EP187" s="432"/>
      <c r="EQ187" s="432"/>
      <c r="ER187" s="432"/>
      <c r="ES187" s="432"/>
    </row>
    <row r="188" spans="54:156" ht="15" hidden="1" customHeight="1" x14ac:dyDescent="0.2">
      <c r="BB188" s="434">
        <v>0.6</v>
      </c>
      <c r="BC188" s="432"/>
      <c r="BD188" s="432"/>
      <c r="BE188" s="216">
        <f>BE187*BB188</f>
        <v>2880</v>
      </c>
      <c r="BF188" s="432" t="s">
        <v>128</v>
      </c>
      <c r="BG188" s="432"/>
      <c r="BH188" s="432"/>
      <c r="BI188" s="432"/>
      <c r="BJ188" s="432"/>
      <c r="BK188" s="432" t="s">
        <v>129</v>
      </c>
      <c r="BL188" s="432"/>
      <c r="BM188" s="432"/>
      <c r="BN188" s="432"/>
      <c r="BO188" s="432"/>
      <c r="BP188" s="432"/>
      <c r="BQ188" s="432"/>
      <c r="DD188" s="432">
        <v>211</v>
      </c>
      <c r="DE188" s="432"/>
      <c r="DF188" s="432"/>
      <c r="DG188" s="216">
        <f>DG187-DG189</f>
        <v>3663.5944700460832</v>
      </c>
      <c r="DH188" s="435">
        <f>DG188*0.1</f>
        <v>366.35944700460834</v>
      </c>
      <c r="DI188" s="435"/>
      <c r="DJ188" s="435"/>
      <c r="DK188" s="435"/>
      <c r="DL188" s="435"/>
      <c r="DM188" s="435">
        <f>DG188-DH188</f>
        <v>3297.235023041475</v>
      </c>
      <c r="DN188" s="432"/>
      <c r="DO188" s="432"/>
      <c r="DP188" s="432"/>
      <c r="DQ188" s="432"/>
      <c r="DR188" s="432"/>
      <c r="DS188" s="432"/>
      <c r="ED188" s="432">
        <v>211</v>
      </c>
      <c r="EE188" s="432"/>
      <c r="EF188" s="432"/>
      <c r="EG188" s="216">
        <f>EG187-EG189</f>
        <v>2350.2304147465438</v>
      </c>
      <c r="EH188" s="435">
        <f>EG188*0.1</f>
        <v>235.02304147465441</v>
      </c>
      <c r="EI188" s="435"/>
      <c r="EJ188" s="435"/>
      <c r="EK188" s="435"/>
      <c r="EL188" s="435"/>
      <c r="EM188" s="435">
        <f>EG188-EH188</f>
        <v>2115.2073732718895</v>
      </c>
      <c r="EN188" s="432"/>
      <c r="EO188" s="432"/>
      <c r="EP188" s="432"/>
      <c r="EQ188" s="432"/>
      <c r="ER188" s="432"/>
      <c r="ES188" s="432"/>
    </row>
    <row r="189" spans="54:156" ht="18.75" hidden="1" customHeight="1" x14ac:dyDescent="0.2">
      <c r="BB189" s="432">
        <v>211</v>
      </c>
      <c r="BC189" s="432"/>
      <c r="BD189" s="432"/>
      <c r="BE189" s="216">
        <f>BE188-BE190</f>
        <v>2211.9815668202764</v>
      </c>
      <c r="BF189" s="435">
        <f>BE189*0.1</f>
        <v>221.19815668202764</v>
      </c>
      <c r="BG189" s="435"/>
      <c r="BH189" s="435"/>
      <c r="BI189" s="435"/>
      <c r="BJ189" s="435"/>
      <c r="BK189" s="436">
        <f>BE189-BF189</f>
        <v>1990.7834101382487</v>
      </c>
      <c r="BL189" s="445"/>
      <c r="BM189" s="445"/>
      <c r="BN189" s="445"/>
      <c r="BO189" s="445"/>
      <c r="BP189" s="445"/>
      <c r="BQ189" s="445"/>
      <c r="DD189" s="432">
        <v>213</v>
      </c>
      <c r="DE189" s="432"/>
      <c r="DF189" s="432"/>
      <c r="DG189" s="216">
        <f>DG187*30.2/130.2</f>
        <v>1106.405529953917</v>
      </c>
      <c r="DH189" s="435">
        <f>DH188*30.2%</f>
        <v>110.64055299539172</v>
      </c>
      <c r="DI189" s="435"/>
      <c r="DJ189" s="435"/>
      <c r="DK189" s="435"/>
      <c r="DL189" s="435"/>
      <c r="DM189" s="435">
        <f>DM188*30.2%</f>
        <v>995.76497695852538</v>
      </c>
      <c r="DN189" s="435"/>
      <c r="DO189" s="435"/>
      <c r="DP189" s="435"/>
      <c r="DQ189" s="435"/>
      <c r="DR189" s="435"/>
      <c r="DS189" s="435"/>
      <c r="ED189" s="432">
        <v>213</v>
      </c>
      <c r="EE189" s="432"/>
      <c r="EF189" s="432"/>
      <c r="EG189" s="216">
        <f>EG187*30.2/130.2</f>
        <v>709.76958525345628</v>
      </c>
      <c r="EH189" s="435">
        <f>EH188*30.2%</f>
        <v>70.976958525345623</v>
      </c>
      <c r="EI189" s="435"/>
      <c r="EJ189" s="435"/>
      <c r="EK189" s="435"/>
      <c r="EL189" s="435"/>
      <c r="EM189" s="435">
        <f>EM188*30.2%</f>
        <v>638.79262672811058</v>
      </c>
      <c r="EN189" s="435"/>
      <c r="EO189" s="435"/>
      <c r="EP189" s="435"/>
      <c r="EQ189" s="435"/>
      <c r="ER189" s="435"/>
      <c r="ES189" s="435"/>
    </row>
    <row r="190" spans="54:156" ht="12" hidden="1" x14ac:dyDescent="0.2">
      <c r="BB190" s="432">
        <v>213</v>
      </c>
      <c r="BC190" s="432"/>
      <c r="BD190" s="432"/>
      <c r="BE190" s="216">
        <f>BE188*30.2/130.2</f>
        <v>668.01843317972362</v>
      </c>
      <c r="BF190" s="435">
        <f>BF189*30.2%</f>
        <v>66.801843317972342</v>
      </c>
      <c r="BG190" s="435"/>
      <c r="BH190" s="435"/>
      <c r="BI190" s="435"/>
      <c r="BJ190" s="435"/>
      <c r="BK190" s="435">
        <f>BK189*30.2%</f>
        <v>601.21658986175112</v>
      </c>
      <c r="BL190" s="435"/>
      <c r="BM190" s="435"/>
      <c r="BN190" s="435"/>
      <c r="BO190" s="435"/>
      <c r="BP190" s="435"/>
      <c r="BQ190" s="435"/>
    </row>
    <row r="191" spans="54:156" ht="12" hidden="1" x14ac:dyDescent="0.2">
      <c r="BB191" s="432"/>
      <c r="BC191" s="432"/>
      <c r="BD191" s="432"/>
      <c r="BE191" s="216"/>
      <c r="BF191" s="435"/>
      <c r="BG191" s="435"/>
      <c r="BH191" s="435"/>
      <c r="BI191" s="435"/>
      <c r="BJ191" s="435"/>
      <c r="BK191" s="435"/>
      <c r="BL191" s="432"/>
      <c r="BM191" s="432"/>
      <c r="BN191" s="432"/>
      <c r="BO191" s="432"/>
      <c r="BP191" s="432"/>
      <c r="BQ191" s="432"/>
    </row>
    <row r="192" spans="54:156" ht="8.25" hidden="1" customHeight="1" x14ac:dyDescent="0.2">
      <c r="BB192" s="432"/>
      <c r="BC192" s="432"/>
      <c r="BD192" s="432"/>
      <c r="BE192" s="216"/>
      <c r="BF192" s="435"/>
      <c r="BG192" s="435"/>
      <c r="BH192" s="435"/>
      <c r="BI192" s="435"/>
      <c r="BJ192" s="435"/>
      <c r="BK192" s="435"/>
      <c r="BL192" s="435"/>
      <c r="BM192" s="435"/>
      <c r="BN192" s="435"/>
      <c r="BO192" s="435"/>
      <c r="BP192" s="435"/>
      <c r="BQ192" s="435"/>
    </row>
    <row r="193" spans="54:156" ht="19.5" hidden="1" customHeight="1" x14ac:dyDescent="0.2">
      <c r="BB193" s="432" t="s">
        <v>358</v>
      </c>
      <c r="BC193" s="432"/>
      <c r="BD193" s="432"/>
      <c r="BE193" s="432"/>
      <c r="BF193" s="432"/>
      <c r="BG193" s="432"/>
      <c r="BH193" s="432"/>
      <c r="BI193" s="432"/>
      <c r="BJ193" s="432"/>
      <c r="BK193" s="432"/>
      <c r="BL193" s="432"/>
      <c r="BM193" s="432"/>
      <c r="BN193" s="432"/>
      <c r="BO193" s="432"/>
      <c r="BP193" s="432"/>
      <c r="BQ193" s="432"/>
      <c r="BR193" s="432"/>
      <c r="BS193" s="432"/>
      <c r="BT193" s="432"/>
      <c r="BU193" s="432"/>
      <c r="BV193" s="432"/>
      <c r="BW193" s="432"/>
      <c r="BX193" s="432"/>
      <c r="DD193" s="432" t="s">
        <v>179</v>
      </c>
      <c r="DE193" s="432"/>
      <c r="DF193" s="432"/>
      <c r="DG193" s="432"/>
      <c r="DH193" s="432"/>
      <c r="DI193" s="432"/>
      <c r="DJ193" s="432"/>
      <c r="DK193" s="432"/>
      <c r="DL193" s="432"/>
      <c r="DM193" s="432"/>
      <c r="DN193" s="432"/>
      <c r="DO193" s="432"/>
      <c r="DP193" s="432"/>
      <c r="DQ193" s="432"/>
      <c r="DR193" s="432"/>
      <c r="DS193" s="432"/>
      <c r="DT193" s="432"/>
      <c r="DU193" s="432"/>
      <c r="DV193" s="432"/>
      <c r="DW193" s="432"/>
      <c r="DX193" s="432"/>
      <c r="DY193" s="432"/>
      <c r="DZ193" s="432"/>
      <c r="ED193" s="432" t="s">
        <v>180</v>
      </c>
      <c r="EE193" s="432"/>
      <c r="EF193" s="432"/>
      <c r="EG193" s="432"/>
      <c r="EH193" s="432"/>
      <c r="EI193" s="432"/>
      <c r="EJ193" s="432"/>
      <c r="EK193" s="432"/>
      <c r="EL193" s="432"/>
      <c r="EM193" s="432"/>
      <c r="EN193" s="432"/>
      <c r="EO193" s="432"/>
      <c r="EP193" s="432"/>
      <c r="EQ193" s="432"/>
      <c r="ER193" s="432"/>
      <c r="ES193" s="432"/>
      <c r="ET193" s="432"/>
      <c r="EU193" s="432"/>
      <c r="EV193" s="432"/>
      <c r="EW193" s="432"/>
      <c r="EX193" s="432"/>
      <c r="EY193" s="432"/>
      <c r="EZ193" s="432"/>
    </row>
    <row r="194" spans="54:156" ht="16.5" hidden="1" customHeight="1" x14ac:dyDescent="0.2">
      <c r="BB194" s="432" t="s">
        <v>126</v>
      </c>
      <c r="BC194" s="432"/>
      <c r="BD194" s="432"/>
      <c r="BE194" s="433">
        <f>200*57</f>
        <v>11400</v>
      </c>
      <c r="BF194" s="433"/>
      <c r="BG194" s="433"/>
      <c r="BH194" s="433"/>
      <c r="BI194" s="433"/>
      <c r="BJ194" s="229" t="s">
        <v>127</v>
      </c>
      <c r="BK194" s="229"/>
      <c r="BL194" s="229"/>
      <c r="BM194" s="229"/>
      <c r="BN194" s="229"/>
      <c r="BO194" s="229"/>
      <c r="BP194" s="229"/>
      <c r="BQ194" s="229"/>
      <c r="DD194" s="432" t="s">
        <v>126</v>
      </c>
      <c r="DE194" s="432"/>
      <c r="DF194" s="432"/>
      <c r="DG194" s="433">
        <f>150*39</f>
        <v>5850</v>
      </c>
      <c r="DH194" s="433"/>
      <c r="DI194" s="433"/>
      <c r="DJ194" s="433"/>
      <c r="DK194" s="433"/>
      <c r="DL194" s="220" t="s">
        <v>127</v>
      </c>
      <c r="DM194" s="220"/>
      <c r="DN194" s="220"/>
      <c r="DO194" s="220"/>
      <c r="DP194" s="220"/>
      <c r="DQ194" s="220"/>
      <c r="DR194" s="220"/>
      <c r="DS194" s="220"/>
      <c r="ED194" s="432" t="s">
        <v>126</v>
      </c>
      <c r="EE194" s="432"/>
      <c r="EF194" s="432"/>
      <c r="EG194" s="433">
        <f>150*38</f>
        <v>5700</v>
      </c>
      <c r="EH194" s="433"/>
      <c r="EI194" s="433"/>
      <c r="EJ194" s="433"/>
      <c r="EK194" s="433"/>
      <c r="EL194" s="220" t="s">
        <v>127</v>
      </c>
      <c r="EM194" s="220"/>
      <c r="EN194" s="220"/>
      <c r="EO194" s="220"/>
      <c r="EP194" s="220"/>
      <c r="EQ194" s="220"/>
      <c r="ER194" s="220"/>
      <c r="ES194" s="220"/>
    </row>
    <row r="195" spans="54:156" ht="17.25" hidden="1" customHeight="1" x14ac:dyDescent="0.2">
      <c r="BB195" s="434">
        <v>0.6</v>
      </c>
      <c r="BC195" s="432"/>
      <c r="BD195" s="432"/>
      <c r="BE195" s="216">
        <f>BE194*BB195</f>
        <v>6840</v>
      </c>
      <c r="BF195" s="432" t="s">
        <v>128</v>
      </c>
      <c r="BG195" s="432"/>
      <c r="BH195" s="432"/>
      <c r="BI195" s="432"/>
      <c r="BJ195" s="432"/>
      <c r="BK195" s="432" t="s">
        <v>129</v>
      </c>
      <c r="BL195" s="432"/>
      <c r="BM195" s="432"/>
      <c r="BN195" s="432"/>
      <c r="BO195" s="432"/>
      <c r="BP195" s="432"/>
      <c r="BQ195" s="432"/>
      <c r="DD195" s="434">
        <v>0.6</v>
      </c>
      <c r="DE195" s="432"/>
      <c r="DF195" s="432"/>
      <c r="DG195" s="216">
        <f>DG194*DD195</f>
        <v>3510</v>
      </c>
      <c r="DH195" s="432" t="s">
        <v>128</v>
      </c>
      <c r="DI195" s="432"/>
      <c r="DJ195" s="432"/>
      <c r="DK195" s="432"/>
      <c r="DL195" s="432"/>
      <c r="DM195" s="432" t="s">
        <v>129</v>
      </c>
      <c r="DN195" s="432"/>
      <c r="DO195" s="432"/>
      <c r="DP195" s="432"/>
      <c r="DQ195" s="432"/>
      <c r="DR195" s="432"/>
      <c r="DS195" s="432"/>
      <c r="ED195" s="434">
        <v>0.6</v>
      </c>
      <c r="EE195" s="432"/>
      <c r="EF195" s="432"/>
      <c r="EG195" s="216">
        <f>EG194*ED195</f>
        <v>3420</v>
      </c>
      <c r="EH195" s="432" t="s">
        <v>128</v>
      </c>
      <c r="EI195" s="432"/>
      <c r="EJ195" s="432"/>
      <c r="EK195" s="432"/>
      <c r="EL195" s="432"/>
      <c r="EM195" s="432" t="s">
        <v>129</v>
      </c>
      <c r="EN195" s="432"/>
      <c r="EO195" s="432"/>
      <c r="EP195" s="432"/>
      <c r="EQ195" s="432"/>
      <c r="ER195" s="432"/>
      <c r="ES195" s="432"/>
    </row>
    <row r="196" spans="54:156" ht="16.5" hidden="1" customHeight="1" x14ac:dyDescent="0.2">
      <c r="BB196" s="432">
        <v>211</v>
      </c>
      <c r="BC196" s="432"/>
      <c r="BD196" s="432"/>
      <c r="BE196" s="216">
        <f>BE195-BE197</f>
        <v>5253.4562211981565</v>
      </c>
      <c r="BF196" s="435">
        <f>BE196*0.1</f>
        <v>525.34562211981563</v>
      </c>
      <c r="BG196" s="435"/>
      <c r="BH196" s="435"/>
      <c r="BI196" s="435"/>
      <c r="BJ196" s="435"/>
      <c r="BK196" s="436">
        <f>BE196-BF196</f>
        <v>4728.1105990783408</v>
      </c>
      <c r="BL196" s="445"/>
      <c r="BM196" s="445"/>
      <c r="BN196" s="445"/>
      <c r="BO196" s="445"/>
      <c r="BP196" s="445"/>
      <c r="BQ196" s="445"/>
      <c r="DD196" s="432">
        <v>211</v>
      </c>
      <c r="DE196" s="432"/>
      <c r="DF196" s="432"/>
      <c r="DG196" s="216">
        <f>DG195-DG197</f>
        <v>2695.852534562212</v>
      </c>
      <c r="DH196" s="435">
        <f>DG196*0.1</f>
        <v>269.58525345622121</v>
      </c>
      <c r="DI196" s="435"/>
      <c r="DJ196" s="435"/>
      <c r="DK196" s="435"/>
      <c r="DL196" s="435"/>
      <c r="DM196" s="435">
        <f>DG196-DH196</f>
        <v>2426.2672811059906</v>
      </c>
      <c r="DN196" s="432"/>
      <c r="DO196" s="432"/>
      <c r="DP196" s="432"/>
      <c r="DQ196" s="432"/>
      <c r="DR196" s="432"/>
      <c r="DS196" s="432"/>
      <c r="ED196" s="432">
        <v>211</v>
      </c>
      <c r="EE196" s="432"/>
      <c r="EF196" s="432"/>
      <c r="EG196" s="216">
        <f>EG195-EG197</f>
        <v>2626.7281105990783</v>
      </c>
      <c r="EH196" s="435">
        <f>EG196*0.1</f>
        <v>262.67281105990781</v>
      </c>
      <c r="EI196" s="435"/>
      <c r="EJ196" s="435"/>
      <c r="EK196" s="435"/>
      <c r="EL196" s="435"/>
      <c r="EM196" s="435">
        <f>EG196-EH196</f>
        <v>2364.0552995391704</v>
      </c>
      <c r="EN196" s="432"/>
      <c r="EO196" s="432"/>
      <c r="EP196" s="432"/>
      <c r="EQ196" s="432"/>
      <c r="ER196" s="432"/>
      <c r="ES196" s="432"/>
    </row>
    <row r="197" spans="54:156" ht="16.5" hidden="1" customHeight="1" x14ac:dyDescent="0.2">
      <c r="BB197" s="432">
        <v>213</v>
      </c>
      <c r="BC197" s="432"/>
      <c r="BD197" s="432"/>
      <c r="BE197" s="216">
        <f>BE195*30.2/130.2</f>
        <v>1586.5437788018435</v>
      </c>
      <c r="BF197" s="435">
        <f>BF196*30.2%</f>
        <v>158.65437788018431</v>
      </c>
      <c r="BG197" s="435"/>
      <c r="BH197" s="435"/>
      <c r="BI197" s="435"/>
      <c r="BJ197" s="435"/>
      <c r="BK197" s="435">
        <f>BK196*30.2%</f>
        <v>1427.8894009216588</v>
      </c>
      <c r="BL197" s="435"/>
      <c r="BM197" s="435"/>
      <c r="BN197" s="435"/>
      <c r="BO197" s="435"/>
      <c r="BP197" s="435"/>
      <c r="BQ197" s="435"/>
      <c r="DD197" s="432">
        <v>213</v>
      </c>
      <c r="DE197" s="432"/>
      <c r="DF197" s="432"/>
      <c r="DG197" s="216">
        <f>DG195*30.2/130.2</f>
        <v>814.14746543778813</v>
      </c>
      <c r="DH197" s="435">
        <f>DH196*30.2%</f>
        <v>81.414746543778804</v>
      </c>
      <c r="DI197" s="435"/>
      <c r="DJ197" s="435"/>
      <c r="DK197" s="435"/>
      <c r="DL197" s="435"/>
      <c r="DM197" s="435">
        <f>DM196*30.2%</f>
        <v>732.73271889400917</v>
      </c>
      <c r="DN197" s="435"/>
      <c r="DO197" s="435"/>
      <c r="DP197" s="435"/>
      <c r="DQ197" s="435"/>
      <c r="DR197" s="435"/>
      <c r="DS197" s="435"/>
      <c r="ED197" s="432">
        <v>213</v>
      </c>
      <c r="EE197" s="432"/>
      <c r="EF197" s="432"/>
      <c r="EG197" s="216">
        <f>EG195*30.2/130.2</f>
        <v>793.27188940092174</v>
      </c>
      <c r="EH197" s="435">
        <f>EH196*30.2%</f>
        <v>79.327188940092157</v>
      </c>
      <c r="EI197" s="435"/>
      <c r="EJ197" s="435"/>
      <c r="EK197" s="435"/>
      <c r="EL197" s="435"/>
      <c r="EM197" s="435">
        <f>EM196*30.2%</f>
        <v>713.94470046082938</v>
      </c>
      <c r="EN197" s="435"/>
      <c r="EO197" s="435"/>
      <c r="EP197" s="435"/>
      <c r="EQ197" s="435"/>
      <c r="ER197" s="435"/>
      <c r="ES197" s="435"/>
    </row>
    <row r="198" spans="54:156" ht="8.25" hidden="1" customHeight="1" x14ac:dyDescent="0.2"/>
    <row r="199" spans="54:156" ht="8.25" hidden="1" customHeight="1" x14ac:dyDescent="0.2"/>
    <row r="200" spans="54:156" ht="8.25" hidden="1" customHeight="1" x14ac:dyDescent="0.2"/>
    <row r="201" spans="54:156" ht="12" hidden="1" x14ac:dyDescent="0.2">
      <c r="BB201" s="432" t="s">
        <v>372</v>
      </c>
      <c r="BC201" s="432"/>
      <c r="BD201" s="432"/>
      <c r="BE201" s="432"/>
      <c r="BF201" s="432"/>
      <c r="BG201" s="432"/>
      <c r="BH201" s="432"/>
      <c r="BI201" s="432"/>
      <c r="BJ201" s="432"/>
      <c r="BK201" s="432"/>
      <c r="BL201" s="432"/>
      <c r="BM201" s="432"/>
      <c r="BN201" s="432"/>
      <c r="BO201" s="432"/>
      <c r="BP201" s="432"/>
      <c r="BQ201" s="432"/>
      <c r="BR201" s="432"/>
      <c r="BS201" s="432"/>
      <c r="BT201" s="432"/>
      <c r="BU201" s="432"/>
      <c r="BV201" s="432"/>
      <c r="BW201" s="432"/>
      <c r="BX201" s="432"/>
      <c r="DD201" s="432" t="s">
        <v>186</v>
      </c>
      <c r="DE201" s="432"/>
      <c r="DF201" s="432"/>
      <c r="DG201" s="432"/>
      <c r="DH201" s="432"/>
      <c r="DI201" s="432"/>
      <c r="DJ201" s="432"/>
      <c r="DK201" s="432"/>
      <c r="DL201" s="432"/>
      <c r="DM201" s="432"/>
      <c r="DN201" s="432"/>
      <c r="DO201" s="432"/>
      <c r="DP201" s="432"/>
      <c r="DQ201" s="432"/>
      <c r="DR201" s="432"/>
      <c r="DS201" s="432"/>
      <c r="DT201" s="432"/>
      <c r="DU201" s="432"/>
      <c r="DV201" s="432"/>
      <c r="DW201" s="432"/>
      <c r="DX201" s="432"/>
      <c r="DY201" s="432"/>
      <c r="DZ201" s="432"/>
      <c r="ED201" s="432" t="s">
        <v>187</v>
      </c>
      <c r="EE201" s="432"/>
      <c r="EF201" s="432"/>
      <c r="EG201" s="432"/>
      <c r="EH201" s="432"/>
      <c r="EI201" s="432"/>
      <c r="EJ201" s="432"/>
      <c r="EK201" s="432"/>
      <c r="EL201" s="432"/>
      <c r="EM201" s="432"/>
      <c r="EN201" s="432"/>
      <c r="EO201" s="432"/>
      <c r="EP201" s="432"/>
      <c r="EQ201" s="432"/>
      <c r="ER201" s="432"/>
      <c r="ES201" s="432"/>
      <c r="ET201" s="432"/>
      <c r="EU201" s="432"/>
      <c r="EV201" s="432"/>
      <c r="EW201" s="432"/>
      <c r="EX201" s="432"/>
      <c r="EY201" s="432"/>
      <c r="EZ201" s="432"/>
    </row>
    <row r="202" spans="54:156" ht="12" hidden="1" x14ac:dyDescent="0.2">
      <c r="BB202" s="432" t="s">
        <v>126</v>
      </c>
      <c r="BC202" s="432"/>
      <c r="BD202" s="432"/>
      <c r="BE202" s="433">
        <f>200*73</f>
        <v>14600</v>
      </c>
      <c r="BF202" s="433"/>
      <c r="BG202" s="433"/>
      <c r="BH202" s="433"/>
      <c r="BI202" s="433"/>
      <c r="BJ202" s="232" t="s">
        <v>127</v>
      </c>
      <c r="BK202" s="232"/>
      <c r="BL202" s="232"/>
      <c r="BM202" s="232"/>
      <c r="BN202" s="232"/>
      <c r="BO202" s="232"/>
      <c r="BP202" s="232"/>
      <c r="BQ202" s="232"/>
      <c r="DD202" s="432" t="s">
        <v>126</v>
      </c>
      <c r="DE202" s="432"/>
      <c r="DF202" s="432"/>
      <c r="DG202" s="433">
        <f>150*31</f>
        <v>4650</v>
      </c>
      <c r="DH202" s="433"/>
      <c r="DI202" s="433"/>
      <c r="DJ202" s="433"/>
      <c r="DK202" s="433"/>
      <c r="DL202" s="220" t="s">
        <v>127</v>
      </c>
      <c r="DM202" s="220"/>
      <c r="DN202" s="220"/>
      <c r="DO202" s="220"/>
      <c r="DP202" s="220"/>
      <c r="DQ202" s="220"/>
      <c r="DR202" s="220"/>
      <c r="DS202" s="220"/>
      <c r="ED202" s="432" t="s">
        <v>126</v>
      </c>
      <c r="EE202" s="432"/>
      <c r="EF202" s="432"/>
      <c r="EG202" s="433">
        <f>150*16</f>
        <v>2400</v>
      </c>
      <c r="EH202" s="433"/>
      <c r="EI202" s="433"/>
      <c r="EJ202" s="433"/>
      <c r="EK202" s="433"/>
      <c r="EL202" s="220" t="s">
        <v>127</v>
      </c>
      <c r="EM202" s="220"/>
      <c r="EN202" s="220"/>
      <c r="EO202" s="220"/>
      <c r="EP202" s="220"/>
      <c r="EQ202" s="220"/>
      <c r="ER202" s="220"/>
      <c r="ES202" s="220"/>
    </row>
    <row r="203" spans="54:156" ht="15" hidden="1" x14ac:dyDescent="0.25">
      <c r="BB203" s="434">
        <v>0.6</v>
      </c>
      <c r="BC203" s="432"/>
      <c r="BD203" s="432"/>
      <c r="BE203" s="216">
        <f>BE202*BB203</f>
        <v>8760</v>
      </c>
      <c r="BF203" s="432" t="s">
        <v>128</v>
      </c>
      <c r="BG203" s="432"/>
      <c r="BH203" s="432"/>
      <c r="BI203" s="432"/>
      <c r="BJ203" s="432"/>
      <c r="BK203" s="432" t="s">
        <v>129</v>
      </c>
      <c r="BL203" s="432"/>
      <c r="BM203" s="432"/>
      <c r="BN203" s="432"/>
      <c r="BO203" s="432"/>
      <c r="BP203" s="432"/>
      <c r="BQ203" s="432"/>
      <c r="BZ203" s="432" t="s">
        <v>368</v>
      </c>
      <c r="CA203" s="443"/>
      <c r="CB203" s="443"/>
      <c r="CC203" s="443"/>
      <c r="CD203" s="443"/>
      <c r="CE203" s="443"/>
      <c r="CH203" s="432" t="s">
        <v>366</v>
      </c>
      <c r="CI203" s="443"/>
      <c r="CJ203" s="443"/>
      <c r="CK203" s="443"/>
      <c r="CL203" s="443"/>
      <c r="CM203" s="443"/>
      <c r="DD203" s="434">
        <v>0.6</v>
      </c>
      <c r="DE203" s="432"/>
      <c r="DF203" s="432"/>
      <c r="DG203" s="216">
        <f>DG202*DD203</f>
        <v>2790</v>
      </c>
      <c r="DH203" s="432" t="s">
        <v>128</v>
      </c>
      <c r="DI203" s="432"/>
      <c r="DJ203" s="432"/>
      <c r="DK203" s="432"/>
      <c r="DL203" s="432"/>
      <c r="DM203" s="432" t="s">
        <v>129</v>
      </c>
      <c r="DN203" s="432"/>
      <c r="DO203" s="432"/>
      <c r="DP203" s="432"/>
      <c r="DQ203" s="432"/>
      <c r="DR203" s="432"/>
      <c r="DS203" s="432"/>
      <c r="ED203" s="434">
        <v>0.6</v>
      </c>
      <c r="EE203" s="432"/>
      <c r="EF203" s="432"/>
      <c r="EG203" s="216">
        <f>EG202*ED203</f>
        <v>1440</v>
      </c>
      <c r="EH203" s="432" t="s">
        <v>128</v>
      </c>
      <c r="EI203" s="432"/>
      <c r="EJ203" s="432"/>
      <c r="EK203" s="432"/>
      <c r="EL203" s="432"/>
      <c r="EM203" s="432" t="s">
        <v>129</v>
      </c>
      <c r="EN203" s="432"/>
      <c r="EO203" s="432"/>
      <c r="EP203" s="432"/>
      <c r="EQ203" s="432"/>
      <c r="ER203" s="432"/>
      <c r="ES203" s="432"/>
    </row>
    <row r="204" spans="54:156" ht="15" hidden="1" x14ac:dyDescent="0.25">
      <c r="BB204" s="432">
        <v>211</v>
      </c>
      <c r="BC204" s="432"/>
      <c r="BD204" s="432"/>
      <c r="BE204" s="216">
        <f>BE203-BE205</f>
        <v>6728.1105990783408</v>
      </c>
      <c r="BF204" s="435">
        <f>BE204*0.2</f>
        <v>1345.6221198156682</v>
      </c>
      <c r="BG204" s="435"/>
      <c r="BH204" s="435"/>
      <c r="BI204" s="435"/>
      <c r="BJ204" s="435"/>
      <c r="BK204" s="436">
        <f>BE204-BF204</f>
        <v>5382.4884792626726</v>
      </c>
      <c r="BL204" s="445"/>
      <c r="BM204" s="445"/>
      <c r="BN204" s="445"/>
      <c r="BO204" s="445"/>
      <c r="BP204" s="445"/>
      <c r="BQ204" s="445"/>
      <c r="BZ204" s="840">
        <f>BF204*15/20</f>
        <v>1009.2165898617511</v>
      </c>
      <c r="CA204" s="841"/>
      <c r="CB204" s="841"/>
      <c r="CC204" s="841"/>
      <c r="CD204" s="841"/>
      <c r="CE204" s="841"/>
      <c r="CH204" s="840">
        <f>BF204*5/20-0.01</f>
        <v>336.39552995391705</v>
      </c>
      <c r="CI204" s="841"/>
      <c r="CJ204" s="841"/>
      <c r="CK204" s="841"/>
      <c r="CL204" s="841"/>
      <c r="CM204" s="841"/>
      <c r="DD204" s="432">
        <v>211</v>
      </c>
      <c r="DE204" s="432"/>
      <c r="DF204" s="432"/>
      <c r="DG204" s="216">
        <f>DG203-DG205</f>
        <v>2142.8571428571427</v>
      </c>
      <c r="DH204" s="435">
        <f>DG204*0.1</f>
        <v>214.28571428571428</v>
      </c>
      <c r="DI204" s="435"/>
      <c r="DJ204" s="435"/>
      <c r="DK204" s="435"/>
      <c r="DL204" s="435"/>
      <c r="DM204" s="435">
        <f>DG204-DH204</f>
        <v>1928.5714285714284</v>
      </c>
      <c r="DN204" s="432"/>
      <c r="DO204" s="432"/>
      <c r="DP204" s="432"/>
      <c r="DQ204" s="432"/>
      <c r="DR204" s="432"/>
      <c r="DS204" s="432"/>
      <c r="ED204" s="432">
        <v>211</v>
      </c>
      <c r="EE204" s="432"/>
      <c r="EF204" s="432"/>
      <c r="EG204" s="216">
        <f>EG203-EG205</f>
        <v>1105.9907834101382</v>
      </c>
      <c r="EH204" s="435">
        <f>EG204*0.1</f>
        <v>110.59907834101382</v>
      </c>
      <c r="EI204" s="435"/>
      <c r="EJ204" s="435"/>
      <c r="EK204" s="435"/>
      <c r="EL204" s="435"/>
      <c r="EM204" s="435">
        <f>EG204-EH204</f>
        <v>995.39170506912433</v>
      </c>
      <c r="EN204" s="432"/>
      <c r="EO204" s="432"/>
      <c r="EP204" s="432"/>
      <c r="EQ204" s="432"/>
      <c r="ER204" s="432"/>
      <c r="ES204" s="432"/>
    </row>
    <row r="205" spans="54:156" ht="12" hidden="1" x14ac:dyDescent="0.2">
      <c r="BB205" s="432">
        <v>213</v>
      </c>
      <c r="BC205" s="432"/>
      <c r="BD205" s="432"/>
      <c r="BE205" s="216">
        <f>BE203*30.2/130.2</f>
        <v>2031.8894009216592</v>
      </c>
      <c r="BF205" s="435">
        <f>BF204*30.2%</f>
        <v>406.37788018433179</v>
      </c>
      <c r="BG205" s="435"/>
      <c r="BH205" s="435"/>
      <c r="BI205" s="435"/>
      <c r="BJ205" s="435"/>
      <c r="BK205" s="435">
        <f>BK204*30.2%</f>
        <v>1625.5115207373271</v>
      </c>
      <c r="BL205" s="435"/>
      <c r="BM205" s="435"/>
      <c r="BN205" s="435"/>
      <c r="BO205" s="435"/>
      <c r="BP205" s="435"/>
      <c r="BQ205" s="435"/>
      <c r="DD205" s="432">
        <v>213</v>
      </c>
      <c r="DE205" s="432"/>
      <c r="DF205" s="432"/>
      <c r="DG205" s="216">
        <f>DG203*30.2/130.2</f>
        <v>647.14285714285722</v>
      </c>
      <c r="DH205" s="435">
        <f>DH204*30.2%</f>
        <v>64.714285714285708</v>
      </c>
      <c r="DI205" s="435"/>
      <c r="DJ205" s="435"/>
      <c r="DK205" s="435"/>
      <c r="DL205" s="435"/>
      <c r="DM205" s="435">
        <f>DM204*30.2%</f>
        <v>582.42857142857133</v>
      </c>
      <c r="DN205" s="435"/>
      <c r="DO205" s="435"/>
      <c r="DP205" s="435"/>
      <c r="DQ205" s="435"/>
      <c r="DR205" s="435"/>
      <c r="DS205" s="435"/>
      <c r="ED205" s="432">
        <v>213</v>
      </c>
      <c r="EE205" s="432"/>
      <c r="EF205" s="432"/>
      <c r="EG205" s="216">
        <f>EG203*30.2/130.2</f>
        <v>334.00921658986181</v>
      </c>
      <c r="EH205" s="435">
        <f>EH204*30.2%</f>
        <v>33.400921658986171</v>
      </c>
      <c r="EI205" s="435"/>
      <c r="EJ205" s="435"/>
      <c r="EK205" s="435"/>
      <c r="EL205" s="435"/>
      <c r="EM205" s="435">
        <f>EM204*30.2%</f>
        <v>300.60829493087556</v>
      </c>
      <c r="EN205" s="435"/>
      <c r="EO205" s="435"/>
      <c r="EP205" s="435"/>
      <c r="EQ205" s="435"/>
      <c r="ER205" s="435"/>
      <c r="ES205" s="435"/>
    </row>
    <row r="206" spans="54:156" ht="8.25" hidden="1" customHeight="1" x14ac:dyDescent="0.2"/>
    <row r="207" spans="54:156" ht="8.25" hidden="1" customHeight="1" x14ac:dyDescent="0.2"/>
    <row r="208" spans="54:156" ht="12" hidden="1" x14ac:dyDescent="0.2">
      <c r="BB208" s="432" t="s">
        <v>373</v>
      </c>
      <c r="BC208" s="432"/>
      <c r="BD208" s="432"/>
      <c r="BE208" s="432"/>
      <c r="BF208" s="432"/>
      <c r="BG208" s="432"/>
      <c r="BH208" s="432"/>
      <c r="BI208" s="432"/>
      <c r="BJ208" s="432"/>
      <c r="BK208" s="432"/>
      <c r="BL208" s="432"/>
      <c r="BM208" s="432"/>
      <c r="BN208" s="432"/>
      <c r="BO208" s="432"/>
      <c r="BP208" s="432"/>
      <c r="BQ208" s="432"/>
      <c r="BR208" s="432"/>
      <c r="BS208" s="432"/>
      <c r="BT208" s="432"/>
      <c r="BU208" s="432"/>
      <c r="BV208" s="432"/>
      <c r="BW208" s="432"/>
      <c r="BX208" s="432"/>
    </row>
    <row r="209" spans="54:91" ht="12" hidden="1" x14ac:dyDescent="0.2">
      <c r="BB209" s="432" t="s">
        <v>126</v>
      </c>
      <c r="BC209" s="432"/>
      <c r="BD209" s="432"/>
      <c r="BE209" s="433">
        <f>200*44</f>
        <v>8800</v>
      </c>
      <c r="BF209" s="433"/>
      <c r="BG209" s="433"/>
      <c r="BH209" s="433"/>
      <c r="BI209" s="433"/>
      <c r="BJ209" s="232" t="s">
        <v>127</v>
      </c>
      <c r="BK209" s="232"/>
      <c r="BL209" s="232"/>
      <c r="BM209" s="232"/>
      <c r="BN209" s="232"/>
      <c r="BO209" s="232"/>
      <c r="BP209" s="232"/>
      <c r="BQ209" s="232"/>
    </row>
    <row r="210" spans="54:91" ht="15" hidden="1" x14ac:dyDescent="0.25">
      <c r="BB210" s="434">
        <v>0.6</v>
      </c>
      <c r="BC210" s="432"/>
      <c r="BD210" s="432"/>
      <c r="BE210" s="216">
        <f>BE209*BB210</f>
        <v>5280</v>
      </c>
      <c r="BF210" s="432" t="s">
        <v>128</v>
      </c>
      <c r="BG210" s="432"/>
      <c r="BH210" s="432"/>
      <c r="BI210" s="432"/>
      <c r="BJ210" s="432"/>
      <c r="BK210" s="432" t="s">
        <v>129</v>
      </c>
      <c r="BL210" s="432"/>
      <c r="BM210" s="432"/>
      <c r="BN210" s="432"/>
      <c r="BO210" s="432"/>
      <c r="BP210" s="432"/>
      <c r="BQ210" s="432"/>
      <c r="BZ210" s="432" t="s">
        <v>368</v>
      </c>
      <c r="CA210" s="443"/>
      <c r="CB210" s="443"/>
      <c r="CC210" s="443"/>
      <c r="CD210" s="443"/>
      <c r="CE210" s="443"/>
      <c r="CH210" s="432" t="s">
        <v>366</v>
      </c>
      <c r="CI210" s="443"/>
      <c r="CJ210" s="443"/>
      <c r="CK210" s="443"/>
      <c r="CL210" s="443"/>
      <c r="CM210" s="443"/>
    </row>
    <row r="211" spans="54:91" ht="15" hidden="1" x14ac:dyDescent="0.25">
      <c r="BB211" s="432">
        <v>211</v>
      </c>
      <c r="BC211" s="432"/>
      <c r="BD211" s="432"/>
      <c r="BE211" s="216">
        <f>BE210-BE212</f>
        <v>4055.2995391705067</v>
      </c>
      <c r="BF211" s="435">
        <f>BE211*0.2</f>
        <v>811.05990783410141</v>
      </c>
      <c r="BG211" s="435"/>
      <c r="BH211" s="435"/>
      <c r="BI211" s="435"/>
      <c r="BJ211" s="435"/>
      <c r="BK211" s="436">
        <f>BE211-BF211</f>
        <v>3244.2396313364052</v>
      </c>
      <c r="BL211" s="445"/>
      <c r="BM211" s="445"/>
      <c r="BN211" s="445"/>
      <c r="BO211" s="445"/>
      <c r="BP211" s="445"/>
      <c r="BQ211" s="445"/>
      <c r="BZ211" s="840">
        <f>BF211*15/20</f>
        <v>608.29493087557603</v>
      </c>
      <c r="CA211" s="841"/>
      <c r="CB211" s="841"/>
      <c r="CC211" s="841"/>
      <c r="CD211" s="841"/>
      <c r="CE211" s="841"/>
      <c r="CH211" s="840">
        <f>BF211*5/20+0.01</f>
        <v>202.77497695852534</v>
      </c>
      <c r="CI211" s="841"/>
      <c r="CJ211" s="841"/>
      <c r="CK211" s="841"/>
      <c r="CL211" s="841"/>
      <c r="CM211" s="841"/>
    </row>
    <row r="212" spans="54:91" ht="12" hidden="1" x14ac:dyDescent="0.2">
      <c r="BB212" s="432">
        <v>213</v>
      </c>
      <c r="BC212" s="432"/>
      <c r="BD212" s="432"/>
      <c r="BE212" s="216">
        <f>BE210*30.2/130.2</f>
        <v>1224.7004608294933</v>
      </c>
      <c r="BF212" s="435">
        <f>BF211*30.2%</f>
        <v>244.94009216589862</v>
      </c>
      <c r="BG212" s="435"/>
      <c r="BH212" s="435"/>
      <c r="BI212" s="435"/>
      <c r="BJ212" s="435"/>
      <c r="BK212" s="435">
        <f>BK211*30.2%</f>
        <v>979.76036866359436</v>
      </c>
      <c r="BL212" s="435"/>
      <c r="BM212" s="435"/>
      <c r="BN212" s="435"/>
      <c r="BO212" s="435"/>
      <c r="BP212" s="435"/>
      <c r="BQ212" s="435"/>
    </row>
    <row r="213" spans="54:91" ht="8.25" hidden="1" customHeight="1" x14ac:dyDescent="0.2"/>
    <row r="214" spans="54:91" ht="8.25" hidden="1" customHeight="1" x14ac:dyDescent="0.2"/>
    <row r="215" spans="54:91" ht="8.25" hidden="1" customHeight="1" x14ac:dyDescent="0.2"/>
    <row r="216" spans="54:91" ht="12" hidden="1" x14ac:dyDescent="0.2">
      <c r="BB216" s="432" t="s">
        <v>384</v>
      </c>
      <c r="BC216" s="432"/>
      <c r="BD216" s="432"/>
      <c r="BE216" s="432"/>
      <c r="BF216" s="432"/>
      <c r="BG216" s="432"/>
      <c r="BH216" s="432"/>
      <c r="BI216" s="432"/>
      <c r="BJ216" s="432"/>
      <c r="BK216" s="432"/>
      <c r="BL216" s="432"/>
      <c r="BM216" s="432"/>
      <c r="BN216" s="432"/>
      <c r="BO216" s="432"/>
      <c r="BP216" s="432"/>
      <c r="BQ216" s="432"/>
      <c r="BR216" s="432"/>
      <c r="BS216" s="432"/>
      <c r="BT216" s="432"/>
      <c r="BU216" s="432"/>
      <c r="BV216" s="432"/>
      <c r="BW216" s="432"/>
      <c r="BX216" s="432"/>
    </row>
    <row r="217" spans="54:91" ht="12" hidden="1" x14ac:dyDescent="0.2">
      <c r="BB217" s="432" t="s">
        <v>126</v>
      </c>
      <c r="BC217" s="432"/>
      <c r="BD217" s="432"/>
      <c r="BE217" s="433">
        <f>200*150</f>
        <v>30000</v>
      </c>
      <c r="BF217" s="433"/>
      <c r="BG217" s="433"/>
      <c r="BH217" s="433"/>
      <c r="BI217" s="433"/>
      <c r="BJ217" s="240" t="s">
        <v>127</v>
      </c>
      <c r="BK217" s="240"/>
      <c r="BL217" s="240"/>
      <c r="BM217" s="240"/>
      <c r="BN217" s="240"/>
      <c r="BO217" s="240"/>
      <c r="BP217" s="240"/>
      <c r="BQ217" s="240"/>
    </row>
    <row r="218" spans="54:91" ht="15" hidden="1" x14ac:dyDescent="0.25">
      <c r="BB218" s="434">
        <v>0.6</v>
      </c>
      <c r="BC218" s="432"/>
      <c r="BD218" s="432"/>
      <c r="BE218" s="216">
        <f>BE217*BB218</f>
        <v>18000</v>
      </c>
      <c r="BF218" s="432" t="s">
        <v>128</v>
      </c>
      <c r="BG218" s="432"/>
      <c r="BH218" s="432"/>
      <c r="BI218" s="432"/>
      <c r="BJ218" s="432"/>
      <c r="BK218" s="432" t="s">
        <v>129</v>
      </c>
      <c r="BL218" s="432"/>
      <c r="BM218" s="432"/>
      <c r="BN218" s="432"/>
      <c r="BO218" s="432"/>
      <c r="BP218" s="432"/>
      <c r="BQ218" s="432"/>
      <c r="BZ218" s="432" t="s">
        <v>368</v>
      </c>
      <c r="CA218" s="443"/>
      <c r="CB218" s="443"/>
      <c r="CC218" s="443"/>
      <c r="CD218" s="443"/>
      <c r="CE218" s="443"/>
      <c r="CH218" s="432" t="s">
        <v>366</v>
      </c>
      <c r="CI218" s="443"/>
      <c r="CJ218" s="443"/>
      <c r="CK218" s="443"/>
      <c r="CL218" s="443"/>
      <c r="CM218" s="443"/>
    </row>
    <row r="219" spans="54:91" ht="15" hidden="1" x14ac:dyDescent="0.25">
      <c r="BB219" s="432">
        <v>211</v>
      </c>
      <c r="BC219" s="432"/>
      <c r="BD219" s="432"/>
      <c r="BE219" s="216">
        <f>BE218-BE220</f>
        <v>13824.884792626728</v>
      </c>
      <c r="BF219" s="435">
        <f>BE219*0.2</f>
        <v>2764.9769585253457</v>
      </c>
      <c r="BG219" s="435"/>
      <c r="BH219" s="435"/>
      <c r="BI219" s="435"/>
      <c r="BJ219" s="435"/>
      <c r="BK219" s="436">
        <f>BE219-BF219</f>
        <v>11059.907834101383</v>
      </c>
      <c r="BL219" s="445"/>
      <c r="BM219" s="445"/>
      <c r="BN219" s="445"/>
      <c r="BO219" s="445"/>
      <c r="BP219" s="445"/>
      <c r="BQ219" s="445"/>
      <c r="BZ219" s="840">
        <f>BF219*15/20-0.01</f>
        <v>2073.7227188940092</v>
      </c>
      <c r="CA219" s="841"/>
      <c r="CB219" s="841"/>
      <c r="CC219" s="841"/>
      <c r="CD219" s="841"/>
      <c r="CE219" s="841"/>
      <c r="CH219" s="840">
        <f>BF219*5/20+0.01</f>
        <v>691.25423963133642</v>
      </c>
      <c r="CI219" s="841"/>
      <c r="CJ219" s="841"/>
      <c r="CK219" s="841"/>
      <c r="CL219" s="841"/>
      <c r="CM219" s="841"/>
    </row>
    <row r="220" spans="54:91" ht="12" hidden="1" x14ac:dyDescent="0.2">
      <c r="BB220" s="432">
        <v>213</v>
      </c>
      <c r="BC220" s="432"/>
      <c r="BD220" s="432"/>
      <c r="BE220" s="216">
        <f>BE218*30.2/130.2</f>
        <v>4175.1152073732719</v>
      </c>
      <c r="BF220" s="435">
        <f>BF219*30.2%</f>
        <v>835.02304147465441</v>
      </c>
      <c r="BG220" s="435"/>
      <c r="BH220" s="435"/>
      <c r="BI220" s="435"/>
      <c r="BJ220" s="435"/>
      <c r="BK220" s="435">
        <f>BK219*30.2%</f>
        <v>3340.0921658986176</v>
      </c>
      <c r="BL220" s="435"/>
      <c r="BM220" s="435"/>
      <c r="BN220" s="435"/>
      <c r="BO220" s="435"/>
      <c r="BP220" s="435"/>
      <c r="BQ220" s="435"/>
    </row>
    <row r="221" spans="54:91" ht="12" hidden="1" x14ac:dyDescent="0.2"/>
    <row r="222" spans="54:91" ht="8.25" hidden="1" customHeight="1" x14ac:dyDescent="0.2">
      <c r="CE222" s="236"/>
    </row>
    <row r="223" spans="54:91" ht="12" hidden="1" x14ac:dyDescent="0.2">
      <c r="BB223" s="432" t="s">
        <v>385</v>
      </c>
      <c r="BC223" s="432"/>
      <c r="BD223" s="432"/>
      <c r="BE223" s="432"/>
      <c r="BF223" s="432"/>
      <c r="BG223" s="432"/>
      <c r="BH223" s="432"/>
      <c r="BI223" s="432"/>
      <c r="BJ223" s="432"/>
      <c r="BK223" s="432"/>
      <c r="BL223" s="432"/>
      <c r="BM223" s="432"/>
      <c r="BN223" s="432"/>
      <c r="BO223" s="432"/>
      <c r="BP223" s="432"/>
      <c r="BQ223" s="432"/>
      <c r="BR223" s="432"/>
      <c r="BS223" s="432"/>
      <c r="BT223" s="432"/>
      <c r="BU223" s="432"/>
      <c r="BV223" s="432"/>
      <c r="BW223" s="432"/>
      <c r="BX223" s="432"/>
    </row>
    <row r="224" spans="54:91" ht="12" hidden="1" x14ac:dyDescent="0.2">
      <c r="BB224" s="432" t="s">
        <v>126</v>
      </c>
      <c r="BC224" s="432"/>
      <c r="BD224" s="432"/>
      <c r="BE224" s="433">
        <f>200*189</f>
        <v>37800</v>
      </c>
      <c r="BF224" s="433"/>
      <c r="BG224" s="433"/>
      <c r="BH224" s="433"/>
      <c r="BI224" s="433"/>
      <c r="BJ224" s="240" t="s">
        <v>127</v>
      </c>
      <c r="BK224" s="240"/>
      <c r="BL224" s="240"/>
      <c r="BM224" s="240"/>
      <c r="BN224" s="240"/>
      <c r="BO224" s="240"/>
      <c r="BP224" s="240"/>
      <c r="BQ224" s="240"/>
    </row>
    <row r="225" spans="54:91" ht="15" hidden="1" x14ac:dyDescent="0.25">
      <c r="BB225" s="434">
        <v>0.6</v>
      </c>
      <c r="BC225" s="432"/>
      <c r="BD225" s="432"/>
      <c r="BE225" s="216">
        <f>BE224*BB225</f>
        <v>22680</v>
      </c>
      <c r="BF225" s="432" t="s">
        <v>128</v>
      </c>
      <c r="BG225" s="432"/>
      <c r="BH225" s="432"/>
      <c r="BI225" s="432"/>
      <c r="BJ225" s="432"/>
      <c r="BK225" s="432" t="s">
        <v>129</v>
      </c>
      <c r="BL225" s="432"/>
      <c r="BM225" s="432"/>
      <c r="BN225" s="432"/>
      <c r="BO225" s="432"/>
      <c r="BP225" s="432"/>
      <c r="BQ225" s="432"/>
      <c r="BZ225" s="432" t="s">
        <v>368</v>
      </c>
      <c r="CA225" s="443"/>
      <c r="CB225" s="443"/>
      <c r="CC225" s="443"/>
      <c r="CD225" s="443"/>
      <c r="CE225" s="443"/>
      <c r="CH225" s="432" t="s">
        <v>366</v>
      </c>
      <c r="CI225" s="443"/>
      <c r="CJ225" s="443"/>
      <c r="CK225" s="443"/>
      <c r="CL225" s="443"/>
      <c r="CM225" s="443"/>
    </row>
    <row r="226" spans="54:91" ht="15" hidden="1" x14ac:dyDescent="0.25">
      <c r="BB226" s="432">
        <v>211</v>
      </c>
      <c r="BC226" s="432"/>
      <c r="BD226" s="432"/>
      <c r="BE226" s="216">
        <f>BE225-BE227</f>
        <v>17419.354838709678</v>
      </c>
      <c r="BF226" s="435">
        <f>BE226*0.2</f>
        <v>3483.8709677419356</v>
      </c>
      <c r="BG226" s="435"/>
      <c r="BH226" s="435"/>
      <c r="BI226" s="435"/>
      <c r="BJ226" s="435"/>
      <c r="BK226" s="436">
        <f>BE226-BF226</f>
        <v>13935.483870967742</v>
      </c>
      <c r="BL226" s="445"/>
      <c r="BM226" s="445"/>
      <c r="BN226" s="445"/>
      <c r="BO226" s="445"/>
      <c r="BP226" s="445"/>
      <c r="BQ226" s="445"/>
      <c r="BZ226" s="840">
        <f>BF226*15/20+0.01</f>
        <v>2612.9132258064519</v>
      </c>
      <c r="CA226" s="841"/>
      <c r="CB226" s="841"/>
      <c r="CC226" s="841"/>
      <c r="CD226" s="841"/>
      <c r="CE226" s="841"/>
      <c r="CH226" s="840">
        <f>BF226*5/20-0.01</f>
        <v>870.95774193548391</v>
      </c>
      <c r="CI226" s="841"/>
      <c r="CJ226" s="841"/>
      <c r="CK226" s="841"/>
      <c r="CL226" s="841"/>
      <c r="CM226" s="841"/>
    </row>
    <row r="227" spans="54:91" ht="12" hidden="1" x14ac:dyDescent="0.2">
      <c r="BB227" s="432">
        <v>213</v>
      </c>
      <c r="BC227" s="432"/>
      <c r="BD227" s="432"/>
      <c r="BE227" s="216">
        <f>BE225*30.2/130.2</f>
        <v>5260.6451612903229</v>
      </c>
      <c r="BF227" s="435">
        <f>BF226*30.2%</f>
        <v>1052.1290322580646</v>
      </c>
      <c r="BG227" s="435"/>
      <c r="BH227" s="435"/>
      <c r="BI227" s="435"/>
      <c r="BJ227" s="435"/>
      <c r="BK227" s="435">
        <f>BK226*30.2%</f>
        <v>4208.5161290322585</v>
      </c>
      <c r="BL227" s="435"/>
      <c r="BM227" s="435"/>
      <c r="BN227" s="435"/>
      <c r="BO227" s="435"/>
      <c r="BP227" s="435"/>
      <c r="BQ227" s="435"/>
    </row>
    <row r="228" spans="54:91" ht="8.25" hidden="1" customHeight="1" x14ac:dyDescent="0.2"/>
    <row r="229" spans="54:91" ht="8.25" hidden="1" customHeight="1" x14ac:dyDescent="0.2"/>
    <row r="230" spans="54:91" ht="8.25" hidden="1" customHeight="1" x14ac:dyDescent="0.2">
      <c r="CE230" s="236"/>
    </row>
    <row r="231" spans="54:91" ht="12" hidden="1" x14ac:dyDescent="0.2">
      <c r="BB231" s="432" t="s">
        <v>392</v>
      </c>
      <c r="BC231" s="432"/>
      <c r="BD231" s="432"/>
      <c r="BE231" s="432"/>
      <c r="BF231" s="432"/>
      <c r="BG231" s="432"/>
      <c r="BH231" s="432"/>
      <c r="BI231" s="432"/>
      <c r="BJ231" s="432"/>
      <c r="BK231" s="432"/>
      <c r="BL231" s="432"/>
      <c r="BM231" s="432"/>
      <c r="BN231" s="432"/>
      <c r="BO231" s="432"/>
      <c r="BP231" s="432"/>
      <c r="BQ231" s="432"/>
      <c r="BR231" s="432"/>
      <c r="BS231" s="432"/>
      <c r="BT231" s="432"/>
      <c r="BU231" s="432"/>
      <c r="BV231" s="432"/>
      <c r="BW231" s="432"/>
      <c r="BX231" s="432"/>
    </row>
    <row r="232" spans="54:91" ht="12" hidden="1" x14ac:dyDescent="0.2">
      <c r="BB232" s="432" t="s">
        <v>126</v>
      </c>
      <c r="BC232" s="432"/>
      <c r="BD232" s="432"/>
      <c r="BE232" s="433">
        <f>200*186</f>
        <v>37200</v>
      </c>
      <c r="BF232" s="433"/>
      <c r="BG232" s="433"/>
      <c r="BH232" s="433"/>
      <c r="BI232" s="433"/>
      <c r="BJ232" s="244" t="s">
        <v>127</v>
      </c>
      <c r="BK232" s="244"/>
      <c r="BL232" s="244"/>
      <c r="BM232" s="244"/>
      <c r="BN232" s="244"/>
      <c r="BO232" s="244"/>
      <c r="BP232" s="244"/>
      <c r="BQ232" s="244"/>
    </row>
    <row r="233" spans="54:91" ht="15" hidden="1" x14ac:dyDescent="0.25">
      <c r="BB233" s="434">
        <v>0.6</v>
      </c>
      <c r="BC233" s="432"/>
      <c r="BD233" s="432"/>
      <c r="BE233" s="216">
        <f>BE232*BB233</f>
        <v>22320</v>
      </c>
      <c r="BF233" s="432" t="s">
        <v>128</v>
      </c>
      <c r="BG233" s="432"/>
      <c r="BH233" s="432"/>
      <c r="BI233" s="432"/>
      <c r="BJ233" s="432"/>
      <c r="BK233" s="432" t="s">
        <v>129</v>
      </c>
      <c r="BL233" s="432"/>
      <c r="BM233" s="432"/>
      <c r="BN233" s="432"/>
      <c r="BO233" s="432"/>
      <c r="BP233" s="432"/>
      <c r="BQ233" s="432"/>
      <c r="BZ233" s="432" t="s">
        <v>368</v>
      </c>
      <c r="CA233" s="443"/>
      <c r="CB233" s="443"/>
      <c r="CC233" s="443"/>
      <c r="CD233" s="443"/>
      <c r="CE233" s="443"/>
      <c r="CH233" s="432" t="s">
        <v>366</v>
      </c>
      <c r="CI233" s="443"/>
      <c r="CJ233" s="443"/>
      <c r="CK233" s="443"/>
      <c r="CL233" s="443"/>
      <c r="CM233" s="443"/>
    </row>
    <row r="234" spans="54:91" ht="15" hidden="1" x14ac:dyDescent="0.25">
      <c r="BB234" s="432">
        <v>211</v>
      </c>
      <c r="BC234" s="432"/>
      <c r="BD234" s="432"/>
      <c r="BE234" s="216">
        <f>BE233-BE235</f>
        <v>17142.857142857141</v>
      </c>
      <c r="BF234" s="435">
        <f>BE234*0.2</f>
        <v>3428.5714285714284</v>
      </c>
      <c r="BG234" s="435"/>
      <c r="BH234" s="435"/>
      <c r="BI234" s="435"/>
      <c r="BJ234" s="435"/>
      <c r="BK234" s="436">
        <f>BE234-BF234</f>
        <v>13714.285714285714</v>
      </c>
      <c r="BL234" s="445"/>
      <c r="BM234" s="445"/>
      <c r="BN234" s="445"/>
      <c r="BO234" s="445"/>
      <c r="BP234" s="445"/>
      <c r="BQ234" s="445"/>
      <c r="BZ234" s="840">
        <f>BF234*15/20+0.01</f>
        <v>2571.4385714285718</v>
      </c>
      <c r="CA234" s="841"/>
      <c r="CB234" s="841"/>
      <c r="CC234" s="841"/>
      <c r="CD234" s="841"/>
      <c r="CE234" s="841"/>
      <c r="CH234" s="840">
        <f>BF234*5/20-0.01</f>
        <v>857.13285714285712</v>
      </c>
      <c r="CI234" s="841"/>
      <c r="CJ234" s="841"/>
      <c r="CK234" s="841"/>
      <c r="CL234" s="841"/>
      <c r="CM234" s="841"/>
    </row>
    <row r="235" spans="54:91" ht="12" hidden="1" x14ac:dyDescent="0.2">
      <c r="BB235" s="432">
        <v>213</v>
      </c>
      <c r="BC235" s="432"/>
      <c r="BD235" s="432"/>
      <c r="BE235" s="216">
        <f>BE233*30.2/130.2</f>
        <v>5177.1428571428578</v>
      </c>
      <c r="BF235" s="435">
        <f>BF234*30.2%</f>
        <v>1035.4285714285713</v>
      </c>
      <c r="BG235" s="435"/>
      <c r="BH235" s="435"/>
      <c r="BI235" s="435"/>
      <c r="BJ235" s="435"/>
      <c r="BK235" s="435">
        <f>BK234*30.2%</f>
        <v>4141.7142857142853</v>
      </c>
      <c r="BL235" s="435"/>
      <c r="BM235" s="435"/>
      <c r="BN235" s="435"/>
      <c r="BO235" s="435"/>
      <c r="BP235" s="435"/>
      <c r="BQ235" s="435"/>
    </row>
    <row r="236" spans="54:91" ht="8.25" hidden="1" customHeight="1" x14ac:dyDescent="0.2"/>
    <row r="237" spans="54:91" ht="8.25" hidden="1" customHeight="1" x14ac:dyDescent="0.2">
      <c r="CE237" s="236"/>
    </row>
    <row r="238" spans="54:91" ht="8.25" hidden="1" customHeight="1" x14ac:dyDescent="0.2"/>
    <row r="239" spans="54:91" ht="12" hidden="1" x14ac:dyDescent="0.2">
      <c r="BB239" s="432" t="s">
        <v>393</v>
      </c>
      <c r="BC239" s="432"/>
      <c r="BD239" s="432"/>
      <c r="BE239" s="432"/>
      <c r="BF239" s="432"/>
      <c r="BG239" s="432"/>
      <c r="BH239" s="432"/>
      <c r="BI239" s="432"/>
      <c r="BJ239" s="432"/>
      <c r="BK239" s="432"/>
      <c r="BL239" s="432"/>
      <c r="BM239" s="432"/>
      <c r="BN239" s="432"/>
      <c r="BO239" s="432"/>
      <c r="BP239" s="432"/>
      <c r="BQ239" s="432"/>
      <c r="BR239" s="432"/>
      <c r="BS239" s="432"/>
      <c r="BT239" s="432"/>
      <c r="BU239" s="432"/>
      <c r="BV239" s="432"/>
      <c r="BW239" s="432"/>
      <c r="BX239" s="432"/>
    </row>
    <row r="240" spans="54:91" ht="12" hidden="1" x14ac:dyDescent="0.2">
      <c r="BB240" s="432" t="s">
        <v>126</v>
      </c>
      <c r="BC240" s="432"/>
      <c r="BD240" s="432"/>
      <c r="BE240" s="433">
        <f>200*118</f>
        <v>23600</v>
      </c>
      <c r="BF240" s="433"/>
      <c r="BG240" s="433"/>
      <c r="BH240" s="433"/>
      <c r="BI240" s="433"/>
      <c r="BJ240" s="244" t="s">
        <v>127</v>
      </c>
      <c r="BK240" s="244"/>
      <c r="BL240" s="244"/>
      <c r="BM240" s="244"/>
      <c r="BN240" s="244"/>
      <c r="BO240" s="244"/>
      <c r="BP240" s="244"/>
      <c r="BQ240" s="244"/>
    </row>
    <row r="241" spans="54:91" ht="15" hidden="1" x14ac:dyDescent="0.25">
      <c r="BB241" s="434">
        <v>0.6</v>
      </c>
      <c r="BC241" s="432"/>
      <c r="BD241" s="432"/>
      <c r="BE241" s="216">
        <f>BE240*BB241</f>
        <v>14160</v>
      </c>
      <c r="BF241" s="432" t="s">
        <v>128</v>
      </c>
      <c r="BG241" s="432"/>
      <c r="BH241" s="432"/>
      <c r="BI241" s="432"/>
      <c r="BJ241" s="432"/>
      <c r="BK241" s="432" t="s">
        <v>129</v>
      </c>
      <c r="BL241" s="432"/>
      <c r="BM241" s="432"/>
      <c r="BN241" s="432"/>
      <c r="BO241" s="432"/>
      <c r="BP241" s="432"/>
      <c r="BQ241" s="432"/>
      <c r="BZ241" s="432" t="s">
        <v>368</v>
      </c>
      <c r="CA241" s="443"/>
      <c r="CB241" s="443"/>
      <c r="CC241" s="443"/>
      <c r="CD241" s="443"/>
      <c r="CE241" s="443"/>
      <c r="CH241" s="432" t="s">
        <v>366</v>
      </c>
      <c r="CI241" s="443"/>
      <c r="CJ241" s="443"/>
      <c r="CK241" s="443"/>
      <c r="CL241" s="443"/>
      <c r="CM241" s="443"/>
    </row>
    <row r="242" spans="54:91" ht="15" hidden="1" x14ac:dyDescent="0.25">
      <c r="BB242" s="432">
        <v>211</v>
      </c>
      <c r="BC242" s="432"/>
      <c r="BD242" s="432"/>
      <c r="BE242" s="216">
        <f>BE241-BE243</f>
        <v>10875.57603686636</v>
      </c>
      <c r="BF242" s="435">
        <f>BE242*0.2</f>
        <v>2175.1152073732719</v>
      </c>
      <c r="BG242" s="435"/>
      <c r="BH242" s="435"/>
      <c r="BI242" s="435"/>
      <c r="BJ242" s="435"/>
      <c r="BK242" s="436">
        <f>BE242-BF242</f>
        <v>8700.4608294930877</v>
      </c>
      <c r="BL242" s="445"/>
      <c r="BM242" s="445"/>
      <c r="BN242" s="445"/>
      <c r="BO242" s="445"/>
      <c r="BP242" s="445"/>
      <c r="BQ242" s="445"/>
      <c r="BZ242" s="840">
        <f>BF242*15/20-0.01</f>
        <v>1631.3264055299539</v>
      </c>
      <c r="CA242" s="841"/>
      <c r="CB242" s="841"/>
      <c r="CC242" s="841"/>
      <c r="CD242" s="841"/>
      <c r="CE242" s="841"/>
      <c r="CH242" s="840">
        <f>BF242*5/20+0.01</f>
        <v>543.78880184331797</v>
      </c>
      <c r="CI242" s="841"/>
      <c r="CJ242" s="841"/>
      <c r="CK242" s="841"/>
      <c r="CL242" s="841"/>
      <c r="CM242" s="841"/>
    </row>
    <row r="243" spans="54:91" ht="12" hidden="1" x14ac:dyDescent="0.2">
      <c r="BB243" s="432">
        <v>213</v>
      </c>
      <c r="BC243" s="432"/>
      <c r="BD243" s="432"/>
      <c r="BE243" s="216">
        <f>BE241*30.2/130.2</f>
        <v>3284.4239631336409</v>
      </c>
      <c r="BF243" s="435">
        <f>BF242*30.2%</f>
        <v>656.88479262672809</v>
      </c>
      <c r="BG243" s="435"/>
      <c r="BH243" s="435"/>
      <c r="BI243" s="435"/>
      <c r="BJ243" s="435"/>
      <c r="BK243" s="435">
        <f>BK242*30.2%</f>
        <v>2627.5391705069123</v>
      </c>
      <c r="BL243" s="435"/>
      <c r="BM243" s="435"/>
      <c r="BN243" s="435"/>
      <c r="BO243" s="435"/>
      <c r="BP243" s="435"/>
      <c r="BQ243" s="435"/>
    </row>
    <row r="244" spans="54:91" ht="12" hidden="1" x14ac:dyDescent="0.2">
      <c r="CE244" s="236"/>
    </row>
    <row r="245" spans="54:91" ht="8.25" hidden="1" customHeight="1" x14ac:dyDescent="0.2"/>
    <row r="246" spans="54:91" ht="8.25" hidden="1" customHeight="1" x14ac:dyDescent="0.2"/>
    <row r="247" spans="54:91" ht="8.25" hidden="1" customHeight="1" x14ac:dyDescent="0.2"/>
    <row r="248" spans="54:91" ht="12" hidden="1" x14ac:dyDescent="0.2">
      <c r="BB248" s="432" t="s">
        <v>400</v>
      </c>
      <c r="BC248" s="432"/>
      <c r="BD248" s="432"/>
      <c r="BE248" s="432"/>
      <c r="BF248" s="432"/>
      <c r="BG248" s="432"/>
      <c r="BH248" s="432"/>
      <c r="BI248" s="432"/>
      <c r="BJ248" s="432"/>
      <c r="BK248" s="432"/>
      <c r="BL248" s="432"/>
      <c r="BM248" s="432"/>
      <c r="BN248" s="432"/>
      <c r="BO248" s="432"/>
      <c r="BP248" s="432"/>
      <c r="BQ248" s="432"/>
      <c r="BR248" s="432"/>
      <c r="BS248" s="432"/>
      <c r="BT248" s="432"/>
      <c r="BU248" s="432"/>
      <c r="BV248" s="432"/>
      <c r="BW248" s="432"/>
      <c r="BX248" s="432"/>
    </row>
    <row r="249" spans="54:91" ht="12" hidden="1" x14ac:dyDescent="0.2">
      <c r="BB249" s="432" t="s">
        <v>126</v>
      </c>
      <c r="BC249" s="432"/>
      <c r="BD249" s="432"/>
      <c r="BE249" s="433">
        <f>200*104</f>
        <v>20800</v>
      </c>
      <c r="BF249" s="433"/>
      <c r="BG249" s="433"/>
      <c r="BH249" s="433"/>
      <c r="BI249" s="433"/>
      <c r="BJ249" s="247" t="s">
        <v>127</v>
      </c>
      <c r="BK249" s="247"/>
      <c r="BL249" s="247"/>
      <c r="BM249" s="247"/>
      <c r="BN249" s="247"/>
      <c r="BO249" s="247"/>
      <c r="BP249" s="247"/>
      <c r="BQ249" s="247"/>
    </row>
    <row r="250" spans="54:91" ht="15" hidden="1" x14ac:dyDescent="0.25">
      <c r="BB250" s="434">
        <v>0.6</v>
      </c>
      <c r="BC250" s="432"/>
      <c r="BD250" s="432"/>
      <c r="BE250" s="216">
        <f>BE249*BB250</f>
        <v>12480</v>
      </c>
      <c r="BF250" s="432" t="s">
        <v>128</v>
      </c>
      <c r="BG250" s="432"/>
      <c r="BH250" s="432"/>
      <c r="BI250" s="432"/>
      <c r="BJ250" s="432"/>
      <c r="BK250" s="432" t="s">
        <v>129</v>
      </c>
      <c r="BL250" s="432"/>
      <c r="BM250" s="432"/>
      <c r="BN250" s="432"/>
      <c r="BO250" s="432"/>
      <c r="BP250" s="432"/>
      <c r="BQ250" s="432"/>
      <c r="BZ250" s="432" t="s">
        <v>368</v>
      </c>
      <c r="CA250" s="443"/>
      <c r="CB250" s="443"/>
      <c r="CC250" s="443"/>
      <c r="CD250" s="443"/>
      <c r="CE250" s="443"/>
      <c r="CH250" s="432" t="s">
        <v>366</v>
      </c>
      <c r="CI250" s="443"/>
      <c r="CJ250" s="443"/>
      <c r="CK250" s="443"/>
      <c r="CL250" s="443"/>
      <c r="CM250" s="443"/>
    </row>
    <row r="251" spans="54:91" ht="15" hidden="1" x14ac:dyDescent="0.25">
      <c r="BB251" s="432">
        <v>211</v>
      </c>
      <c r="BC251" s="432"/>
      <c r="BD251" s="432"/>
      <c r="BE251" s="216">
        <f>BE250-BE252</f>
        <v>9585.2534562211986</v>
      </c>
      <c r="BF251" s="435">
        <f>BE251*0.2</f>
        <v>1917.0506912442397</v>
      </c>
      <c r="BG251" s="435"/>
      <c r="BH251" s="435"/>
      <c r="BI251" s="435"/>
      <c r="BJ251" s="435"/>
      <c r="BK251" s="436">
        <f>BE251-BF251</f>
        <v>7668.2027649769589</v>
      </c>
      <c r="BL251" s="445"/>
      <c r="BM251" s="445"/>
      <c r="BN251" s="445"/>
      <c r="BO251" s="445"/>
      <c r="BP251" s="445"/>
      <c r="BQ251" s="445"/>
      <c r="BZ251" s="840">
        <f>BF251*15/20</f>
        <v>1437.7880184331798</v>
      </c>
      <c r="CA251" s="841"/>
      <c r="CB251" s="841"/>
      <c r="CC251" s="841"/>
      <c r="CD251" s="841"/>
      <c r="CE251" s="841"/>
      <c r="CH251" s="840">
        <f>BF251*5/20</f>
        <v>479.26267281105993</v>
      </c>
      <c r="CI251" s="841"/>
      <c r="CJ251" s="841"/>
      <c r="CK251" s="841"/>
      <c r="CL251" s="841"/>
      <c r="CM251" s="841"/>
    </row>
    <row r="252" spans="54:91" ht="12" hidden="1" x14ac:dyDescent="0.2">
      <c r="BB252" s="432">
        <v>213</v>
      </c>
      <c r="BC252" s="432"/>
      <c r="BD252" s="432"/>
      <c r="BE252" s="216">
        <f>BE250*30.2/130.2</f>
        <v>2894.7465437788019</v>
      </c>
      <c r="BF252" s="435">
        <f>BF251*30.2%</f>
        <v>578.9493087557604</v>
      </c>
      <c r="BG252" s="435"/>
      <c r="BH252" s="435"/>
      <c r="BI252" s="435"/>
      <c r="BJ252" s="435"/>
      <c r="BK252" s="435">
        <f>BK251*30.2%</f>
        <v>2315.7972350230416</v>
      </c>
      <c r="BL252" s="435"/>
      <c r="BM252" s="435"/>
      <c r="BN252" s="435"/>
      <c r="BO252" s="435"/>
      <c r="BP252" s="435"/>
      <c r="BQ252" s="435"/>
    </row>
    <row r="253" spans="54:91" ht="12" hidden="1" x14ac:dyDescent="0.2">
      <c r="CE253" s="236"/>
    </row>
    <row r="254" spans="54:91" ht="8.25" hidden="1" customHeight="1" x14ac:dyDescent="0.2"/>
    <row r="255" spans="54:91" ht="8.25" hidden="1" customHeight="1" x14ac:dyDescent="0.2"/>
    <row r="256" spans="54:91" ht="12" hidden="1" x14ac:dyDescent="0.2">
      <c r="BB256" s="432" t="s">
        <v>398</v>
      </c>
      <c r="BC256" s="432"/>
      <c r="BD256" s="432"/>
      <c r="BE256" s="432"/>
      <c r="BF256" s="432"/>
      <c r="BG256" s="432"/>
      <c r="BH256" s="432"/>
      <c r="BI256" s="432"/>
      <c r="BJ256" s="432"/>
      <c r="BK256" s="432"/>
      <c r="BL256" s="432"/>
      <c r="BM256" s="432"/>
      <c r="BN256" s="432"/>
      <c r="BO256" s="432"/>
      <c r="BP256" s="432"/>
      <c r="BQ256" s="432"/>
      <c r="BR256" s="432"/>
      <c r="BS256" s="432"/>
      <c r="BT256" s="432"/>
      <c r="BU256" s="432"/>
      <c r="BV256" s="432"/>
      <c r="BW256" s="432"/>
      <c r="BX256" s="432"/>
    </row>
    <row r="257" spans="54:91" ht="12" hidden="1" x14ac:dyDescent="0.2">
      <c r="BB257" s="432" t="s">
        <v>126</v>
      </c>
      <c r="BC257" s="432"/>
      <c r="BD257" s="432"/>
      <c r="BE257" s="433">
        <f>200*153</f>
        <v>30600</v>
      </c>
      <c r="BF257" s="433"/>
      <c r="BG257" s="433"/>
      <c r="BH257" s="433"/>
      <c r="BI257" s="433"/>
      <c r="BJ257" s="247" t="s">
        <v>127</v>
      </c>
      <c r="BK257" s="247"/>
      <c r="BL257" s="247"/>
      <c r="BM257" s="247"/>
      <c r="BN257" s="247"/>
      <c r="BO257" s="247"/>
      <c r="BP257" s="247"/>
      <c r="BQ257" s="247"/>
    </row>
    <row r="258" spans="54:91" ht="15" hidden="1" x14ac:dyDescent="0.25">
      <c r="BB258" s="434">
        <v>0.6</v>
      </c>
      <c r="BC258" s="432"/>
      <c r="BD258" s="432"/>
      <c r="BE258" s="216">
        <f>BE257*BB258</f>
        <v>18360</v>
      </c>
      <c r="BF258" s="432" t="s">
        <v>128</v>
      </c>
      <c r="BG258" s="432"/>
      <c r="BH258" s="432"/>
      <c r="BI258" s="432"/>
      <c r="BJ258" s="432"/>
      <c r="BK258" s="432" t="s">
        <v>129</v>
      </c>
      <c r="BL258" s="432"/>
      <c r="BM258" s="432"/>
      <c r="BN258" s="432"/>
      <c r="BO258" s="432"/>
      <c r="BP258" s="432"/>
      <c r="BQ258" s="432"/>
      <c r="BZ258" s="432" t="s">
        <v>368</v>
      </c>
      <c r="CA258" s="443"/>
      <c r="CB258" s="443"/>
      <c r="CC258" s="443"/>
      <c r="CD258" s="443"/>
      <c r="CE258" s="443"/>
      <c r="CH258" s="432" t="s">
        <v>366</v>
      </c>
      <c r="CI258" s="443"/>
      <c r="CJ258" s="443"/>
      <c r="CK258" s="443"/>
      <c r="CL258" s="443"/>
      <c r="CM258" s="443"/>
    </row>
    <row r="259" spans="54:91" ht="15" hidden="1" x14ac:dyDescent="0.25">
      <c r="BB259" s="432">
        <v>211</v>
      </c>
      <c r="BC259" s="432"/>
      <c r="BD259" s="432"/>
      <c r="BE259" s="216">
        <f>BE258-BE260</f>
        <v>14101.382488479263</v>
      </c>
      <c r="BF259" s="435">
        <f>BE259*0.2</f>
        <v>2820.2764976958529</v>
      </c>
      <c r="BG259" s="435"/>
      <c r="BH259" s="435"/>
      <c r="BI259" s="435"/>
      <c r="BJ259" s="435"/>
      <c r="BK259" s="436">
        <f>BE259-BF259</f>
        <v>11281.10599078341</v>
      </c>
      <c r="BL259" s="445"/>
      <c r="BM259" s="445"/>
      <c r="BN259" s="445"/>
      <c r="BO259" s="445"/>
      <c r="BP259" s="445"/>
      <c r="BQ259" s="445"/>
      <c r="BZ259" s="840">
        <f>BF259*15/20</f>
        <v>2115.20737327189</v>
      </c>
      <c r="CA259" s="841"/>
      <c r="CB259" s="841"/>
      <c r="CC259" s="841"/>
      <c r="CD259" s="841"/>
      <c r="CE259" s="841"/>
      <c r="CH259" s="840">
        <f>BF259*5/20</f>
        <v>705.06912442396322</v>
      </c>
      <c r="CI259" s="841"/>
      <c r="CJ259" s="841"/>
      <c r="CK259" s="841"/>
      <c r="CL259" s="841"/>
      <c r="CM259" s="841"/>
    </row>
    <row r="260" spans="54:91" ht="12" hidden="1" x14ac:dyDescent="0.2">
      <c r="BB260" s="432">
        <v>213</v>
      </c>
      <c r="BC260" s="432"/>
      <c r="BD260" s="432"/>
      <c r="BE260" s="216">
        <f>BE258*30.2/130.2</f>
        <v>4258.6175115207379</v>
      </c>
      <c r="BF260" s="435">
        <f>BF259*30.2%</f>
        <v>851.72350230414759</v>
      </c>
      <c r="BG260" s="435"/>
      <c r="BH260" s="435"/>
      <c r="BI260" s="435"/>
      <c r="BJ260" s="435"/>
      <c r="BK260" s="435">
        <f>BK259*30.2%</f>
        <v>3406.8940092165894</v>
      </c>
      <c r="BL260" s="435"/>
      <c r="BM260" s="435"/>
      <c r="BN260" s="435"/>
      <c r="BO260" s="435"/>
      <c r="BP260" s="435"/>
      <c r="BQ260" s="435"/>
    </row>
    <row r="261" spans="54:91" ht="12" hidden="1" x14ac:dyDescent="0.2">
      <c r="CE261" s="236"/>
    </row>
    <row r="262" spans="54:91" ht="8.25" hidden="1" customHeight="1" x14ac:dyDescent="0.2"/>
    <row r="263" spans="54:91" ht="8.25" hidden="1" customHeight="1" x14ac:dyDescent="0.2"/>
    <row r="264" spans="54:91" ht="8.25" hidden="1" customHeight="1" x14ac:dyDescent="0.2"/>
    <row r="265" spans="54:91" ht="8.25" hidden="1" customHeight="1" x14ac:dyDescent="0.2"/>
    <row r="266" spans="54:91" ht="8.25" hidden="1" customHeight="1" x14ac:dyDescent="0.2"/>
    <row r="267" spans="54:91" ht="12" hidden="1" x14ac:dyDescent="0.2">
      <c r="BE267" s="252">
        <f>BF167+BF175+BF182+BF189+BF196+CH204+CH211+CH219+CH226+CH234+CH242+CH251+CH259</f>
        <v>6124.4239631336413</v>
      </c>
    </row>
    <row r="268" spans="54:91" ht="8.25" hidden="1" customHeight="1" x14ac:dyDescent="0.2"/>
    <row r="269" spans="54:91" ht="8.25" hidden="1" customHeight="1" x14ac:dyDescent="0.2"/>
    <row r="270" spans="54:91" ht="12" hidden="1" x14ac:dyDescent="0.2">
      <c r="BB270" s="432" t="s">
        <v>414</v>
      </c>
      <c r="BC270" s="432"/>
      <c r="BD270" s="432"/>
      <c r="BE270" s="432"/>
      <c r="BF270" s="432"/>
      <c r="BG270" s="432"/>
      <c r="BH270" s="432"/>
      <c r="BI270" s="432"/>
      <c r="BJ270" s="432"/>
      <c r="BK270" s="432"/>
      <c r="BL270" s="432"/>
      <c r="BM270" s="432"/>
      <c r="BN270" s="432"/>
      <c r="BO270" s="432"/>
      <c r="BP270" s="432"/>
      <c r="BQ270" s="432"/>
      <c r="BR270" s="432"/>
      <c r="BS270" s="432"/>
      <c r="BT270" s="432"/>
      <c r="BU270" s="432"/>
      <c r="BV270" s="432"/>
      <c r="BW270" s="432"/>
      <c r="BX270" s="432"/>
    </row>
    <row r="271" spans="54:91" ht="12" hidden="1" x14ac:dyDescent="0.2">
      <c r="BB271" s="432" t="s">
        <v>126</v>
      </c>
      <c r="BC271" s="432"/>
      <c r="BD271" s="432"/>
      <c r="BE271" s="433">
        <f>200*52</f>
        <v>10400</v>
      </c>
      <c r="BF271" s="433"/>
      <c r="BG271" s="433"/>
      <c r="BH271" s="433"/>
      <c r="BI271" s="433"/>
      <c r="BJ271" s="250" t="s">
        <v>127</v>
      </c>
      <c r="BK271" s="250"/>
      <c r="BL271" s="250"/>
      <c r="BM271" s="250"/>
      <c r="BN271" s="250"/>
      <c r="BO271" s="250"/>
      <c r="BP271" s="250"/>
      <c r="BQ271" s="250"/>
    </row>
    <row r="272" spans="54:91" ht="15" hidden="1" x14ac:dyDescent="0.25">
      <c r="BB272" s="434">
        <v>0.6</v>
      </c>
      <c r="BC272" s="432"/>
      <c r="BD272" s="432"/>
      <c r="BE272" s="216">
        <f>BE271*BB272</f>
        <v>6240</v>
      </c>
      <c r="BF272" s="432" t="s">
        <v>128</v>
      </c>
      <c r="BG272" s="432"/>
      <c r="BH272" s="432"/>
      <c r="BI272" s="432"/>
      <c r="BJ272" s="432"/>
      <c r="BK272" s="432" t="s">
        <v>129</v>
      </c>
      <c r="BL272" s="432"/>
      <c r="BM272" s="432"/>
      <c r="BN272" s="432"/>
      <c r="BO272" s="432"/>
      <c r="BP272" s="432"/>
      <c r="BQ272" s="432"/>
      <c r="BZ272" s="432" t="s">
        <v>368</v>
      </c>
      <c r="CA272" s="443"/>
      <c r="CB272" s="443"/>
      <c r="CC272" s="443"/>
      <c r="CD272" s="443"/>
      <c r="CE272" s="443"/>
      <c r="CH272" s="432" t="s">
        <v>366</v>
      </c>
      <c r="CI272" s="443"/>
      <c r="CJ272" s="443"/>
      <c r="CK272" s="443"/>
      <c r="CL272" s="443"/>
      <c r="CM272" s="443"/>
    </row>
    <row r="273" spans="54:91" ht="15" hidden="1" x14ac:dyDescent="0.25">
      <c r="BB273" s="432">
        <v>211</v>
      </c>
      <c r="BC273" s="432"/>
      <c r="BD273" s="432"/>
      <c r="BE273" s="216">
        <f>BE272-BE274</f>
        <v>4792.6267281105993</v>
      </c>
      <c r="BF273" s="435">
        <f>BE273*0.2</f>
        <v>958.52534562211986</v>
      </c>
      <c r="BG273" s="435"/>
      <c r="BH273" s="435"/>
      <c r="BI273" s="435"/>
      <c r="BJ273" s="435"/>
      <c r="BK273" s="436">
        <f>BE273-BF273</f>
        <v>3834.1013824884794</v>
      </c>
      <c r="BL273" s="445"/>
      <c r="BM273" s="445"/>
      <c r="BN273" s="445"/>
      <c r="BO273" s="445"/>
      <c r="BP273" s="445"/>
      <c r="BQ273" s="445"/>
      <c r="BZ273" s="840">
        <f>BF273*15/20</f>
        <v>718.89400921658989</v>
      </c>
      <c r="CA273" s="841"/>
      <c r="CB273" s="841"/>
      <c r="CC273" s="841"/>
      <c r="CD273" s="841"/>
      <c r="CE273" s="841"/>
      <c r="CH273" s="840">
        <f>BF273*5/20</f>
        <v>239.63133640552996</v>
      </c>
      <c r="CI273" s="841"/>
      <c r="CJ273" s="841"/>
      <c r="CK273" s="841"/>
      <c r="CL273" s="841"/>
      <c r="CM273" s="841"/>
    </row>
    <row r="274" spans="54:91" ht="12" hidden="1" x14ac:dyDescent="0.2">
      <c r="BB274" s="432">
        <v>213</v>
      </c>
      <c r="BC274" s="432"/>
      <c r="BD274" s="432"/>
      <c r="BE274" s="216">
        <f>BE272*30.2/130.2</f>
        <v>1447.3732718894009</v>
      </c>
      <c r="BF274" s="435">
        <f>BF273*30.2%</f>
        <v>289.4746543778802</v>
      </c>
      <c r="BG274" s="435"/>
      <c r="BH274" s="435"/>
      <c r="BI274" s="435"/>
      <c r="BJ274" s="435"/>
      <c r="BK274" s="435">
        <f>BK273*30.2%</f>
        <v>1157.8986175115208</v>
      </c>
      <c r="BL274" s="435"/>
      <c r="BM274" s="435"/>
      <c r="BN274" s="435"/>
      <c r="BO274" s="435"/>
      <c r="BP274" s="435"/>
      <c r="BQ274" s="435"/>
    </row>
    <row r="275" spans="54:91" ht="12" hidden="1" x14ac:dyDescent="0.2">
      <c r="CE275" s="236"/>
    </row>
    <row r="276" spans="54:91" ht="8.25" hidden="1" customHeight="1" x14ac:dyDescent="0.2"/>
    <row r="277" spans="54:91" ht="8.25" hidden="1" customHeight="1" x14ac:dyDescent="0.2"/>
    <row r="278" spans="54:91" ht="12" hidden="1" x14ac:dyDescent="0.2">
      <c r="BB278" s="432" t="s">
        <v>437</v>
      </c>
      <c r="BC278" s="432"/>
      <c r="BD278" s="432"/>
      <c r="BE278" s="432"/>
      <c r="BF278" s="432"/>
      <c r="BG278" s="432"/>
      <c r="BH278" s="432"/>
      <c r="BI278" s="432"/>
      <c r="BJ278" s="432"/>
      <c r="BK278" s="432"/>
      <c r="BL278" s="432"/>
      <c r="BM278" s="432"/>
      <c r="BN278" s="432"/>
      <c r="BO278" s="432"/>
      <c r="BP278" s="432"/>
      <c r="BQ278" s="432"/>
      <c r="BR278" s="432"/>
      <c r="BS278" s="432"/>
      <c r="BT278" s="432"/>
      <c r="BU278" s="432"/>
      <c r="BV278" s="432"/>
      <c r="BW278" s="432"/>
      <c r="BX278" s="432"/>
    </row>
    <row r="279" spans="54:91" ht="12" hidden="1" x14ac:dyDescent="0.2">
      <c r="BB279" s="432" t="s">
        <v>126</v>
      </c>
      <c r="BC279" s="432"/>
      <c r="BD279" s="432"/>
      <c r="BE279" s="433">
        <f>200*6</f>
        <v>1200</v>
      </c>
      <c r="BF279" s="433"/>
      <c r="BG279" s="433"/>
      <c r="BH279" s="433"/>
      <c r="BI279" s="433"/>
      <c r="BJ279" s="250" t="s">
        <v>127</v>
      </c>
      <c r="BK279" s="250"/>
      <c r="BL279" s="250"/>
      <c r="BM279" s="250"/>
      <c r="BN279" s="250"/>
      <c r="BO279" s="250"/>
      <c r="BP279" s="250"/>
      <c r="BQ279" s="250"/>
    </row>
    <row r="280" spans="54:91" ht="15" hidden="1" x14ac:dyDescent="0.25">
      <c r="BB280" s="434">
        <v>0.6</v>
      </c>
      <c r="BC280" s="432"/>
      <c r="BD280" s="432"/>
      <c r="BE280" s="216">
        <f>BE279*BB280</f>
        <v>720</v>
      </c>
      <c r="BF280" s="432" t="s">
        <v>128</v>
      </c>
      <c r="BG280" s="432"/>
      <c r="BH280" s="432"/>
      <c r="BI280" s="432"/>
      <c r="BJ280" s="432"/>
      <c r="BK280" s="432" t="s">
        <v>129</v>
      </c>
      <c r="BL280" s="432"/>
      <c r="BM280" s="432"/>
      <c r="BN280" s="432"/>
      <c r="BO280" s="432"/>
      <c r="BP280" s="432"/>
      <c r="BQ280" s="432"/>
      <c r="BZ280" s="432" t="s">
        <v>368</v>
      </c>
      <c r="CA280" s="443"/>
      <c r="CB280" s="443"/>
      <c r="CC280" s="443"/>
      <c r="CD280" s="443"/>
      <c r="CE280" s="443"/>
      <c r="CH280" s="432" t="s">
        <v>366</v>
      </c>
      <c r="CI280" s="443"/>
      <c r="CJ280" s="443"/>
      <c r="CK280" s="443"/>
      <c r="CL280" s="443"/>
      <c r="CM280" s="443"/>
    </row>
    <row r="281" spans="54:91" ht="15" hidden="1" x14ac:dyDescent="0.25">
      <c r="BB281" s="432">
        <v>211</v>
      </c>
      <c r="BC281" s="432"/>
      <c r="BD281" s="432"/>
      <c r="BE281" s="216">
        <f>BE280-BE282</f>
        <v>552.9953917050691</v>
      </c>
      <c r="BF281" s="435">
        <f>BE281*0.2</f>
        <v>110.59907834101382</v>
      </c>
      <c r="BG281" s="435"/>
      <c r="BH281" s="435"/>
      <c r="BI281" s="435"/>
      <c r="BJ281" s="435"/>
      <c r="BK281" s="436">
        <f>BE281-BF281</f>
        <v>442.39631336405529</v>
      </c>
      <c r="BL281" s="445"/>
      <c r="BM281" s="445"/>
      <c r="BN281" s="445"/>
      <c r="BO281" s="445"/>
      <c r="BP281" s="445"/>
      <c r="BQ281" s="445"/>
      <c r="BZ281" s="840">
        <f>BF281*15/20</f>
        <v>82.94930875576037</v>
      </c>
      <c r="CA281" s="841"/>
      <c r="CB281" s="841"/>
      <c r="CC281" s="841"/>
      <c r="CD281" s="841"/>
      <c r="CE281" s="841"/>
      <c r="CH281" s="840">
        <f>BF281*5/20</f>
        <v>27.649769585253456</v>
      </c>
      <c r="CI281" s="841"/>
      <c r="CJ281" s="841"/>
      <c r="CK281" s="841"/>
      <c r="CL281" s="841"/>
      <c r="CM281" s="841"/>
    </row>
    <row r="282" spans="54:91" ht="12" hidden="1" x14ac:dyDescent="0.2">
      <c r="BB282" s="432">
        <v>213</v>
      </c>
      <c r="BC282" s="432"/>
      <c r="BD282" s="432"/>
      <c r="BE282" s="216">
        <f>BE280*30.2/130.2</f>
        <v>167.0046082949309</v>
      </c>
      <c r="BF282" s="435">
        <f>BF281*30.2%</f>
        <v>33.400921658986171</v>
      </c>
      <c r="BG282" s="435"/>
      <c r="BH282" s="435"/>
      <c r="BI282" s="435"/>
      <c r="BJ282" s="435"/>
      <c r="BK282" s="435">
        <f>BK281*30.2%</f>
        <v>133.60368663594468</v>
      </c>
      <c r="BL282" s="435"/>
      <c r="BM282" s="435"/>
      <c r="BN282" s="435"/>
      <c r="BO282" s="435"/>
      <c r="BP282" s="435"/>
      <c r="BQ282" s="435"/>
    </row>
    <row r="283" spans="54:91" ht="12" hidden="1" x14ac:dyDescent="0.2">
      <c r="CE283" s="236"/>
    </row>
    <row r="284" spans="54:91" ht="8.25" hidden="1" customHeight="1" x14ac:dyDescent="0.2"/>
    <row r="285" spans="54:91" ht="12" hidden="1" x14ac:dyDescent="0.2">
      <c r="BB285" s="432" t="s">
        <v>455</v>
      </c>
      <c r="BC285" s="432"/>
      <c r="BD285" s="432"/>
      <c r="BE285" s="432"/>
      <c r="BF285" s="432"/>
      <c r="BG285" s="432"/>
      <c r="BH285" s="432"/>
      <c r="BI285" s="432"/>
      <c r="BJ285" s="432"/>
      <c r="BK285" s="432"/>
      <c r="BL285" s="432"/>
      <c r="BM285" s="432"/>
      <c r="BN285" s="432"/>
      <c r="BO285" s="432"/>
      <c r="BP285" s="432"/>
      <c r="BQ285" s="432"/>
      <c r="BR285" s="432"/>
      <c r="BS285" s="432"/>
      <c r="BT285" s="432"/>
      <c r="BU285" s="432"/>
      <c r="BV285" s="432"/>
      <c r="BW285" s="432"/>
      <c r="BX285" s="432"/>
    </row>
    <row r="286" spans="54:91" ht="12" hidden="1" x14ac:dyDescent="0.2">
      <c r="BB286" s="432" t="s">
        <v>126</v>
      </c>
      <c r="BC286" s="432"/>
      <c r="BD286" s="432"/>
      <c r="BE286" s="433">
        <f>200*35</f>
        <v>7000</v>
      </c>
      <c r="BF286" s="433"/>
      <c r="BG286" s="433"/>
      <c r="BH286" s="433"/>
      <c r="BI286" s="433"/>
      <c r="BJ286" s="284" t="s">
        <v>127</v>
      </c>
      <c r="BK286" s="284"/>
      <c r="BL286" s="284"/>
      <c r="BM286" s="284"/>
      <c r="BN286" s="284"/>
      <c r="BO286" s="284"/>
      <c r="BP286" s="284"/>
      <c r="BQ286" s="284"/>
    </row>
    <row r="287" spans="54:91" ht="15" hidden="1" x14ac:dyDescent="0.25">
      <c r="BB287" s="434">
        <v>0.6</v>
      </c>
      <c r="BC287" s="432"/>
      <c r="BD287" s="432"/>
      <c r="BE287" s="216">
        <f>BE286*BB287</f>
        <v>4200</v>
      </c>
      <c r="BF287" s="432" t="s">
        <v>128</v>
      </c>
      <c r="BG287" s="432"/>
      <c r="BH287" s="432"/>
      <c r="BI287" s="432"/>
      <c r="BJ287" s="432"/>
      <c r="BK287" s="432" t="s">
        <v>129</v>
      </c>
      <c r="BL287" s="432"/>
      <c r="BM287" s="432"/>
      <c r="BN287" s="432"/>
      <c r="BO287" s="432"/>
      <c r="BP287" s="432"/>
      <c r="BQ287" s="432"/>
      <c r="BZ287" s="432" t="s">
        <v>368</v>
      </c>
      <c r="CA287" s="443"/>
      <c r="CB287" s="443"/>
      <c r="CC287" s="443"/>
      <c r="CD287" s="443"/>
      <c r="CE287" s="443"/>
      <c r="CH287" s="432" t="s">
        <v>366</v>
      </c>
      <c r="CI287" s="443"/>
      <c r="CJ287" s="443"/>
      <c r="CK287" s="443"/>
      <c r="CL287" s="443"/>
      <c r="CM287" s="443"/>
    </row>
    <row r="288" spans="54:91" ht="15" hidden="1" x14ac:dyDescent="0.25">
      <c r="BB288" s="432">
        <v>211</v>
      </c>
      <c r="BC288" s="432"/>
      <c r="BD288" s="432"/>
      <c r="BE288" s="216">
        <f>BE287-BE289</f>
        <v>3225.8064516129034</v>
      </c>
      <c r="BF288" s="435">
        <f>BE288*0.2</f>
        <v>645.16129032258073</v>
      </c>
      <c r="BG288" s="435"/>
      <c r="BH288" s="435"/>
      <c r="BI288" s="435"/>
      <c r="BJ288" s="435"/>
      <c r="BK288" s="436">
        <f>BE288-BF288</f>
        <v>2580.6451612903229</v>
      </c>
      <c r="BL288" s="445"/>
      <c r="BM288" s="445"/>
      <c r="BN288" s="445"/>
      <c r="BO288" s="445"/>
      <c r="BP288" s="445"/>
      <c r="BQ288" s="445"/>
      <c r="BZ288" s="840">
        <f>BF288*15/20</f>
        <v>483.87096774193549</v>
      </c>
      <c r="CA288" s="841"/>
      <c r="CB288" s="841"/>
      <c r="CC288" s="841"/>
      <c r="CD288" s="841"/>
      <c r="CE288" s="841"/>
      <c r="CH288" s="840">
        <f>BF288*5/20</f>
        <v>161.29032258064518</v>
      </c>
      <c r="CI288" s="841"/>
      <c r="CJ288" s="841"/>
      <c r="CK288" s="841"/>
      <c r="CL288" s="841"/>
      <c r="CM288" s="841"/>
    </row>
    <row r="289" spans="54:91" ht="12" hidden="1" x14ac:dyDescent="0.2">
      <c r="BB289" s="432">
        <v>213</v>
      </c>
      <c r="BC289" s="432"/>
      <c r="BD289" s="432"/>
      <c r="BE289" s="216">
        <f>BE287*30.2/130.2</f>
        <v>974.19354838709683</v>
      </c>
      <c r="BF289" s="435">
        <f>BF288*30.2%</f>
        <v>194.83870967741936</v>
      </c>
      <c r="BG289" s="435"/>
      <c r="BH289" s="435"/>
      <c r="BI289" s="435"/>
      <c r="BJ289" s="435"/>
      <c r="BK289" s="435">
        <f>BK288*30.2%</f>
        <v>779.35483870967744</v>
      </c>
      <c r="BL289" s="435"/>
      <c r="BM289" s="435"/>
      <c r="BN289" s="435"/>
      <c r="BO289" s="435"/>
      <c r="BP289" s="435"/>
      <c r="BQ289" s="435"/>
    </row>
    <row r="290" spans="54:91" ht="8.25" hidden="1" customHeight="1" x14ac:dyDescent="0.2"/>
    <row r="291" spans="54:91" ht="8.25" hidden="1" customHeight="1" x14ac:dyDescent="0.2"/>
    <row r="292" spans="54:91" ht="12" hidden="1" x14ac:dyDescent="0.2">
      <c r="BB292" s="432" t="s">
        <v>443</v>
      </c>
      <c r="BC292" s="432"/>
      <c r="BD292" s="432"/>
      <c r="BE292" s="432"/>
      <c r="BF292" s="432"/>
      <c r="BG292" s="432"/>
      <c r="BH292" s="432"/>
      <c r="BI292" s="432"/>
      <c r="BJ292" s="432"/>
      <c r="BK292" s="432"/>
      <c r="BL292" s="432"/>
      <c r="BM292" s="432"/>
      <c r="BN292" s="432"/>
      <c r="BO292" s="432"/>
      <c r="BP292" s="432"/>
      <c r="BQ292" s="432"/>
      <c r="BR292" s="432"/>
      <c r="BS292" s="432"/>
      <c r="BT292" s="432"/>
      <c r="BU292" s="432"/>
      <c r="BV292" s="432"/>
      <c r="BW292" s="432"/>
      <c r="BX292" s="432"/>
    </row>
    <row r="293" spans="54:91" ht="12" hidden="1" x14ac:dyDescent="0.2">
      <c r="BB293" s="432" t="s">
        <v>126</v>
      </c>
      <c r="BC293" s="432"/>
      <c r="BD293" s="432"/>
      <c r="BE293" s="433">
        <f>200*66</f>
        <v>13200</v>
      </c>
      <c r="BF293" s="433"/>
      <c r="BG293" s="433"/>
      <c r="BH293" s="433"/>
      <c r="BI293" s="433"/>
      <c r="BJ293" s="284" t="s">
        <v>127</v>
      </c>
      <c r="BK293" s="284"/>
      <c r="BL293" s="284"/>
      <c r="BM293" s="284"/>
      <c r="BN293" s="284"/>
      <c r="BO293" s="284"/>
      <c r="BP293" s="284"/>
      <c r="BQ293" s="284"/>
    </row>
    <row r="294" spans="54:91" ht="15" hidden="1" x14ac:dyDescent="0.25">
      <c r="BB294" s="434">
        <v>0.6</v>
      </c>
      <c r="BC294" s="432"/>
      <c r="BD294" s="432"/>
      <c r="BE294" s="216">
        <f>BE293*BB294</f>
        <v>7920</v>
      </c>
      <c r="BF294" s="432" t="s">
        <v>128</v>
      </c>
      <c r="BG294" s="432"/>
      <c r="BH294" s="432"/>
      <c r="BI294" s="432"/>
      <c r="BJ294" s="432"/>
      <c r="BK294" s="432" t="s">
        <v>129</v>
      </c>
      <c r="BL294" s="432"/>
      <c r="BM294" s="432"/>
      <c r="BN294" s="432"/>
      <c r="BO294" s="432"/>
      <c r="BP294" s="432"/>
      <c r="BQ294" s="432"/>
      <c r="BZ294" s="432" t="s">
        <v>368</v>
      </c>
      <c r="CA294" s="443"/>
      <c r="CB294" s="443"/>
      <c r="CC294" s="443"/>
      <c r="CD294" s="443"/>
      <c r="CE294" s="443"/>
      <c r="CH294" s="432" t="s">
        <v>366</v>
      </c>
      <c r="CI294" s="443"/>
      <c r="CJ294" s="443"/>
      <c r="CK294" s="443"/>
      <c r="CL294" s="443"/>
      <c r="CM294" s="443"/>
    </row>
    <row r="295" spans="54:91" ht="15" hidden="1" x14ac:dyDescent="0.25">
      <c r="BB295" s="432">
        <v>211</v>
      </c>
      <c r="BC295" s="432"/>
      <c r="BD295" s="432"/>
      <c r="BE295" s="216">
        <f>BE294-BE296</f>
        <v>6082.9493087557603</v>
      </c>
      <c r="BF295" s="435">
        <f>BE295*0.2</f>
        <v>1216.5898617511521</v>
      </c>
      <c r="BG295" s="435"/>
      <c r="BH295" s="435"/>
      <c r="BI295" s="435"/>
      <c r="BJ295" s="435"/>
      <c r="BK295" s="436">
        <f>BE295-BF295</f>
        <v>4866.3594470046082</v>
      </c>
      <c r="BL295" s="445"/>
      <c r="BM295" s="445"/>
      <c r="BN295" s="445"/>
      <c r="BO295" s="445"/>
      <c r="BP295" s="445"/>
      <c r="BQ295" s="445"/>
      <c r="BZ295" s="840">
        <f>BF295*15/20</f>
        <v>912.44239631336404</v>
      </c>
      <c r="CA295" s="841"/>
      <c r="CB295" s="841"/>
      <c r="CC295" s="841"/>
      <c r="CD295" s="841"/>
      <c r="CE295" s="841"/>
      <c r="CH295" s="840">
        <f>BF295*5/20</f>
        <v>304.14746543778801</v>
      </c>
      <c r="CI295" s="841"/>
      <c r="CJ295" s="841"/>
      <c r="CK295" s="841"/>
      <c r="CL295" s="841"/>
      <c r="CM295" s="841"/>
    </row>
    <row r="296" spans="54:91" ht="12" hidden="1" x14ac:dyDescent="0.2">
      <c r="BB296" s="432">
        <v>213</v>
      </c>
      <c r="BC296" s="432"/>
      <c r="BD296" s="432"/>
      <c r="BE296" s="216">
        <f>BE294*30.2/130.2</f>
        <v>1837.0506912442397</v>
      </c>
      <c r="BF296" s="435">
        <f>BF295*30.2%</f>
        <v>367.41013824884789</v>
      </c>
      <c r="BG296" s="435"/>
      <c r="BH296" s="435"/>
      <c r="BI296" s="435"/>
      <c r="BJ296" s="435"/>
      <c r="BK296" s="435">
        <f>BK295*30.2%</f>
        <v>1469.6405529953915</v>
      </c>
      <c r="BL296" s="435"/>
      <c r="BM296" s="435"/>
      <c r="BN296" s="435"/>
      <c r="BO296" s="435"/>
      <c r="BP296" s="435"/>
      <c r="BQ296" s="435"/>
    </row>
    <row r="297" spans="54:91" ht="8.25" hidden="1" customHeight="1" x14ac:dyDescent="0.2">
      <c r="CE297" s="236"/>
    </row>
    <row r="298" spans="54:91" ht="8.25" hidden="1" customHeight="1" x14ac:dyDescent="0.2"/>
    <row r="299" spans="54:91" ht="12" hidden="1" x14ac:dyDescent="0.2">
      <c r="BB299" s="432" t="s">
        <v>456</v>
      </c>
      <c r="BC299" s="432"/>
      <c r="BD299" s="432"/>
      <c r="BE299" s="432"/>
      <c r="BF299" s="432"/>
      <c r="BG299" s="432"/>
      <c r="BH299" s="432"/>
      <c r="BI299" s="432"/>
      <c r="BJ299" s="432"/>
      <c r="BK299" s="432"/>
      <c r="BL299" s="432"/>
      <c r="BM299" s="432"/>
      <c r="BN299" s="432"/>
      <c r="BO299" s="432"/>
      <c r="BP299" s="432"/>
      <c r="BQ299" s="432"/>
      <c r="BR299" s="432"/>
      <c r="BS299" s="432"/>
      <c r="BT299" s="432"/>
      <c r="BU299" s="432"/>
      <c r="BV299" s="432"/>
      <c r="BW299" s="432"/>
      <c r="BX299" s="432"/>
    </row>
    <row r="300" spans="54:91" ht="12" hidden="1" x14ac:dyDescent="0.2">
      <c r="BB300" s="432" t="s">
        <v>126</v>
      </c>
      <c r="BC300" s="432"/>
      <c r="BD300" s="432"/>
      <c r="BE300" s="433">
        <f>200*54</f>
        <v>10800</v>
      </c>
      <c r="BF300" s="433"/>
      <c r="BG300" s="433"/>
      <c r="BH300" s="433"/>
      <c r="BI300" s="433"/>
      <c r="BJ300" s="289" t="s">
        <v>127</v>
      </c>
      <c r="BK300" s="289"/>
      <c r="BL300" s="289"/>
      <c r="BM300" s="289"/>
      <c r="BN300" s="289"/>
      <c r="BO300" s="289"/>
      <c r="BP300" s="289"/>
      <c r="BQ300" s="289"/>
    </row>
    <row r="301" spans="54:91" ht="15" hidden="1" x14ac:dyDescent="0.25">
      <c r="BB301" s="434">
        <v>0.6</v>
      </c>
      <c r="BC301" s="432"/>
      <c r="BD301" s="432"/>
      <c r="BE301" s="216">
        <f>BE300*BB301</f>
        <v>6480</v>
      </c>
      <c r="BF301" s="432" t="s">
        <v>128</v>
      </c>
      <c r="BG301" s="432"/>
      <c r="BH301" s="432"/>
      <c r="BI301" s="432"/>
      <c r="BJ301" s="432"/>
      <c r="BK301" s="432" t="s">
        <v>129</v>
      </c>
      <c r="BL301" s="432"/>
      <c r="BM301" s="432"/>
      <c r="BN301" s="432"/>
      <c r="BO301" s="432"/>
      <c r="BP301" s="432"/>
      <c r="BQ301" s="432"/>
      <c r="BZ301" s="432" t="s">
        <v>368</v>
      </c>
      <c r="CA301" s="443"/>
      <c r="CB301" s="443"/>
      <c r="CC301" s="443"/>
      <c r="CD301" s="443"/>
      <c r="CE301" s="443"/>
      <c r="CH301" s="432" t="s">
        <v>366</v>
      </c>
      <c r="CI301" s="443"/>
      <c r="CJ301" s="443"/>
      <c r="CK301" s="443"/>
      <c r="CL301" s="443"/>
      <c r="CM301" s="443"/>
    </row>
    <row r="302" spans="54:91" ht="15" hidden="1" x14ac:dyDescent="0.25">
      <c r="BB302" s="432">
        <v>211</v>
      </c>
      <c r="BC302" s="432"/>
      <c r="BD302" s="432"/>
      <c r="BE302" s="216">
        <f>BE301-BE303</f>
        <v>4976.9585253456225</v>
      </c>
      <c r="BF302" s="435">
        <f>BE302*0.2</f>
        <v>995.39170506912455</v>
      </c>
      <c r="BG302" s="435"/>
      <c r="BH302" s="435"/>
      <c r="BI302" s="435"/>
      <c r="BJ302" s="435"/>
      <c r="BK302" s="436">
        <f>BE302-BF302</f>
        <v>3981.5668202764982</v>
      </c>
      <c r="BL302" s="445"/>
      <c r="BM302" s="445"/>
      <c r="BN302" s="445"/>
      <c r="BO302" s="445"/>
      <c r="BP302" s="445"/>
      <c r="BQ302" s="445"/>
      <c r="BZ302" s="840">
        <f>BF302*15/20</f>
        <v>746.54377880184336</v>
      </c>
      <c r="CA302" s="841"/>
      <c r="CB302" s="841"/>
      <c r="CC302" s="841"/>
      <c r="CD302" s="841"/>
      <c r="CE302" s="841"/>
      <c r="CH302" s="840">
        <f>BF302*5/20</f>
        <v>248.84792626728114</v>
      </c>
      <c r="CI302" s="841"/>
      <c r="CJ302" s="841"/>
      <c r="CK302" s="841"/>
      <c r="CL302" s="841"/>
      <c r="CM302" s="841"/>
    </row>
    <row r="303" spans="54:91" ht="12" hidden="1" x14ac:dyDescent="0.2">
      <c r="BB303" s="432">
        <v>213</v>
      </c>
      <c r="BC303" s="432"/>
      <c r="BD303" s="432"/>
      <c r="BE303" s="216">
        <f>BE301*30.2/130.2</f>
        <v>1503.0414746543779</v>
      </c>
      <c r="BF303" s="435">
        <f>BF302*30.2%</f>
        <v>300.60829493087562</v>
      </c>
      <c r="BG303" s="435"/>
      <c r="BH303" s="435"/>
      <c r="BI303" s="435"/>
      <c r="BJ303" s="435"/>
      <c r="BK303" s="435">
        <f>BK302*30.2%</f>
        <v>1202.4331797235025</v>
      </c>
      <c r="BL303" s="435"/>
      <c r="BM303" s="435"/>
      <c r="BN303" s="435"/>
      <c r="BO303" s="435"/>
      <c r="BP303" s="435"/>
      <c r="BQ303" s="435"/>
    </row>
    <row r="304" spans="54:91" ht="8.25" hidden="1" customHeight="1" x14ac:dyDescent="0.2"/>
    <row r="305" spans="54:91" ht="8.25" hidden="1" customHeight="1" x14ac:dyDescent="0.2"/>
    <row r="306" spans="54:91" ht="12" hidden="1" x14ac:dyDescent="0.2">
      <c r="BB306" s="432" t="s">
        <v>457</v>
      </c>
      <c r="BC306" s="432"/>
      <c r="BD306" s="432"/>
      <c r="BE306" s="432"/>
      <c r="BF306" s="432"/>
      <c r="BG306" s="432"/>
      <c r="BH306" s="432"/>
      <c r="BI306" s="432"/>
      <c r="BJ306" s="432"/>
      <c r="BK306" s="432"/>
      <c r="BL306" s="432"/>
      <c r="BM306" s="432"/>
      <c r="BN306" s="432"/>
      <c r="BO306" s="432"/>
      <c r="BP306" s="432"/>
      <c r="BQ306" s="432"/>
      <c r="BR306" s="432"/>
      <c r="BS306" s="432"/>
      <c r="BT306" s="432"/>
      <c r="BU306" s="432"/>
      <c r="BV306" s="432"/>
      <c r="BW306" s="432"/>
      <c r="BX306" s="432"/>
    </row>
    <row r="307" spans="54:91" ht="12" hidden="1" x14ac:dyDescent="0.2">
      <c r="BB307" s="432" t="s">
        <v>126</v>
      </c>
      <c r="BC307" s="432"/>
      <c r="BD307" s="432"/>
      <c r="BE307" s="433">
        <f>200*51</f>
        <v>10200</v>
      </c>
      <c r="BF307" s="433"/>
      <c r="BG307" s="433"/>
      <c r="BH307" s="433"/>
      <c r="BI307" s="433"/>
      <c r="BJ307" s="289" t="s">
        <v>127</v>
      </c>
      <c r="BK307" s="289"/>
      <c r="BL307" s="289"/>
      <c r="BM307" s="289"/>
      <c r="BN307" s="289"/>
      <c r="BO307" s="289"/>
      <c r="BP307" s="289"/>
      <c r="BQ307" s="289"/>
    </row>
    <row r="308" spans="54:91" ht="15" hidden="1" x14ac:dyDescent="0.25">
      <c r="BB308" s="434">
        <v>0.6</v>
      </c>
      <c r="BC308" s="432"/>
      <c r="BD308" s="432"/>
      <c r="BE308" s="216">
        <f>BE307*BB308</f>
        <v>6120</v>
      </c>
      <c r="BF308" s="432" t="s">
        <v>128</v>
      </c>
      <c r="BG308" s="432"/>
      <c r="BH308" s="432"/>
      <c r="BI308" s="432"/>
      <c r="BJ308" s="432"/>
      <c r="BK308" s="432" t="s">
        <v>129</v>
      </c>
      <c r="BL308" s="432"/>
      <c r="BM308" s="432"/>
      <c r="BN308" s="432"/>
      <c r="BO308" s="432"/>
      <c r="BP308" s="432"/>
      <c r="BQ308" s="432"/>
      <c r="BZ308" s="432" t="s">
        <v>368</v>
      </c>
      <c r="CA308" s="443"/>
      <c r="CB308" s="443"/>
      <c r="CC308" s="443"/>
      <c r="CD308" s="443"/>
      <c r="CE308" s="443"/>
      <c r="CH308" s="432" t="s">
        <v>366</v>
      </c>
      <c r="CI308" s="443"/>
      <c r="CJ308" s="443"/>
      <c r="CK308" s="443"/>
      <c r="CL308" s="443"/>
      <c r="CM308" s="443"/>
    </row>
    <row r="309" spans="54:91" ht="15" hidden="1" x14ac:dyDescent="0.25">
      <c r="BB309" s="432">
        <v>211</v>
      </c>
      <c r="BC309" s="432"/>
      <c r="BD309" s="432"/>
      <c r="BE309" s="216">
        <f>BE308-BE310</f>
        <v>4700.4608294930877</v>
      </c>
      <c r="BF309" s="435">
        <f>BE309*0.2</f>
        <v>940.09216589861762</v>
      </c>
      <c r="BG309" s="435"/>
      <c r="BH309" s="435"/>
      <c r="BI309" s="435"/>
      <c r="BJ309" s="435"/>
      <c r="BK309" s="436">
        <f>BE309-BF309</f>
        <v>3760.36866359447</v>
      </c>
      <c r="BL309" s="445"/>
      <c r="BM309" s="445"/>
      <c r="BN309" s="445"/>
      <c r="BO309" s="445"/>
      <c r="BP309" s="445"/>
      <c r="BQ309" s="445"/>
      <c r="BZ309" s="840">
        <f>BF309*15/20</f>
        <v>705.06912442396322</v>
      </c>
      <c r="CA309" s="841"/>
      <c r="CB309" s="841"/>
      <c r="CC309" s="841"/>
      <c r="CD309" s="841"/>
      <c r="CE309" s="841"/>
      <c r="CH309" s="840">
        <f>BF309*5/20</f>
        <v>235.02304147465438</v>
      </c>
      <c r="CI309" s="841"/>
      <c r="CJ309" s="841"/>
      <c r="CK309" s="841"/>
      <c r="CL309" s="841"/>
      <c r="CM309" s="841"/>
    </row>
    <row r="310" spans="54:91" ht="12" hidden="1" x14ac:dyDescent="0.2">
      <c r="BB310" s="432">
        <v>213</v>
      </c>
      <c r="BC310" s="432"/>
      <c r="BD310" s="432"/>
      <c r="BE310" s="216">
        <f>BE308*30.2/130.2</f>
        <v>1419.5391705069126</v>
      </c>
      <c r="BF310" s="435">
        <f>BF309*30.2%</f>
        <v>283.90783410138249</v>
      </c>
      <c r="BG310" s="435"/>
      <c r="BH310" s="435"/>
      <c r="BI310" s="435"/>
      <c r="BJ310" s="435"/>
      <c r="BK310" s="435">
        <f>BK309*30.2%</f>
        <v>1135.63133640553</v>
      </c>
      <c r="BL310" s="435"/>
      <c r="BM310" s="435"/>
      <c r="BN310" s="435"/>
      <c r="BO310" s="435"/>
      <c r="BP310" s="435"/>
      <c r="BQ310" s="435"/>
    </row>
    <row r="311" spans="54:91" ht="8.25" hidden="1" customHeight="1" x14ac:dyDescent="0.2"/>
    <row r="312" spans="54:91" ht="8.25" hidden="1" customHeight="1" x14ac:dyDescent="0.2"/>
    <row r="313" spans="54:91" ht="12" hidden="1" x14ac:dyDescent="0.2">
      <c r="BB313" s="432" t="s">
        <v>461</v>
      </c>
      <c r="BC313" s="432"/>
      <c r="BD313" s="432"/>
      <c r="BE313" s="432"/>
      <c r="BF313" s="432"/>
      <c r="BG313" s="432"/>
      <c r="BH313" s="432"/>
      <c r="BI313" s="432"/>
      <c r="BJ313" s="432"/>
      <c r="BK313" s="432"/>
      <c r="BL313" s="432"/>
      <c r="BM313" s="432"/>
      <c r="BN313" s="432"/>
      <c r="BO313" s="432"/>
      <c r="BP313" s="432"/>
      <c r="BQ313" s="432"/>
      <c r="BR313" s="432"/>
      <c r="BS313" s="432"/>
      <c r="BT313" s="432"/>
      <c r="BU313" s="432"/>
      <c r="BV313" s="432"/>
      <c r="BW313" s="432"/>
      <c r="BX313" s="432"/>
    </row>
    <row r="314" spans="54:91" ht="12" hidden="1" x14ac:dyDescent="0.2">
      <c r="BB314" s="432" t="s">
        <v>126</v>
      </c>
      <c r="BC314" s="432"/>
      <c r="BD314" s="432"/>
      <c r="BE314" s="433">
        <f>200*140</f>
        <v>28000</v>
      </c>
      <c r="BF314" s="433"/>
      <c r="BG314" s="433"/>
      <c r="BH314" s="433"/>
      <c r="BI314" s="433"/>
      <c r="BJ314" s="291" t="s">
        <v>127</v>
      </c>
      <c r="BK314" s="291"/>
      <c r="BL314" s="291"/>
      <c r="BM314" s="291"/>
      <c r="BN314" s="291"/>
      <c r="BO314" s="291"/>
      <c r="BP314" s="291"/>
      <c r="BQ314" s="291"/>
    </row>
    <row r="315" spans="54:91" ht="15" hidden="1" x14ac:dyDescent="0.25">
      <c r="BB315" s="434">
        <v>0.6</v>
      </c>
      <c r="BC315" s="432"/>
      <c r="BD315" s="432"/>
      <c r="BE315" s="216">
        <f>BE314*BB315</f>
        <v>16800</v>
      </c>
      <c r="BF315" s="432" t="s">
        <v>128</v>
      </c>
      <c r="BG315" s="432"/>
      <c r="BH315" s="432"/>
      <c r="BI315" s="432"/>
      <c r="BJ315" s="432"/>
      <c r="BK315" s="432" t="s">
        <v>129</v>
      </c>
      <c r="BL315" s="432"/>
      <c r="BM315" s="432"/>
      <c r="BN315" s="432"/>
      <c r="BO315" s="432"/>
      <c r="BP315" s="432"/>
      <c r="BQ315" s="432"/>
      <c r="BZ315" s="432" t="s">
        <v>368</v>
      </c>
      <c r="CA315" s="443"/>
      <c r="CB315" s="443"/>
      <c r="CC315" s="443"/>
      <c r="CD315" s="443"/>
      <c r="CE315" s="443"/>
      <c r="CH315" s="432" t="s">
        <v>366</v>
      </c>
      <c r="CI315" s="443"/>
      <c r="CJ315" s="443"/>
      <c r="CK315" s="443"/>
      <c r="CL315" s="443"/>
      <c r="CM315" s="443"/>
    </row>
    <row r="316" spans="54:91" ht="15" hidden="1" x14ac:dyDescent="0.25">
      <c r="BB316" s="432">
        <v>211</v>
      </c>
      <c r="BC316" s="432"/>
      <c r="BD316" s="432"/>
      <c r="BE316" s="216">
        <f>BE315-BE317</f>
        <v>12903.225806451614</v>
      </c>
      <c r="BF316" s="435">
        <f>BE316*0.2</f>
        <v>2580.6451612903229</v>
      </c>
      <c r="BG316" s="435"/>
      <c r="BH316" s="435"/>
      <c r="BI316" s="435"/>
      <c r="BJ316" s="435"/>
      <c r="BK316" s="436">
        <f>BE316-BF316</f>
        <v>10322.580645161292</v>
      </c>
      <c r="BL316" s="445"/>
      <c r="BM316" s="445"/>
      <c r="BN316" s="445"/>
      <c r="BO316" s="445"/>
      <c r="BP316" s="445"/>
      <c r="BQ316" s="445"/>
      <c r="BZ316" s="840">
        <f>BF316*15/20</f>
        <v>1935.483870967742</v>
      </c>
      <c r="CA316" s="841"/>
      <c r="CB316" s="841"/>
      <c r="CC316" s="841"/>
      <c r="CD316" s="841"/>
      <c r="CE316" s="841"/>
      <c r="CH316" s="840">
        <f>BF316*5/20</f>
        <v>645.16129032258073</v>
      </c>
      <c r="CI316" s="841"/>
      <c r="CJ316" s="841"/>
      <c r="CK316" s="841"/>
      <c r="CL316" s="841"/>
      <c r="CM316" s="841"/>
    </row>
    <row r="317" spans="54:91" ht="12" hidden="1" x14ac:dyDescent="0.2">
      <c r="BB317" s="432">
        <v>213</v>
      </c>
      <c r="BC317" s="432"/>
      <c r="BD317" s="432"/>
      <c r="BE317" s="216">
        <f>BE315*30.2/130.2</f>
        <v>3896.7741935483873</v>
      </c>
      <c r="BF317" s="435">
        <f>BF316*30.2%</f>
        <v>779.35483870967744</v>
      </c>
      <c r="BG317" s="435"/>
      <c r="BH317" s="435"/>
      <c r="BI317" s="435"/>
      <c r="BJ317" s="435"/>
      <c r="BK317" s="435">
        <f>BK316*30.2%</f>
        <v>3117.4193548387098</v>
      </c>
      <c r="BL317" s="435"/>
      <c r="BM317" s="435"/>
      <c r="BN317" s="435"/>
      <c r="BO317" s="435"/>
      <c r="BP317" s="435"/>
      <c r="BQ317" s="435"/>
    </row>
    <row r="318" spans="54:91" ht="8.25" hidden="1" customHeight="1" x14ac:dyDescent="0.2"/>
    <row r="319" spans="54:91" ht="8.25" hidden="1" customHeight="1" x14ac:dyDescent="0.2"/>
    <row r="320" spans="54:91" ht="12" hidden="1" x14ac:dyDescent="0.2"/>
    <row r="321" spans="54:91" ht="12" hidden="1" x14ac:dyDescent="0.2">
      <c r="BB321" s="432" t="s">
        <v>465</v>
      </c>
      <c r="BC321" s="432"/>
      <c r="BD321" s="432"/>
      <c r="BE321" s="432"/>
      <c r="BF321" s="432"/>
      <c r="BG321" s="432"/>
      <c r="BH321" s="432"/>
      <c r="BI321" s="432"/>
      <c r="BJ321" s="432"/>
      <c r="BK321" s="432"/>
      <c r="BL321" s="432"/>
      <c r="BM321" s="432"/>
      <c r="BN321" s="432"/>
      <c r="BO321" s="432"/>
      <c r="BP321" s="432"/>
      <c r="BQ321" s="432"/>
      <c r="BR321" s="432"/>
      <c r="BS321" s="432"/>
      <c r="BT321" s="432"/>
      <c r="BU321" s="432"/>
      <c r="BV321" s="432"/>
      <c r="BW321" s="432"/>
      <c r="BX321" s="432"/>
    </row>
    <row r="322" spans="54:91" ht="12" hidden="1" x14ac:dyDescent="0.2">
      <c r="BB322" s="432" t="s">
        <v>126</v>
      </c>
      <c r="BC322" s="432"/>
      <c r="BD322" s="432"/>
      <c r="BE322" s="433">
        <f>200*76</f>
        <v>15200</v>
      </c>
      <c r="BF322" s="433"/>
      <c r="BG322" s="433"/>
      <c r="BH322" s="433"/>
      <c r="BI322" s="433"/>
      <c r="BJ322" s="291" t="s">
        <v>127</v>
      </c>
      <c r="BK322" s="291"/>
      <c r="BL322" s="291"/>
      <c r="BM322" s="291"/>
      <c r="BN322" s="291"/>
      <c r="BO322" s="291"/>
      <c r="BP322" s="291"/>
      <c r="BQ322" s="291"/>
    </row>
    <row r="323" spans="54:91" ht="15" hidden="1" x14ac:dyDescent="0.25">
      <c r="BB323" s="434">
        <v>0.6</v>
      </c>
      <c r="BC323" s="432"/>
      <c r="BD323" s="432"/>
      <c r="BE323" s="216">
        <f>BE322*BB323</f>
        <v>9120</v>
      </c>
      <c r="BF323" s="432" t="s">
        <v>128</v>
      </c>
      <c r="BG323" s="432"/>
      <c r="BH323" s="432"/>
      <c r="BI323" s="432"/>
      <c r="BJ323" s="432"/>
      <c r="BK323" s="432" t="s">
        <v>129</v>
      </c>
      <c r="BL323" s="432"/>
      <c r="BM323" s="432"/>
      <c r="BN323" s="432"/>
      <c r="BO323" s="432"/>
      <c r="BP323" s="432"/>
      <c r="BQ323" s="432"/>
      <c r="BZ323" s="432" t="s">
        <v>368</v>
      </c>
      <c r="CA323" s="443"/>
      <c r="CB323" s="443"/>
      <c r="CC323" s="443"/>
      <c r="CD323" s="443"/>
      <c r="CE323" s="443"/>
      <c r="CH323" s="432" t="s">
        <v>366</v>
      </c>
      <c r="CI323" s="443"/>
      <c r="CJ323" s="443"/>
      <c r="CK323" s="443"/>
      <c r="CL323" s="443"/>
      <c r="CM323" s="443"/>
    </row>
    <row r="324" spans="54:91" ht="15" hidden="1" x14ac:dyDescent="0.25">
      <c r="BB324" s="432">
        <v>211</v>
      </c>
      <c r="BC324" s="432"/>
      <c r="BD324" s="432"/>
      <c r="BE324" s="216">
        <f>BE323-BE325</f>
        <v>7004.6082949308748</v>
      </c>
      <c r="BF324" s="435">
        <f>BE324*0.2</f>
        <v>1400.9216589861751</v>
      </c>
      <c r="BG324" s="435"/>
      <c r="BH324" s="435"/>
      <c r="BI324" s="435"/>
      <c r="BJ324" s="435"/>
      <c r="BK324" s="436">
        <f>BE324-BF324</f>
        <v>5603.6866359446994</v>
      </c>
      <c r="BL324" s="445"/>
      <c r="BM324" s="445"/>
      <c r="BN324" s="445"/>
      <c r="BO324" s="445"/>
      <c r="BP324" s="445"/>
      <c r="BQ324" s="445"/>
      <c r="BZ324" s="840">
        <f>BF324*15/20</f>
        <v>1050.6912442396313</v>
      </c>
      <c r="CA324" s="841"/>
      <c r="CB324" s="841"/>
      <c r="CC324" s="841"/>
      <c r="CD324" s="841"/>
      <c r="CE324" s="841"/>
      <c r="CH324" s="840">
        <f>BF324*5/20</f>
        <v>350.23041474654377</v>
      </c>
      <c r="CI324" s="841"/>
      <c r="CJ324" s="841"/>
      <c r="CK324" s="841"/>
      <c r="CL324" s="841"/>
      <c r="CM324" s="841"/>
    </row>
    <row r="325" spans="54:91" ht="12" hidden="1" x14ac:dyDescent="0.2">
      <c r="BB325" s="432">
        <v>213</v>
      </c>
      <c r="BC325" s="432"/>
      <c r="BD325" s="432"/>
      <c r="BE325" s="216">
        <f>BE323*30.2/130.2</f>
        <v>2115.3917050691248</v>
      </c>
      <c r="BF325" s="435">
        <f>BF324*30.2%</f>
        <v>423.07834101382485</v>
      </c>
      <c r="BG325" s="435"/>
      <c r="BH325" s="435"/>
      <c r="BI325" s="435"/>
      <c r="BJ325" s="435"/>
      <c r="BK325" s="435">
        <f>BK324*30.2%</f>
        <v>1692.3133640552992</v>
      </c>
      <c r="BL325" s="435"/>
      <c r="BM325" s="435"/>
      <c r="BN325" s="435"/>
      <c r="BO325" s="435"/>
      <c r="BP325" s="435"/>
      <c r="BQ325" s="435"/>
    </row>
    <row r="326" spans="54:91" ht="8.25" hidden="1" customHeight="1" x14ac:dyDescent="0.2"/>
    <row r="327" spans="54:91" ht="8.25" hidden="1" customHeight="1" x14ac:dyDescent="0.2"/>
    <row r="328" spans="54:91" ht="12" hidden="1" x14ac:dyDescent="0.2">
      <c r="BB328" s="432" t="s">
        <v>476</v>
      </c>
      <c r="BC328" s="432"/>
      <c r="BD328" s="432"/>
      <c r="BE328" s="432"/>
      <c r="BF328" s="432"/>
      <c r="BG328" s="432"/>
      <c r="BH328" s="432"/>
      <c r="BI328" s="432"/>
      <c r="BJ328" s="432"/>
      <c r="BK328" s="432"/>
      <c r="BL328" s="432"/>
      <c r="BM328" s="432"/>
      <c r="BN328" s="432"/>
      <c r="BO328" s="432"/>
      <c r="BP328" s="432"/>
      <c r="BQ328" s="432"/>
      <c r="BR328" s="432"/>
      <c r="BS328" s="432"/>
      <c r="BT328" s="432"/>
      <c r="BU328" s="432"/>
      <c r="BV328" s="432"/>
      <c r="BW328" s="432"/>
      <c r="BX328" s="432"/>
    </row>
    <row r="329" spans="54:91" ht="12" hidden="1" x14ac:dyDescent="0.2">
      <c r="BB329" s="432" t="s">
        <v>126</v>
      </c>
      <c r="BC329" s="432"/>
      <c r="BD329" s="432"/>
      <c r="BE329" s="433">
        <f>200*5</f>
        <v>1000</v>
      </c>
      <c r="BF329" s="433"/>
      <c r="BG329" s="433"/>
      <c r="BH329" s="433"/>
      <c r="BI329" s="433"/>
      <c r="BJ329" s="293" t="s">
        <v>127</v>
      </c>
      <c r="BK329" s="293"/>
      <c r="BL329" s="293"/>
      <c r="BM329" s="293"/>
      <c r="BN329" s="293"/>
      <c r="BO329" s="293"/>
      <c r="BP329" s="293"/>
      <c r="BQ329" s="293"/>
    </row>
    <row r="330" spans="54:91" ht="15" hidden="1" x14ac:dyDescent="0.25">
      <c r="BB330" s="434">
        <v>0.6</v>
      </c>
      <c r="BC330" s="432"/>
      <c r="BD330" s="432"/>
      <c r="BE330" s="216">
        <f>BE329*BB330</f>
        <v>600</v>
      </c>
      <c r="BF330" s="432" t="s">
        <v>128</v>
      </c>
      <c r="BG330" s="432"/>
      <c r="BH330" s="432"/>
      <c r="BI330" s="432"/>
      <c r="BJ330" s="432"/>
      <c r="BK330" s="432" t="s">
        <v>129</v>
      </c>
      <c r="BL330" s="432"/>
      <c r="BM330" s="432"/>
      <c r="BN330" s="432"/>
      <c r="BO330" s="432"/>
      <c r="BP330" s="432"/>
      <c r="BQ330" s="432"/>
      <c r="BZ330" s="432" t="s">
        <v>368</v>
      </c>
      <c r="CA330" s="443"/>
      <c r="CB330" s="443"/>
      <c r="CC330" s="443"/>
      <c r="CD330" s="443"/>
      <c r="CE330" s="443"/>
      <c r="CH330" s="432" t="s">
        <v>366</v>
      </c>
      <c r="CI330" s="443"/>
      <c r="CJ330" s="443"/>
      <c r="CK330" s="443"/>
      <c r="CL330" s="443"/>
      <c r="CM330" s="443"/>
    </row>
    <row r="331" spans="54:91" ht="15" hidden="1" x14ac:dyDescent="0.25">
      <c r="BB331" s="432">
        <v>211</v>
      </c>
      <c r="BC331" s="432"/>
      <c r="BD331" s="432"/>
      <c r="BE331" s="216">
        <f>BE330-BE332</f>
        <v>460.82949308755758</v>
      </c>
      <c r="BF331" s="435">
        <f>BE331*0.2</f>
        <v>92.165898617511516</v>
      </c>
      <c r="BG331" s="435"/>
      <c r="BH331" s="435"/>
      <c r="BI331" s="435"/>
      <c r="BJ331" s="435"/>
      <c r="BK331" s="436">
        <f>BE331-BF331</f>
        <v>368.66359447004606</v>
      </c>
      <c r="BL331" s="445"/>
      <c r="BM331" s="445"/>
      <c r="BN331" s="445"/>
      <c r="BO331" s="445"/>
      <c r="BP331" s="445"/>
      <c r="BQ331" s="445"/>
      <c r="BZ331" s="840">
        <f>BF331*15/20</f>
        <v>69.124423963133637</v>
      </c>
      <c r="CA331" s="841"/>
      <c r="CB331" s="841"/>
      <c r="CC331" s="841"/>
      <c r="CD331" s="841"/>
      <c r="CE331" s="841"/>
      <c r="CH331" s="840">
        <f>BF331*5/20</f>
        <v>23.041474654377879</v>
      </c>
      <c r="CI331" s="841"/>
      <c r="CJ331" s="841"/>
      <c r="CK331" s="841"/>
      <c r="CL331" s="841"/>
      <c r="CM331" s="841"/>
    </row>
    <row r="332" spans="54:91" ht="12" hidden="1" x14ac:dyDescent="0.2">
      <c r="BB332" s="432">
        <v>213</v>
      </c>
      <c r="BC332" s="432"/>
      <c r="BD332" s="432"/>
      <c r="BE332" s="216">
        <f>BE330*30.2/130.2</f>
        <v>139.17050691244242</v>
      </c>
      <c r="BF332" s="435">
        <f>BF331*30.2%</f>
        <v>27.834101382488477</v>
      </c>
      <c r="BG332" s="435"/>
      <c r="BH332" s="435"/>
      <c r="BI332" s="435"/>
      <c r="BJ332" s="435"/>
      <c r="BK332" s="435">
        <f>BK331*30.2%</f>
        <v>111.33640552995391</v>
      </c>
      <c r="BL332" s="435"/>
      <c r="BM332" s="435"/>
      <c r="BN332" s="435"/>
      <c r="BO332" s="435"/>
      <c r="BP332" s="435"/>
      <c r="BQ332" s="435"/>
    </row>
    <row r="333" spans="54:91" ht="8.25" hidden="1" customHeight="1" x14ac:dyDescent="0.2"/>
    <row r="334" spans="54:91" ht="8.25" hidden="1" customHeight="1" x14ac:dyDescent="0.2"/>
    <row r="335" spans="54:91" ht="8.25" hidden="1" customHeight="1" x14ac:dyDescent="0.2"/>
    <row r="336" spans="54:91" ht="12" hidden="1" x14ac:dyDescent="0.2">
      <c r="BB336" s="432" t="s">
        <v>482</v>
      </c>
      <c r="BC336" s="432"/>
      <c r="BD336" s="432"/>
      <c r="BE336" s="432"/>
      <c r="BF336" s="432"/>
      <c r="BG336" s="432"/>
      <c r="BH336" s="432"/>
      <c r="BI336" s="432"/>
      <c r="BJ336" s="432"/>
      <c r="BK336" s="432"/>
      <c r="BL336" s="432"/>
      <c r="BM336" s="432"/>
      <c r="BN336" s="432"/>
      <c r="BO336" s="432"/>
      <c r="BP336" s="432"/>
      <c r="BQ336" s="432"/>
      <c r="BR336" s="432"/>
      <c r="BS336" s="432"/>
      <c r="BT336" s="432"/>
      <c r="BU336" s="432"/>
      <c r="BV336" s="432"/>
      <c r="BW336" s="432"/>
      <c r="BX336" s="432"/>
    </row>
    <row r="337" spans="54:91" ht="12" hidden="1" x14ac:dyDescent="0.2">
      <c r="BB337" s="432" t="s">
        <v>126</v>
      </c>
      <c r="BC337" s="432"/>
      <c r="BD337" s="432"/>
      <c r="BE337" s="433">
        <f>200*118</f>
        <v>23600</v>
      </c>
      <c r="BF337" s="433"/>
      <c r="BG337" s="433"/>
      <c r="BH337" s="433"/>
      <c r="BI337" s="433"/>
      <c r="BJ337" s="295" t="s">
        <v>127</v>
      </c>
      <c r="BK337" s="295"/>
      <c r="BL337" s="295"/>
      <c r="BM337" s="295"/>
      <c r="BN337" s="295"/>
      <c r="BO337" s="295"/>
      <c r="BP337" s="295"/>
      <c r="BQ337" s="295"/>
    </row>
    <row r="338" spans="54:91" ht="15" hidden="1" x14ac:dyDescent="0.25">
      <c r="BB338" s="434">
        <v>0.6</v>
      </c>
      <c r="BC338" s="432"/>
      <c r="BD338" s="432"/>
      <c r="BE338" s="216">
        <f>BE337*BB338</f>
        <v>14160</v>
      </c>
      <c r="BF338" s="432" t="s">
        <v>128</v>
      </c>
      <c r="BG338" s="432"/>
      <c r="BH338" s="432"/>
      <c r="BI338" s="432"/>
      <c r="BJ338" s="432"/>
      <c r="BK338" s="432" t="s">
        <v>129</v>
      </c>
      <c r="BL338" s="432"/>
      <c r="BM338" s="432"/>
      <c r="BN338" s="432"/>
      <c r="BO338" s="432"/>
      <c r="BP338" s="432"/>
      <c r="BQ338" s="432"/>
      <c r="BZ338" s="432" t="s">
        <v>368</v>
      </c>
      <c r="CA338" s="443"/>
      <c r="CB338" s="443"/>
      <c r="CC338" s="443"/>
      <c r="CD338" s="443"/>
      <c r="CE338" s="443"/>
      <c r="CH338" s="432" t="s">
        <v>366</v>
      </c>
      <c r="CI338" s="443"/>
      <c r="CJ338" s="443"/>
      <c r="CK338" s="443"/>
      <c r="CL338" s="443"/>
      <c r="CM338" s="443"/>
    </row>
    <row r="339" spans="54:91" ht="15" hidden="1" x14ac:dyDescent="0.25">
      <c r="BB339" s="432">
        <v>211</v>
      </c>
      <c r="BC339" s="432"/>
      <c r="BD339" s="432"/>
      <c r="BE339" s="216">
        <f>BE338-BE340</f>
        <v>10875.57603686636</v>
      </c>
      <c r="BF339" s="435">
        <f>BE339*0.2</f>
        <v>2175.1152073732719</v>
      </c>
      <c r="BG339" s="435"/>
      <c r="BH339" s="435"/>
      <c r="BI339" s="435"/>
      <c r="BJ339" s="435"/>
      <c r="BK339" s="436">
        <f>BE339-BF339</f>
        <v>8700.4608294930877</v>
      </c>
      <c r="BL339" s="445"/>
      <c r="BM339" s="445"/>
      <c r="BN339" s="445"/>
      <c r="BO339" s="445"/>
      <c r="BP339" s="445"/>
      <c r="BQ339" s="445"/>
      <c r="BZ339" s="840">
        <f>BF339*15/20</f>
        <v>1631.3364055299539</v>
      </c>
      <c r="CA339" s="841"/>
      <c r="CB339" s="841"/>
      <c r="CC339" s="841"/>
      <c r="CD339" s="841"/>
      <c r="CE339" s="841"/>
      <c r="CH339" s="840">
        <f>BF339*5/20</f>
        <v>543.77880184331798</v>
      </c>
      <c r="CI339" s="841"/>
      <c r="CJ339" s="841"/>
      <c r="CK339" s="841"/>
      <c r="CL339" s="841"/>
      <c r="CM339" s="841"/>
    </row>
    <row r="340" spans="54:91" ht="12" hidden="1" x14ac:dyDescent="0.2">
      <c r="BB340" s="432">
        <v>213</v>
      </c>
      <c r="BC340" s="432"/>
      <c r="BD340" s="432"/>
      <c r="BE340" s="216">
        <f>BE338*30.2/130.2</f>
        <v>3284.4239631336409</v>
      </c>
      <c r="BF340" s="435">
        <f>BF339*30.2%</f>
        <v>656.88479262672809</v>
      </c>
      <c r="BG340" s="435"/>
      <c r="BH340" s="435"/>
      <c r="BI340" s="435"/>
      <c r="BJ340" s="435"/>
      <c r="BK340" s="435">
        <f>BK339*30.2%</f>
        <v>2627.5391705069123</v>
      </c>
      <c r="BL340" s="435"/>
      <c r="BM340" s="435"/>
      <c r="BN340" s="435"/>
      <c r="BO340" s="435"/>
      <c r="BP340" s="435"/>
      <c r="BQ340" s="435"/>
    </row>
    <row r="341" spans="54:91" ht="8.25" hidden="1" customHeight="1" x14ac:dyDescent="0.2"/>
    <row r="342" spans="54:91" ht="8.25" hidden="1" customHeight="1" x14ac:dyDescent="0.2"/>
    <row r="343" spans="54:91" ht="8.25" hidden="1" customHeight="1" x14ac:dyDescent="0.2"/>
    <row r="344" spans="54:91" ht="12" hidden="1" x14ac:dyDescent="0.2">
      <c r="BB344" s="432" t="s">
        <v>483</v>
      </c>
      <c r="BC344" s="432"/>
      <c r="BD344" s="432"/>
      <c r="BE344" s="432"/>
      <c r="BF344" s="432"/>
      <c r="BG344" s="432"/>
      <c r="BH344" s="432"/>
      <c r="BI344" s="432"/>
      <c r="BJ344" s="432"/>
      <c r="BK344" s="432"/>
      <c r="BL344" s="432"/>
      <c r="BM344" s="432"/>
      <c r="BN344" s="432"/>
      <c r="BO344" s="432"/>
      <c r="BP344" s="432"/>
      <c r="BQ344" s="432"/>
      <c r="BR344" s="432"/>
      <c r="BS344" s="432"/>
      <c r="BT344" s="432"/>
      <c r="BU344" s="432"/>
      <c r="BV344" s="432"/>
      <c r="BW344" s="432"/>
      <c r="BX344" s="432"/>
    </row>
    <row r="345" spans="54:91" ht="12" hidden="1" x14ac:dyDescent="0.2">
      <c r="BB345" s="432" t="s">
        <v>126</v>
      </c>
      <c r="BC345" s="432"/>
      <c r="BD345" s="432"/>
      <c r="BE345" s="433">
        <f>200*195</f>
        <v>39000</v>
      </c>
      <c r="BF345" s="433"/>
      <c r="BG345" s="433"/>
      <c r="BH345" s="433"/>
      <c r="BI345" s="433"/>
      <c r="BJ345" s="295" t="s">
        <v>127</v>
      </c>
      <c r="BK345" s="295"/>
      <c r="BL345" s="295"/>
      <c r="BM345" s="295"/>
      <c r="BN345" s="295"/>
      <c r="BO345" s="295"/>
      <c r="BP345" s="295"/>
      <c r="BQ345" s="295"/>
    </row>
    <row r="346" spans="54:91" ht="15" hidden="1" x14ac:dyDescent="0.25">
      <c r="BB346" s="434">
        <v>0.6</v>
      </c>
      <c r="BC346" s="432"/>
      <c r="BD346" s="432"/>
      <c r="BE346" s="216">
        <f>BE345*BB346</f>
        <v>23400</v>
      </c>
      <c r="BF346" s="432" t="s">
        <v>128</v>
      </c>
      <c r="BG346" s="432"/>
      <c r="BH346" s="432"/>
      <c r="BI346" s="432"/>
      <c r="BJ346" s="432"/>
      <c r="BK346" s="432" t="s">
        <v>129</v>
      </c>
      <c r="BL346" s="432"/>
      <c r="BM346" s="432"/>
      <c r="BN346" s="432"/>
      <c r="BO346" s="432"/>
      <c r="BP346" s="432"/>
      <c r="BQ346" s="432"/>
      <c r="BZ346" s="432" t="s">
        <v>368</v>
      </c>
      <c r="CA346" s="443"/>
      <c r="CB346" s="443"/>
      <c r="CC346" s="443"/>
      <c r="CD346" s="443"/>
      <c r="CE346" s="443"/>
      <c r="CH346" s="432" t="s">
        <v>366</v>
      </c>
      <c r="CI346" s="443"/>
      <c r="CJ346" s="443"/>
      <c r="CK346" s="443"/>
      <c r="CL346" s="443"/>
      <c r="CM346" s="443"/>
    </row>
    <row r="347" spans="54:91" ht="15" hidden="1" x14ac:dyDescent="0.25">
      <c r="BB347" s="432">
        <v>211</v>
      </c>
      <c r="BC347" s="432"/>
      <c r="BD347" s="432"/>
      <c r="BE347" s="216">
        <f>BE346-BE348</f>
        <v>17972.350230414748</v>
      </c>
      <c r="BF347" s="435">
        <f>BE347*0.2</f>
        <v>3594.4700460829499</v>
      </c>
      <c r="BG347" s="435"/>
      <c r="BH347" s="435"/>
      <c r="BI347" s="435"/>
      <c r="BJ347" s="435"/>
      <c r="BK347" s="436">
        <f>BE347-BF347</f>
        <v>14377.880184331798</v>
      </c>
      <c r="BL347" s="445"/>
      <c r="BM347" s="445"/>
      <c r="BN347" s="445"/>
      <c r="BO347" s="445"/>
      <c r="BP347" s="445"/>
      <c r="BQ347" s="445"/>
      <c r="BZ347" s="840">
        <f>BF347*15/20</f>
        <v>2695.8525345622124</v>
      </c>
      <c r="CA347" s="841"/>
      <c r="CB347" s="841"/>
      <c r="CC347" s="841"/>
      <c r="CD347" s="841"/>
      <c r="CE347" s="841"/>
      <c r="CH347" s="840">
        <f>BF347*5/20</f>
        <v>898.61751152073737</v>
      </c>
      <c r="CI347" s="841"/>
      <c r="CJ347" s="841"/>
      <c r="CK347" s="841"/>
      <c r="CL347" s="841"/>
      <c r="CM347" s="841"/>
    </row>
    <row r="348" spans="54:91" ht="12" hidden="1" x14ac:dyDescent="0.2">
      <c r="BB348" s="432">
        <v>213</v>
      </c>
      <c r="BC348" s="432"/>
      <c r="BD348" s="432"/>
      <c r="BE348" s="216">
        <f>BE346*30.2/130.2</f>
        <v>5427.649769585254</v>
      </c>
      <c r="BF348" s="435">
        <f>BF347*30.2%</f>
        <v>1085.5299539170508</v>
      </c>
      <c r="BG348" s="435"/>
      <c r="BH348" s="435"/>
      <c r="BI348" s="435"/>
      <c r="BJ348" s="435"/>
      <c r="BK348" s="435">
        <f>BK347*30.2%</f>
        <v>4342.119815668203</v>
      </c>
      <c r="BL348" s="435"/>
      <c r="BM348" s="435"/>
      <c r="BN348" s="435"/>
      <c r="BO348" s="435"/>
      <c r="BP348" s="435"/>
      <c r="BQ348" s="435"/>
    </row>
    <row r="349" spans="54:91" ht="8.25" hidden="1" customHeight="1" x14ac:dyDescent="0.2"/>
    <row r="350" spans="54:91" ht="8.25" hidden="1" customHeight="1" x14ac:dyDescent="0.2"/>
    <row r="351" spans="54:91" ht="8.25" hidden="1" customHeight="1" x14ac:dyDescent="0.2"/>
    <row r="352" spans="54:91" ht="12" hidden="1" x14ac:dyDescent="0.2">
      <c r="BB352" s="432" t="s">
        <v>490</v>
      </c>
      <c r="BC352" s="432"/>
      <c r="BD352" s="432"/>
      <c r="BE352" s="432"/>
      <c r="BF352" s="432"/>
      <c r="BG352" s="432"/>
      <c r="BH352" s="432"/>
      <c r="BI352" s="432"/>
      <c r="BJ352" s="432"/>
      <c r="BK352" s="432"/>
      <c r="BL352" s="432"/>
      <c r="BM352" s="432"/>
      <c r="BN352" s="432"/>
      <c r="BO352" s="432"/>
      <c r="BP352" s="432"/>
      <c r="BQ352" s="432"/>
      <c r="BR352" s="432"/>
      <c r="BS352" s="432"/>
      <c r="BT352" s="432"/>
      <c r="BU352" s="432"/>
      <c r="BV352" s="432"/>
      <c r="BW352" s="432"/>
      <c r="BX352" s="432"/>
    </row>
    <row r="353" spans="54:91" ht="12" hidden="1" x14ac:dyDescent="0.2">
      <c r="BB353" s="432" t="s">
        <v>126</v>
      </c>
      <c r="BC353" s="432"/>
      <c r="BD353" s="432"/>
      <c r="BE353" s="433">
        <f>200*72</f>
        <v>14400</v>
      </c>
      <c r="BF353" s="433"/>
      <c r="BG353" s="433"/>
      <c r="BH353" s="433"/>
      <c r="BI353" s="433"/>
      <c r="BJ353" s="297" t="s">
        <v>127</v>
      </c>
      <c r="BK353" s="297"/>
      <c r="BL353" s="297"/>
      <c r="BM353" s="297"/>
      <c r="BN353" s="297"/>
      <c r="BO353" s="297"/>
      <c r="BP353" s="297"/>
      <c r="BQ353" s="297"/>
    </row>
    <row r="354" spans="54:91" ht="15" hidden="1" x14ac:dyDescent="0.25">
      <c r="BB354" s="434">
        <v>0.6</v>
      </c>
      <c r="BC354" s="432"/>
      <c r="BD354" s="432"/>
      <c r="BE354" s="216">
        <f>BE353*BB354</f>
        <v>8640</v>
      </c>
      <c r="BF354" s="432" t="s">
        <v>128</v>
      </c>
      <c r="BG354" s="432"/>
      <c r="BH354" s="432"/>
      <c r="BI354" s="432"/>
      <c r="BJ354" s="432"/>
      <c r="BK354" s="432" t="s">
        <v>129</v>
      </c>
      <c r="BL354" s="432"/>
      <c r="BM354" s="432"/>
      <c r="BN354" s="432"/>
      <c r="BO354" s="432"/>
      <c r="BP354" s="432"/>
      <c r="BQ354" s="432"/>
      <c r="BZ354" s="432" t="s">
        <v>368</v>
      </c>
      <c r="CA354" s="443"/>
      <c r="CB354" s="443"/>
      <c r="CC354" s="443"/>
      <c r="CD354" s="443"/>
      <c r="CE354" s="443"/>
      <c r="CH354" s="432" t="s">
        <v>366</v>
      </c>
      <c r="CI354" s="443"/>
      <c r="CJ354" s="443"/>
      <c r="CK354" s="443"/>
      <c r="CL354" s="443"/>
      <c r="CM354" s="443"/>
    </row>
    <row r="355" spans="54:91" ht="15" hidden="1" x14ac:dyDescent="0.25">
      <c r="BB355" s="432">
        <v>211</v>
      </c>
      <c r="BC355" s="432"/>
      <c r="BD355" s="432"/>
      <c r="BE355" s="216">
        <f>BE354-BE356</f>
        <v>6635.9447004608292</v>
      </c>
      <c r="BF355" s="435">
        <f>BE355*0.2</f>
        <v>1327.1889400921659</v>
      </c>
      <c r="BG355" s="435"/>
      <c r="BH355" s="435"/>
      <c r="BI355" s="435"/>
      <c r="BJ355" s="435"/>
      <c r="BK355" s="436">
        <f>BE355-BF355</f>
        <v>5308.7557603686637</v>
      </c>
      <c r="BL355" s="445"/>
      <c r="BM355" s="445"/>
      <c r="BN355" s="445"/>
      <c r="BO355" s="445"/>
      <c r="BP355" s="445"/>
      <c r="BQ355" s="445"/>
      <c r="BZ355" s="840">
        <f>BF355*15/20</f>
        <v>995.39170506912455</v>
      </c>
      <c r="CA355" s="841"/>
      <c r="CB355" s="841"/>
      <c r="CC355" s="841"/>
      <c r="CD355" s="841"/>
      <c r="CE355" s="841"/>
      <c r="CH355" s="840">
        <f>BF355*5/20</f>
        <v>331.79723502304148</v>
      </c>
      <c r="CI355" s="841"/>
      <c r="CJ355" s="841"/>
      <c r="CK355" s="841"/>
      <c r="CL355" s="841"/>
      <c r="CM355" s="841"/>
    </row>
    <row r="356" spans="54:91" ht="12" hidden="1" x14ac:dyDescent="0.2">
      <c r="BB356" s="432">
        <v>213</v>
      </c>
      <c r="BC356" s="432"/>
      <c r="BD356" s="432"/>
      <c r="BE356" s="216">
        <f>BE354*30.2/130.2</f>
        <v>2004.0552995391706</v>
      </c>
      <c r="BF356" s="435">
        <f>BF355*30.2%</f>
        <v>400.81105990783408</v>
      </c>
      <c r="BG356" s="435"/>
      <c r="BH356" s="435"/>
      <c r="BI356" s="435"/>
      <c r="BJ356" s="435"/>
      <c r="BK356" s="435">
        <f>BK355*30.2%</f>
        <v>1603.2442396313363</v>
      </c>
      <c r="BL356" s="435"/>
      <c r="BM356" s="435"/>
      <c r="BN356" s="435"/>
      <c r="BO356" s="435"/>
      <c r="BP356" s="435"/>
      <c r="BQ356" s="435"/>
    </row>
    <row r="357" spans="54:91" ht="8.25" hidden="1" customHeight="1" x14ac:dyDescent="0.2"/>
    <row r="358" spans="54:91" ht="8.25" hidden="1" customHeight="1" x14ac:dyDescent="0.2"/>
    <row r="359" spans="54:91" ht="8.25" hidden="1" customHeight="1" x14ac:dyDescent="0.2"/>
    <row r="360" spans="54:91" ht="12" hidden="1" x14ac:dyDescent="0.2">
      <c r="BB360" s="432" t="s">
        <v>495</v>
      </c>
      <c r="BC360" s="432"/>
      <c r="BD360" s="432"/>
      <c r="BE360" s="432"/>
      <c r="BF360" s="432"/>
      <c r="BG360" s="432"/>
      <c r="BH360" s="432"/>
      <c r="BI360" s="432"/>
      <c r="BJ360" s="432"/>
      <c r="BK360" s="432"/>
      <c r="BL360" s="432"/>
      <c r="BM360" s="432"/>
      <c r="BN360" s="432"/>
      <c r="BO360" s="432"/>
      <c r="BP360" s="432"/>
      <c r="BQ360" s="432"/>
      <c r="BR360" s="432"/>
      <c r="BS360" s="432"/>
      <c r="BT360" s="432"/>
      <c r="BU360" s="432"/>
      <c r="BV360" s="432"/>
      <c r="BW360" s="432"/>
      <c r="BX360" s="432"/>
    </row>
    <row r="361" spans="54:91" ht="12" hidden="1" x14ac:dyDescent="0.2">
      <c r="BB361" s="432" t="s">
        <v>126</v>
      </c>
      <c r="BC361" s="432"/>
      <c r="BD361" s="432"/>
      <c r="BE361" s="433">
        <f>200*50</f>
        <v>10000</v>
      </c>
      <c r="BF361" s="433"/>
      <c r="BG361" s="433"/>
      <c r="BH361" s="433"/>
      <c r="BI361" s="433"/>
      <c r="BJ361" s="297" t="s">
        <v>127</v>
      </c>
      <c r="BK361" s="297"/>
      <c r="BL361" s="297"/>
      <c r="BM361" s="297"/>
      <c r="BN361" s="297"/>
      <c r="BO361" s="297"/>
      <c r="BP361" s="297"/>
      <c r="BQ361" s="297"/>
    </row>
    <row r="362" spans="54:91" ht="15" hidden="1" x14ac:dyDescent="0.25">
      <c r="BB362" s="434">
        <v>0.6</v>
      </c>
      <c r="BC362" s="432"/>
      <c r="BD362" s="432"/>
      <c r="BE362" s="216">
        <f>BE361*BB362</f>
        <v>6000</v>
      </c>
      <c r="BF362" s="432" t="s">
        <v>128</v>
      </c>
      <c r="BG362" s="432"/>
      <c r="BH362" s="432"/>
      <c r="BI362" s="432"/>
      <c r="BJ362" s="432"/>
      <c r="BK362" s="432" t="s">
        <v>129</v>
      </c>
      <c r="BL362" s="432"/>
      <c r="BM362" s="432"/>
      <c r="BN362" s="432"/>
      <c r="BO362" s="432"/>
      <c r="BP362" s="432"/>
      <c r="BQ362" s="432"/>
      <c r="BZ362" s="432" t="s">
        <v>368</v>
      </c>
      <c r="CA362" s="443"/>
      <c r="CB362" s="443"/>
      <c r="CC362" s="443"/>
      <c r="CD362" s="443"/>
      <c r="CE362" s="443"/>
      <c r="CH362" s="432" t="s">
        <v>366</v>
      </c>
      <c r="CI362" s="443"/>
      <c r="CJ362" s="443"/>
      <c r="CK362" s="443"/>
      <c r="CL362" s="443"/>
      <c r="CM362" s="443"/>
    </row>
    <row r="363" spans="54:91" ht="15" hidden="1" x14ac:dyDescent="0.25">
      <c r="BB363" s="432">
        <v>211</v>
      </c>
      <c r="BC363" s="432"/>
      <c r="BD363" s="432"/>
      <c r="BE363" s="216">
        <f>BE362-BE364</f>
        <v>4608.294930875576</v>
      </c>
      <c r="BF363" s="435">
        <f>BE363*0.2</f>
        <v>921.65898617511527</v>
      </c>
      <c r="BG363" s="435"/>
      <c r="BH363" s="435"/>
      <c r="BI363" s="435"/>
      <c r="BJ363" s="435"/>
      <c r="BK363" s="436">
        <f>BE363-BF363</f>
        <v>3686.6359447004606</v>
      </c>
      <c r="BL363" s="445"/>
      <c r="BM363" s="445"/>
      <c r="BN363" s="445"/>
      <c r="BO363" s="445"/>
      <c r="BP363" s="445"/>
      <c r="BQ363" s="445"/>
      <c r="BZ363" s="840">
        <f>BF363*15/20</f>
        <v>691.24423963133654</v>
      </c>
      <c r="CA363" s="841"/>
      <c r="CB363" s="841"/>
      <c r="CC363" s="841"/>
      <c r="CD363" s="841"/>
      <c r="CE363" s="841"/>
      <c r="CH363" s="840">
        <f>BF363*5/20</f>
        <v>230.41474654377879</v>
      </c>
      <c r="CI363" s="841"/>
      <c r="CJ363" s="841"/>
      <c r="CK363" s="841"/>
      <c r="CL363" s="841"/>
      <c r="CM363" s="841"/>
    </row>
    <row r="364" spans="54:91" ht="12" hidden="1" x14ac:dyDescent="0.2">
      <c r="BB364" s="432">
        <v>213</v>
      </c>
      <c r="BC364" s="432"/>
      <c r="BD364" s="432"/>
      <c r="BE364" s="216">
        <f>BE362*30.2/130.2</f>
        <v>1391.705069124424</v>
      </c>
      <c r="BF364" s="435">
        <f>BF363*30.2%</f>
        <v>278.34101382488478</v>
      </c>
      <c r="BG364" s="435"/>
      <c r="BH364" s="435"/>
      <c r="BI364" s="435"/>
      <c r="BJ364" s="435"/>
      <c r="BK364" s="435">
        <f>BK363*30.2%</f>
        <v>1113.3640552995391</v>
      </c>
      <c r="BL364" s="435"/>
      <c r="BM364" s="435"/>
      <c r="BN364" s="435"/>
      <c r="BO364" s="435"/>
      <c r="BP364" s="435"/>
      <c r="BQ364" s="435"/>
    </row>
    <row r="365" spans="54:91" ht="8.25" hidden="1" customHeight="1" x14ac:dyDescent="0.2"/>
    <row r="366" spans="54:91" ht="8.25" hidden="1" customHeight="1" x14ac:dyDescent="0.2"/>
    <row r="367" spans="54:91" ht="12" hidden="1" x14ac:dyDescent="0.2">
      <c r="BB367" s="432" t="s">
        <v>503</v>
      </c>
      <c r="BC367" s="432"/>
      <c r="BD367" s="432"/>
      <c r="BE367" s="432"/>
      <c r="BF367" s="432"/>
      <c r="BG367" s="432"/>
      <c r="BH367" s="432"/>
      <c r="BI367" s="432"/>
      <c r="BJ367" s="432"/>
      <c r="BK367" s="432"/>
      <c r="BL367" s="432"/>
      <c r="BM367" s="432"/>
      <c r="BN367" s="432"/>
      <c r="BO367" s="432"/>
      <c r="BP367" s="432"/>
      <c r="BQ367" s="432"/>
      <c r="BR367" s="432"/>
      <c r="BS367" s="432"/>
      <c r="BT367" s="432"/>
      <c r="BU367" s="432"/>
      <c r="BV367" s="432"/>
      <c r="BW367" s="432"/>
      <c r="BX367" s="432"/>
    </row>
    <row r="368" spans="54:91" ht="12" hidden="1" x14ac:dyDescent="0.2">
      <c r="BB368" s="432" t="s">
        <v>126</v>
      </c>
      <c r="BC368" s="432"/>
      <c r="BD368" s="432"/>
      <c r="BE368" s="433">
        <f>200*87</f>
        <v>17400</v>
      </c>
      <c r="BF368" s="433"/>
      <c r="BG368" s="433"/>
      <c r="BH368" s="433"/>
      <c r="BI368" s="433"/>
      <c r="BJ368" s="300" t="s">
        <v>127</v>
      </c>
      <c r="BK368" s="300"/>
      <c r="BL368" s="300"/>
      <c r="BM368" s="300"/>
      <c r="BN368" s="300"/>
      <c r="BO368" s="300"/>
      <c r="BP368" s="300"/>
      <c r="BQ368" s="300"/>
    </row>
    <row r="369" spans="54:91" ht="15" hidden="1" x14ac:dyDescent="0.25">
      <c r="BB369" s="434">
        <v>0.6</v>
      </c>
      <c r="BC369" s="432"/>
      <c r="BD369" s="432"/>
      <c r="BE369" s="216">
        <f>BE368*BB369</f>
        <v>10440</v>
      </c>
      <c r="BF369" s="432" t="s">
        <v>128</v>
      </c>
      <c r="BG369" s="432"/>
      <c r="BH369" s="432"/>
      <c r="BI369" s="432"/>
      <c r="BJ369" s="432"/>
      <c r="BK369" s="432" t="s">
        <v>129</v>
      </c>
      <c r="BL369" s="432"/>
      <c r="BM369" s="432"/>
      <c r="BN369" s="432"/>
      <c r="BO369" s="432"/>
      <c r="BP369" s="432"/>
      <c r="BQ369" s="432"/>
      <c r="BZ369" s="432" t="s">
        <v>368</v>
      </c>
      <c r="CA369" s="443"/>
      <c r="CB369" s="443"/>
      <c r="CC369" s="443"/>
      <c r="CD369" s="443"/>
      <c r="CE369" s="443"/>
      <c r="CH369" s="432" t="s">
        <v>366</v>
      </c>
      <c r="CI369" s="443"/>
      <c r="CJ369" s="443"/>
      <c r="CK369" s="443"/>
      <c r="CL369" s="443"/>
      <c r="CM369" s="443"/>
    </row>
    <row r="370" spans="54:91" ht="15" hidden="1" x14ac:dyDescent="0.25">
      <c r="BB370" s="432">
        <v>211</v>
      </c>
      <c r="BC370" s="432"/>
      <c r="BD370" s="432"/>
      <c r="BE370" s="216">
        <f>BE369-BE371</f>
        <v>8018.4331797235027</v>
      </c>
      <c r="BF370" s="435">
        <f>BE370*0.2</f>
        <v>1603.6866359447006</v>
      </c>
      <c r="BG370" s="435"/>
      <c r="BH370" s="435"/>
      <c r="BI370" s="435"/>
      <c r="BJ370" s="435"/>
      <c r="BK370" s="436">
        <f>BE370-BF370</f>
        <v>6414.7465437788023</v>
      </c>
      <c r="BL370" s="445"/>
      <c r="BM370" s="445"/>
      <c r="BN370" s="445"/>
      <c r="BO370" s="445"/>
      <c r="BP370" s="445"/>
      <c r="BQ370" s="445"/>
      <c r="BZ370" s="840">
        <f>BF370*15/20</f>
        <v>1202.7649769585255</v>
      </c>
      <c r="CA370" s="841"/>
      <c r="CB370" s="841"/>
      <c r="CC370" s="841"/>
      <c r="CD370" s="841"/>
      <c r="CE370" s="841"/>
      <c r="CH370" s="840">
        <f>BF370*5/20</f>
        <v>400.92165898617515</v>
      </c>
      <c r="CI370" s="841"/>
      <c r="CJ370" s="841"/>
      <c r="CK370" s="841"/>
      <c r="CL370" s="841"/>
      <c r="CM370" s="841"/>
    </row>
    <row r="371" spans="54:91" ht="12" hidden="1" x14ac:dyDescent="0.2">
      <c r="BB371" s="432">
        <v>213</v>
      </c>
      <c r="BC371" s="432"/>
      <c r="BD371" s="432"/>
      <c r="BE371" s="216">
        <f>BE369*30.2/130.2</f>
        <v>2421.5668202764978</v>
      </c>
      <c r="BF371" s="435">
        <f>BF370*30.2%</f>
        <v>484.31336405529959</v>
      </c>
      <c r="BG371" s="435"/>
      <c r="BH371" s="435"/>
      <c r="BI371" s="435"/>
      <c r="BJ371" s="435"/>
      <c r="BK371" s="435">
        <f>BK370*30.2%</f>
        <v>1937.2534562211983</v>
      </c>
      <c r="BL371" s="435"/>
      <c r="BM371" s="435"/>
      <c r="BN371" s="435"/>
      <c r="BO371" s="435"/>
      <c r="BP371" s="435"/>
      <c r="BQ371" s="435"/>
    </row>
    <row r="372" spans="54:91" ht="8.25" hidden="1" customHeight="1" x14ac:dyDescent="0.2"/>
    <row r="373" spans="54:91" ht="8.25" hidden="1" customHeight="1" x14ac:dyDescent="0.2"/>
    <row r="374" spans="54:91" ht="8.25" hidden="1" customHeight="1" x14ac:dyDescent="0.2"/>
    <row r="375" spans="54:91" ht="12" hidden="1" x14ac:dyDescent="0.2">
      <c r="BB375" s="432" t="s">
        <v>504</v>
      </c>
      <c r="BC375" s="432"/>
      <c r="BD375" s="432"/>
      <c r="BE375" s="432"/>
      <c r="BF375" s="432"/>
      <c r="BG375" s="432"/>
      <c r="BH375" s="432"/>
      <c r="BI375" s="432"/>
      <c r="BJ375" s="432"/>
      <c r="BK375" s="432"/>
      <c r="BL375" s="432"/>
      <c r="BM375" s="432"/>
      <c r="BN375" s="432"/>
      <c r="BO375" s="432"/>
      <c r="BP375" s="432"/>
      <c r="BQ375" s="432"/>
      <c r="BR375" s="432"/>
      <c r="BS375" s="432"/>
      <c r="BT375" s="432"/>
      <c r="BU375" s="432"/>
      <c r="BV375" s="432"/>
      <c r="BW375" s="432"/>
      <c r="BX375" s="432"/>
    </row>
    <row r="376" spans="54:91" ht="12" hidden="1" x14ac:dyDescent="0.2">
      <c r="BB376" s="432" t="s">
        <v>126</v>
      </c>
      <c r="BC376" s="432"/>
      <c r="BD376" s="432"/>
      <c r="BE376" s="433">
        <f>200*88</f>
        <v>17600</v>
      </c>
      <c r="BF376" s="433"/>
      <c r="BG376" s="433"/>
      <c r="BH376" s="433"/>
      <c r="BI376" s="433"/>
      <c r="BJ376" s="300" t="s">
        <v>127</v>
      </c>
      <c r="BK376" s="300"/>
      <c r="BL376" s="300"/>
      <c r="BM376" s="300"/>
      <c r="BN376" s="300"/>
      <c r="BO376" s="300"/>
      <c r="BP376" s="300"/>
      <c r="BQ376" s="300"/>
    </row>
    <row r="377" spans="54:91" ht="15" hidden="1" x14ac:dyDescent="0.25">
      <c r="BB377" s="434">
        <v>0.6</v>
      </c>
      <c r="BC377" s="432"/>
      <c r="BD377" s="432"/>
      <c r="BE377" s="216">
        <f>BE376*BB377</f>
        <v>10560</v>
      </c>
      <c r="BF377" s="432" t="s">
        <v>128</v>
      </c>
      <c r="BG377" s="432"/>
      <c r="BH377" s="432"/>
      <c r="BI377" s="432"/>
      <c r="BJ377" s="432"/>
      <c r="BK377" s="432" t="s">
        <v>129</v>
      </c>
      <c r="BL377" s="432"/>
      <c r="BM377" s="432"/>
      <c r="BN377" s="432"/>
      <c r="BO377" s="432"/>
      <c r="BP377" s="432"/>
      <c r="BQ377" s="432"/>
      <c r="BZ377" s="432" t="s">
        <v>368</v>
      </c>
      <c r="CA377" s="443"/>
      <c r="CB377" s="443"/>
      <c r="CC377" s="443"/>
      <c r="CD377" s="443"/>
      <c r="CE377" s="443"/>
      <c r="CH377" s="432" t="s">
        <v>366</v>
      </c>
      <c r="CI377" s="443"/>
      <c r="CJ377" s="443"/>
      <c r="CK377" s="443"/>
      <c r="CL377" s="443"/>
      <c r="CM377" s="443"/>
    </row>
    <row r="378" spans="54:91" ht="15" hidden="1" x14ac:dyDescent="0.25">
      <c r="BB378" s="432">
        <v>211</v>
      </c>
      <c r="BC378" s="432"/>
      <c r="BD378" s="432"/>
      <c r="BE378" s="216">
        <f>BE377-BE379</f>
        <v>8110.5990783410134</v>
      </c>
      <c r="BF378" s="435">
        <f>BE378*0.2</f>
        <v>1622.1198156682028</v>
      </c>
      <c r="BG378" s="435"/>
      <c r="BH378" s="435"/>
      <c r="BI378" s="435"/>
      <c r="BJ378" s="435"/>
      <c r="BK378" s="436">
        <f>BE378-BF378</f>
        <v>6488.4792626728104</v>
      </c>
      <c r="BL378" s="445"/>
      <c r="BM378" s="445"/>
      <c r="BN378" s="445"/>
      <c r="BO378" s="445"/>
      <c r="BP378" s="445"/>
      <c r="BQ378" s="445"/>
      <c r="BZ378" s="840">
        <f>BF378*15/20</f>
        <v>1216.5898617511521</v>
      </c>
      <c r="CA378" s="841"/>
      <c r="CB378" s="841"/>
      <c r="CC378" s="841"/>
      <c r="CD378" s="841"/>
      <c r="CE378" s="841"/>
      <c r="CH378" s="840">
        <f>BF378*5/20</f>
        <v>405.5299539170507</v>
      </c>
      <c r="CI378" s="841"/>
      <c r="CJ378" s="841"/>
      <c r="CK378" s="841"/>
      <c r="CL378" s="841"/>
      <c r="CM378" s="841"/>
    </row>
    <row r="379" spans="54:91" ht="12" hidden="1" x14ac:dyDescent="0.2">
      <c r="BB379" s="432">
        <v>213</v>
      </c>
      <c r="BC379" s="432"/>
      <c r="BD379" s="432"/>
      <c r="BE379" s="216">
        <f>BE377*30.2/130.2</f>
        <v>2449.4009216589866</v>
      </c>
      <c r="BF379" s="435">
        <f>BF378*30.2%</f>
        <v>489.88018433179724</v>
      </c>
      <c r="BG379" s="435"/>
      <c r="BH379" s="435"/>
      <c r="BI379" s="435"/>
      <c r="BJ379" s="435"/>
      <c r="BK379" s="435">
        <f>BK378*30.2%</f>
        <v>1959.5207373271887</v>
      </c>
      <c r="BL379" s="435"/>
      <c r="BM379" s="435"/>
      <c r="BN379" s="435"/>
      <c r="BO379" s="435"/>
      <c r="BP379" s="435"/>
      <c r="BQ379" s="435"/>
    </row>
    <row r="380" spans="54:91" ht="8.25" hidden="1" customHeight="1" x14ac:dyDescent="0.2"/>
    <row r="382" spans="54:91" ht="12" hidden="1" x14ac:dyDescent="0.2">
      <c r="BB382" s="432" t="s">
        <v>533</v>
      </c>
      <c r="BC382" s="432"/>
      <c r="BD382" s="432"/>
      <c r="BE382" s="432"/>
      <c r="BF382" s="432"/>
      <c r="BG382" s="432"/>
      <c r="BH382" s="432"/>
      <c r="BI382" s="432"/>
      <c r="BJ382" s="432"/>
      <c r="BK382" s="432"/>
      <c r="BL382" s="432"/>
      <c r="BM382" s="432"/>
      <c r="BN382" s="432"/>
      <c r="BO382" s="432"/>
      <c r="BP382" s="432"/>
      <c r="BQ382" s="432"/>
      <c r="BR382" s="432"/>
      <c r="BS382" s="432"/>
      <c r="BT382" s="432"/>
      <c r="BU382" s="432"/>
      <c r="BV382" s="432"/>
      <c r="BW382" s="432"/>
      <c r="BX382" s="432"/>
    </row>
    <row r="383" spans="54:91" ht="12" hidden="1" x14ac:dyDescent="0.2">
      <c r="BB383" s="432" t="s">
        <v>126</v>
      </c>
      <c r="BC383" s="432"/>
      <c r="BD383" s="432"/>
      <c r="BE383" s="433">
        <f>200*23</f>
        <v>4600</v>
      </c>
      <c r="BF383" s="433"/>
      <c r="BG383" s="433"/>
      <c r="BH383" s="433"/>
      <c r="BI383" s="433"/>
      <c r="BJ383" s="304" t="s">
        <v>127</v>
      </c>
      <c r="BK383" s="304"/>
      <c r="BL383" s="304"/>
      <c r="BM383" s="304"/>
      <c r="BN383" s="304"/>
      <c r="BO383" s="304"/>
      <c r="BP383" s="304"/>
      <c r="BQ383" s="304"/>
    </row>
    <row r="384" spans="54:91" ht="15" hidden="1" x14ac:dyDescent="0.25">
      <c r="BB384" s="434">
        <v>0.6</v>
      </c>
      <c r="BC384" s="432"/>
      <c r="BD384" s="432"/>
      <c r="BE384" s="216">
        <f>BE383*BB384</f>
        <v>2760</v>
      </c>
      <c r="BF384" s="432" t="s">
        <v>128</v>
      </c>
      <c r="BG384" s="432"/>
      <c r="BH384" s="432"/>
      <c r="BI384" s="432"/>
      <c r="BJ384" s="432"/>
      <c r="BK384" s="432" t="s">
        <v>129</v>
      </c>
      <c r="BL384" s="432"/>
      <c r="BM384" s="432"/>
      <c r="BN384" s="432"/>
      <c r="BO384" s="432"/>
      <c r="BP384" s="432"/>
      <c r="BQ384" s="432"/>
      <c r="BZ384" s="432" t="s">
        <v>368</v>
      </c>
      <c r="CA384" s="443"/>
      <c r="CB384" s="443"/>
      <c r="CC384" s="443"/>
      <c r="CD384" s="443"/>
      <c r="CE384" s="443"/>
      <c r="CH384" s="432" t="s">
        <v>366</v>
      </c>
      <c r="CI384" s="443"/>
      <c r="CJ384" s="443"/>
      <c r="CK384" s="443"/>
      <c r="CL384" s="443"/>
      <c r="CM384" s="443"/>
    </row>
    <row r="385" spans="54:91" ht="15" hidden="1" x14ac:dyDescent="0.25">
      <c r="BB385" s="432">
        <v>211</v>
      </c>
      <c r="BC385" s="432"/>
      <c r="BD385" s="432"/>
      <c r="BE385" s="216">
        <f>BE384-BE386</f>
        <v>2119.8156682027648</v>
      </c>
      <c r="BF385" s="435">
        <f>BE385*0.2</f>
        <v>423.963133640553</v>
      </c>
      <c r="BG385" s="435"/>
      <c r="BH385" s="435"/>
      <c r="BI385" s="435"/>
      <c r="BJ385" s="435"/>
      <c r="BK385" s="436">
        <f>BE385-BF385</f>
        <v>1695.8525345622118</v>
      </c>
      <c r="BL385" s="445"/>
      <c r="BM385" s="445"/>
      <c r="BN385" s="445"/>
      <c r="BO385" s="445"/>
      <c r="BP385" s="445"/>
      <c r="BQ385" s="445"/>
      <c r="BZ385" s="840">
        <f>BF385*15/20</f>
        <v>317.97235023041475</v>
      </c>
      <c r="CA385" s="841"/>
      <c r="CB385" s="841"/>
      <c r="CC385" s="841"/>
      <c r="CD385" s="841"/>
      <c r="CE385" s="841"/>
      <c r="CH385" s="840">
        <f>BF385*5/20</f>
        <v>105.99078341013823</v>
      </c>
      <c r="CI385" s="841"/>
      <c r="CJ385" s="841"/>
      <c r="CK385" s="841"/>
      <c r="CL385" s="841"/>
      <c r="CM385" s="841"/>
    </row>
    <row r="386" spans="54:91" ht="12" hidden="1" x14ac:dyDescent="0.2">
      <c r="BB386" s="432">
        <v>213</v>
      </c>
      <c r="BC386" s="432"/>
      <c r="BD386" s="432"/>
      <c r="BE386" s="216">
        <f>BE384*30.2/130.2</f>
        <v>640.18433179723513</v>
      </c>
      <c r="BF386" s="435">
        <f>BF385*30.2%</f>
        <v>128.036866359447</v>
      </c>
      <c r="BG386" s="435"/>
      <c r="BH386" s="435"/>
      <c r="BI386" s="435"/>
      <c r="BJ386" s="435"/>
      <c r="BK386" s="435">
        <f>BK385*30.2%</f>
        <v>512.1474654377879</v>
      </c>
      <c r="BL386" s="435"/>
      <c r="BM386" s="435"/>
      <c r="BN386" s="435"/>
      <c r="BO386" s="435"/>
      <c r="BP386" s="435"/>
      <c r="BQ386" s="435"/>
    </row>
    <row r="387" spans="54:91" ht="12" hidden="1" x14ac:dyDescent="0.2"/>
    <row r="388" spans="54:91" ht="8.25" hidden="1" customHeight="1" x14ac:dyDescent="0.2"/>
    <row r="389" spans="54:91" ht="8.25" hidden="1" customHeight="1" x14ac:dyDescent="0.2"/>
    <row r="390" spans="54:91" ht="12" hidden="1" x14ac:dyDescent="0.2">
      <c r="BB390" s="432" t="s">
        <v>550</v>
      </c>
      <c r="BC390" s="432"/>
      <c r="BD390" s="432"/>
      <c r="BE390" s="432"/>
      <c r="BF390" s="432"/>
      <c r="BG390" s="432"/>
      <c r="BH390" s="432"/>
      <c r="BI390" s="432"/>
      <c r="BJ390" s="432"/>
      <c r="BK390" s="432"/>
      <c r="BL390" s="432"/>
      <c r="BM390" s="432"/>
      <c r="BN390" s="432"/>
      <c r="BO390" s="432"/>
      <c r="BP390" s="432"/>
      <c r="BQ390" s="432"/>
      <c r="BR390" s="432"/>
      <c r="BS390" s="432"/>
      <c r="BT390" s="432"/>
      <c r="BU390" s="432"/>
      <c r="BV390" s="432"/>
      <c r="BW390" s="432"/>
      <c r="BX390" s="432"/>
    </row>
    <row r="391" spans="54:91" ht="12" hidden="1" x14ac:dyDescent="0.2">
      <c r="BB391" s="432" t="s">
        <v>126</v>
      </c>
      <c r="BC391" s="432"/>
      <c r="BD391" s="432"/>
      <c r="BE391" s="433">
        <f>200*44</f>
        <v>8800</v>
      </c>
      <c r="BF391" s="433"/>
      <c r="BG391" s="433"/>
      <c r="BH391" s="433"/>
      <c r="BI391" s="433"/>
      <c r="BJ391" s="320" t="s">
        <v>127</v>
      </c>
      <c r="BK391" s="320"/>
      <c r="BL391" s="320"/>
      <c r="BM391" s="320"/>
      <c r="BN391" s="320"/>
      <c r="BO391" s="320"/>
      <c r="BP391" s="320"/>
      <c r="BQ391" s="320"/>
    </row>
    <row r="392" spans="54:91" ht="15" hidden="1" x14ac:dyDescent="0.25">
      <c r="BB392" s="434">
        <v>0.6</v>
      </c>
      <c r="BC392" s="432"/>
      <c r="BD392" s="432"/>
      <c r="BE392" s="216">
        <f>BE391*BB392</f>
        <v>5280</v>
      </c>
      <c r="BF392" s="432" t="s">
        <v>128</v>
      </c>
      <c r="BG392" s="432"/>
      <c r="BH392" s="432"/>
      <c r="BI392" s="432"/>
      <c r="BJ392" s="432"/>
      <c r="BK392" s="432" t="s">
        <v>129</v>
      </c>
      <c r="BL392" s="432"/>
      <c r="BM392" s="432"/>
      <c r="BN392" s="432"/>
      <c r="BO392" s="432"/>
      <c r="BP392" s="432"/>
      <c r="BQ392" s="432"/>
      <c r="BZ392" s="432" t="s">
        <v>368</v>
      </c>
      <c r="CA392" s="443"/>
      <c r="CB392" s="443"/>
      <c r="CC392" s="443"/>
      <c r="CD392" s="443"/>
      <c r="CE392" s="443"/>
      <c r="CH392" s="432" t="s">
        <v>366</v>
      </c>
      <c r="CI392" s="443"/>
      <c r="CJ392" s="443"/>
      <c r="CK392" s="443"/>
      <c r="CL392" s="443"/>
      <c r="CM392" s="443"/>
    </row>
    <row r="393" spans="54:91" ht="15" hidden="1" x14ac:dyDescent="0.25">
      <c r="BB393" s="432">
        <v>211</v>
      </c>
      <c r="BC393" s="432"/>
      <c r="BD393" s="432"/>
      <c r="BE393" s="216">
        <f>BE392-BE394</f>
        <v>4055.2995391705067</v>
      </c>
      <c r="BF393" s="435">
        <f>BE393*0.2</f>
        <v>811.05990783410141</v>
      </c>
      <c r="BG393" s="435"/>
      <c r="BH393" s="435"/>
      <c r="BI393" s="435"/>
      <c r="BJ393" s="435"/>
      <c r="BK393" s="436">
        <f>BE393-BF393</f>
        <v>3244.2396313364052</v>
      </c>
      <c r="BL393" s="445"/>
      <c r="BM393" s="445"/>
      <c r="BN393" s="445"/>
      <c r="BO393" s="445"/>
      <c r="BP393" s="445"/>
      <c r="BQ393" s="445"/>
      <c r="BZ393" s="840">
        <f>BF393*15/20</f>
        <v>608.29493087557603</v>
      </c>
      <c r="CA393" s="841"/>
      <c r="CB393" s="841"/>
      <c r="CC393" s="841"/>
      <c r="CD393" s="841"/>
      <c r="CE393" s="841"/>
      <c r="CH393" s="840">
        <f>BF393*5/20</f>
        <v>202.76497695852535</v>
      </c>
      <c r="CI393" s="841"/>
      <c r="CJ393" s="841"/>
      <c r="CK393" s="841"/>
      <c r="CL393" s="841"/>
      <c r="CM393" s="841"/>
    </row>
    <row r="394" spans="54:91" ht="12" hidden="1" x14ac:dyDescent="0.2">
      <c r="BB394" s="432">
        <v>213</v>
      </c>
      <c r="BC394" s="432"/>
      <c r="BD394" s="432"/>
      <c r="BE394" s="216">
        <f>BE392*30.2/130.2</f>
        <v>1224.7004608294933</v>
      </c>
      <c r="BF394" s="435">
        <f>BF393*30.2%</f>
        <v>244.94009216589862</v>
      </c>
      <c r="BG394" s="435"/>
      <c r="BH394" s="435"/>
      <c r="BI394" s="435"/>
      <c r="BJ394" s="435"/>
      <c r="BK394" s="435">
        <f>BK393*30.2%</f>
        <v>979.76036866359436</v>
      </c>
      <c r="BL394" s="435"/>
      <c r="BM394" s="435"/>
      <c r="BN394" s="435"/>
      <c r="BO394" s="435"/>
      <c r="BP394" s="435"/>
      <c r="BQ394" s="435"/>
    </row>
    <row r="395" spans="54:91" ht="12" hidden="1" x14ac:dyDescent="0.2"/>
    <row r="396" spans="54:91" ht="8.25" hidden="1" customHeight="1" x14ac:dyDescent="0.2"/>
    <row r="397" spans="54:91" ht="12" hidden="1" x14ac:dyDescent="0.2">
      <c r="BB397" s="432" t="s">
        <v>574</v>
      </c>
      <c r="BC397" s="432"/>
      <c r="BD397" s="432"/>
      <c r="BE397" s="432"/>
      <c r="BF397" s="432"/>
      <c r="BG397" s="432"/>
      <c r="BH397" s="432"/>
      <c r="BI397" s="432"/>
      <c r="BJ397" s="432"/>
      <c r="BK397" s="432"/>
      <c r="BL397" s="432"/>
      <c r="BM397" s="432"/>
      <c r="BN397" s="432"/>
      <c r="BO397" s="432"/>
      <c r="BP397" s="432"/>
      <c r="BQ397" s="432"/>
      <c r="BR397" s="432"/>
      <c r="BS397" s="432"/>
      <c r="BT397" s="432"/>
      <c r="BU397" s="432"/>
      <c r="BV397" s="432"/>
      <c r="BW397" s="432"/>
      <c r="BX397" s="432"/>
    </row>
    <row r="398" spans="54:91" ht="12" hidden="1" x14ac:dyDescent="0.2">
      <c r="BB398" s="432" t="s">
        <v>126</v>
      </c>
      <c r="BC398" s="432"/>
      <c r="BD398" s="432"/>
      <c r="BE398" s="433">
        <f>200*63</f>
        <v>12600</v>
      </c>
      <c r="BF398" s="433"/>
      <c r="BG398" s="433"/>
      <c r="BH398" s="433"/>
      <c r="BI398" s="433"/>
      <c r="BJ398" s="324" t="s">
        <v>127</v>
      </c>
      <c r="BK398" s="324"/>
      <c r="BL398" s="324"/>
      <c r="BM398" s="324"/>
      <c r="BN398" s="324"/>
      <c r="BO398" s="324"/>
      <c r="BP398" s="324"/>
      <c r="BQ398" s="324"/>
    </row>
    <row r="399" spans="54:91" ht="15" hidden="1" x14ac:dyDescent="0.25">
      <c r="BB399" s="434">
        <v>0.6</v>
      </c>
      <c r="BC399" s="432"/>
      <c r="BD399" s="432"/>
      <c r="BE399" s="216">
        <f>BE398*BB399</f>
        <v>7560</v>
      </c>
      <c r="BF399" s="432" t="s">
        <v>128</v>
      </c>
      <c r="BG399" s="432"/>
      <c r="BH399" s="432"/>
      <c r="BI399" s="432"/>
      <c r="BJ399" s="432"/>
      <c r="BK399" s="432" t="s">
        <v>129</v>
      </c>
      <c r="BL399" s="432"/>
      <c r="BM399" s="432"/>
      <c r="BN399" s="432"/>
      <c r="BO399" s="432"/>
      <c r="BP399" s="432"/>
      <c r="BQ399" s="432"/>
      <c r="BZ399" s="432" t="s">
        <v>368</v>
      </c>
      <c r="CA399" s="443"/>
      <c r="CB399" s="443"/>
      <c r="CC399" s="443"/>
      <c r="CD399" s="443"/>
      <c r="CE399" s="443"/>
      <c r="CH399" s="432" t="s">
        <v>366</v>
      </c>
      <c r="CI399" s="443"/>
      <c r="CJ399" s="443"/>
      <c r="CK399" s="443"/>
      <c r="CL399" s="443"/>
      <c r="CM399" s="443"/>
    </row>
    <row r="400" spans="54:91" ht="15" hidden="1" x14ac:dyDescent="0.25">
      <c r="BB400" s="432">
        <v>211</v>
      </c>
      <c r="BC400" s="432"/>
      <c r="BD400" s="432"/>
      <c r="BE400" s="216">
        <f>BE399-BE401</f>
        <v>5806.4516129032254</v>
      </c>
      <c r="BF400" s="435">
        <f>BE400*0.2</f>
        <v>1161.2903225806451</v>
      </c>
      <c r="BG400" s="435"/>
      <c r="BH400" s="435"/>
      <c r="BI400" s="435"/>
      <c r="BJ400" s="435"/>
      <c r="BK400" s="436">
        <f>BE400-BF400</f>
        <v>4645.1612903225805</v>
      </c>
      <c r="BL400" s="445"/>
      <c r="BM400" s="445"/>
      <c r="BN400" s="445"/>
      <c r="BO400" s="445"/>
      <c r="BP400" s="445"/>
      <c r="BQ400" s="445"/>
      <c r="BZ400" s="840">
        <f>BF400*15/20</f>
        <v>870.9677419354839</v>
      </c>
      <c r="CA400" s="841"/>
      <c r="CB400" s="841"/>
      <c r="CC400" s="841"/>
      <c r="CD400" s="841"/>
      <c r="CE400" s="841"/>
      <c r="CH400" s="840">
        <f>BF400*5/20</f>
        <v>290.32258064516128</v>
      </c>
      <c r="CI400" s="841"/>
      <c r="CJ400" s="841"/>
      <c r="CK400" s="841"/>
      <c r="CL400" s="841"/>
      <c r="CM400" s="841"/>
    </row>
    <row r="401" spans="54:91" ht="12" hidden="1" x14ac:dyDescent="0.2">
      <c r="BB401" s="432">
        <v>213</v>
      </c>
      <c r="BC401" s="432"/>
      <c r="BD401" s="432"/>
      <c r="BE401" s="216">
        <f>BE399*30.2/130.2</f>
        <v>1753.5483870967744</v>
      </c>
      <c r="BF401" s="435">
        <f>BF400*30.2%</f>
        <v>350.70967741935482</v>
      </c>
      <c r="BG401" s="435"/>
      <c r="BH401" s="435"/>
      <c r="BI401" s="435"/>
      <c r="BJ401" s="435"/>
      <c r="BK401" s="435">
        <f>BK400*30.2%</f>
        <v>1402.8387096774193</v>
      </c>
      <c r="BL401" s="435"/>
      <c r="BM401" s="435"/>
      <c r="BN401" s="435"/>
      <c r="BO401" s="435"/>
      <c r="BP401" s="435"/>
      <c r="BQ401" s="435"/>
    </row>
    <row r="402" spans="54:91" ht="8.25" hidden="1" customHeight="1" x14ac:dyDescent="0.2"/>
    <row r="403" spans="54:91" ht="8.25" hidden="1" customHeight="1" x14ac:dyDescent="0.2"/>
    <row r="404" spans="54:91" ht="12" hidden="1" x14ac:dyDescent="0.2">
      <c r="BB404" s="432" t="s">
        <v>587</v>
      </c>
      <c r="BC404" s="432"/>
      <c r="BD404" s="432"/>
      <c r="BE404" s="432"/>
      <c r="BF404" s="432"/>
      <c r="BG404" s="432"/>
      <c r="BH404" s="432"/>
      <c r="BI404" s="432"/>
      <c r="BJ404" s="432"/>
      <c r="BK404" s="432"/>
      <c r="BL404" s="432"/>
      <c r="BM404" s="432"/>
      <c r="BN404" s="432"/>
      <c r="BO404" s="432"/>
      <c r="BP404" s="432"/>
      <c r="BQ404" s="432"/>
      <c r="BR404" s="432"/>
      <c r="BS404" s="432"/>
      <c r="BT404" s="432"/>
      <c r="BU404" s="432"/>
      <c r="BV404" s="432"/>
      <c r="BW404" s="432"/>
      <c r="BX404" s="432"/>
    </row>
    <row r="405" spans="54:91" ht="12" hidden="1" x14ac:dyDescent="0.2">
      <c r="BB405" s="432" t="s">
        <v>126</v>
      </c>
      <c r="BC405" s="432"/>
      <c r="BD405" s="432"/>
      <c r="BE405" s="433">
        <f>200*56</f>
        <v>11200</v>
      </c>
      <c r="BF405" s="433"/>
      <c r="BG405" s="433"/>
      <c r="BH405" s="433"/>
      <c r="BI405" s="433"/>
      <c r="BJ405" s="340" t="s">
        <v>127</v>
      </c>
      <c r="BK405" s="340"/>
      <c r="BL405" s="340"/>
      <c r="BM405" s="340"/>
      <c r="BN405" s="340"/>
      <c r="BO405" s="340"/>
      <c r="BP405" s="340"/>
      <c r="BQ405" s="340"/>
    </row>
    <row r="406" spans="54:91" ht="15" hidden="1" x14ac:dyDescent="0.25">
      <c r="BB406" s="434">
        <v>0.6</v>
      </c>
      <c r="BC406" s="432"/>
      <c r="BD406" s="432"/>
      <c r="BE406" s="216">
        <f>BE405*BB406</f>
        <v>6720</v>
      </c>
      <c r="BF406" s="432" t="s">
        <v>128</v>
      </c>
      <c r="BG406" s="432"/>
      <c r="BH406" s="432"/>
      <c r="BI406" s="432"/>
      <c r="BJ406" s="432"/>
      <c r="BK406" s="432" t="s">
        <v>129</v>
      </c>
      <c r="BL406" s="432"/>
      <c r="BM406" s="432"/>
      <c r="BN406" s="432"/>
      <c r="BO406" s="432"/>
      <c r="BP406" s="432"/>
      <c r="BQ406" s="432"/>
      <c r="BZ406" s="432" t="s">
        <v>368</v>
      </c>
      <c r="CA406" s="443"/>
      <c r="CB406" s="443"/>
      <c r="CC406" s="443"/>
      <c r="CD406" s="443"/>
      <c r="CE406" s="443"/>
      <c r="CH406" s="432" t="s">
        <v>366</v>
      </c>
      <c r="CI406" s="443"/>
      <c r="CJ406" s="443"/>
      <c r="CK406" s="443"/>
      <c r="CL406" s="443"/>
      <c r="CM406" s="443"/>
    </row>
    <row r="407" spans="54:91" ht="15" hidden="1" x14ac:dyDescent="0.25">
      <c r="BB407" s="432">
        <v>211</v>
      </c>
      <c r="BC407" s="432"/>
      <c r="BD407" s="432"/>
      <c r="BE407" s="216">
        <f>BE406-BE408</f>
        <v>5161.2903225806449</v>
      </c>
      <c r="BF407" s="435">
        <f>BE407*0.2</f>
        <v>1032.258064516129</v>
      </c>
      <c r="BG407" s="435"/>
      <c r="BH407" s="435"/>
      <c r="BI407" s="435"/>
      <c r="BJ407" s="435"/>
      <c r="BK407" s="436">
        <f>BE407-BF407</f>
        <v>4129.0322580645161</v>
      </c>
      <c r="BL407" s="445"/>
      <c r="BM407" s="445"/>
      <c r="BN407" s="445"/>
      <c r="BO407" s="445"/>
      <c r="BP407" s="445"/>
      <c r="BQ407" s="445"/>
      <c r="BZ407" s="840">
        <f>BF407*15/20</f>
        <v>774.19354838709683</v>
      </c>
      <c r="CA407" s="841"/>
      <c r="CB407" s="841"/>
      <c r="CC407" s="841"/>
      <c r="CD407" s="841"/>
      <c r="CE407" s="841"/>
      <c r="CH407" s="840">
        <f>BF407*5/20</f>
        <v>258.06451612903226</v>
      </c>
      <c r="CI407" s="841"/>
      <c r="CJ407" s="841"/>
      <c r="CK407" s="841"/>
      <c r="CL407" s="841"/>
      <c r="CM407" s="841"/>
    </row>
    <row r="408" spans="54:91" ht="12" hidden="1" x14ac:dyDescent="0.2">
      <c r="BB408" s="432">
        <v>213</v>
      </c>
      <c r="BC408" s="432"/>
      <c r="BD408" s="432"/>
      <c r="BE408" s="216">
        <f>BE406*30.2/130.2</f>
        <v>1558.7096774193549</v>
      </c>
      <c r="BF408" s="435">
        <f>BF407*30.2%</f>
        <v>311.74193548387098</v>
      </c>
      <c r="BG408" s="435"/>
      <c r="BH408" s="435"/>
      <c r="BI408" s="435"/>
      <c r="BJ408" s="435"/>
      <c r="BK408" s="435">
        <f>BK407*30.2%</f>
        <v>1246.9677419354839</v>
      </c>
      <c r="BL408" s="435"/>
      <c r="BM408" s="435"/>
      <c r="BN408" s="435"/>
      <c r="BO408" s="435"/>
      <c r="BP408" s="435"/>
      <c r="BQ408" s="435"/>
    </row>
    <row r="409" spans="54:91" ht="8.25" hidden="1" customHeight="1" x14ac:dyDescent="0.2"/>
    <row r="410" spans="54:91" ht="8.25" hidden="1" customHeight="1" x14ac:dyDescent="0.2"/>
    <row r="411" spans="54:91" ht="8.25" hidden="1" customHeight="1" x14ac:dyDescent="0.2"/>
    <row r="412" spans="54:91" ht="12" hidden="1" x14ac:dyDescent="0.2">
      <c r="BB412" s="432" t="s">
        <v>598</v>
      </c>
      <c r="BC412" s="432"/>
      <c r="BD412" s="432"/>
      <c r="BE412" s="432"/>
      <c r="BF412" s="432"/>
      <c r="BG412" s="432"/>
      <c r="BH412" s="432"/>
      <c r="BI412" s="432"/>
      <c r="BJ412" s="432"/>
      <c r="BK412" s="432"/>
      <c r="BL412" s="432"/>
      <c r="BM412" s="432"/>
      <c r="BN412" s="432"/>
      <c r="BO412" s="432"/>
      <c r="BP412" s="432"/>
      <c r="BQ412" s="432"/>
      <c r="BR412" s="432"/>
      <c r="BS412" s="432"/>
      <c r="BT412" s="432"/>
      <c r="BU412" s="432"/>
      <c r="BV412" s="432"/>
      <c r="BW412" s="432"/>
      <c r="BX412" s="432"/>
    </row>
    <row r="413" spans="54:91" ht="12" hidden="1" x14ac:dyDescent="0.2">
      <c r="BB413" s="432" t="s">
        <v>126</v>
      </c>
      <c r="BC413" s="432"/>
      <c r="BD413" s="432"/>
      <c r="BE413" s="433">
        <f>200*14</f>
        <v>2800</v>
      </c>
      <c r="BF413" s="433"/>
      <c r="BG413" s="433"/>
      <c r="BH413" s="433"/>
      <c r="BI413" s="433"/>
      <c r="BJ413" s="348" t="s">
        <v>127</v>
      </c>
      <c r="BK413" s="348"/>
      <c r="BL413" s="348"/>
      <c r="BM413" s="348"/>
      <c r="BN413" s="348"/>
      <c r="BO413" s="348"/>
      <c r="BP413" s="348"/>
      <c r="BQ413" s="348"/>
    </row>
    <row r="414" spans="54:91" ht="15" hidden="1" x14ac:dyDescent="0.25">
      <c r="BB414" s="434">
        <v>0.6</v>
      </c>
      <c r="BC414" s="432"/>
      <c r="BD414" s="432"/>
      <c r="BE414" s="216">
        <f>BE413*BB414</f>
        <v>1680</v>
      </c>
      <c r="BF414" s="432" t="s">
        <v>128</v>
      </c>
      <c r="BG414" s="432"/>
      <c r="BH414" s="432"/>
      <c r="BI414" s="432"/>
      <c r="BJ414" s="432"/>
      <c r="BK414" s="432" t="s">
        <v>129</v>
      </c>
      <c r="BL414" s="432"/>
      <c r="BM414" s="432"/>
      <c r="BN414" s="432"/>
      <c r="BO414" s="432"/>
      <c r="BP414" s="432"/>
      <c r="BQ414" s="432"/>
      <c r="BZ414" s="432" t="s">
        <v>368</v>
      </c>
      <c r="CA414" s="443"/>
      <c r="CB414" s="443"/>
      <c r="CC414" s="443"/>
      <c r="CD414" s="443"/>
      <c r="CE414" s="443"/>
      <c r="CH414" s="432" t="s">
        <v>366</v>
      </c>
      <c r="CI414" s="443"/>
      <c r="CJ414" s="443"/>
      <c r="CK414" s="443"/>
      <c r="CL414" s="443"/>
      <c r="CM414" s="443"/>
    </row>
    <row r="415" spans="54:91" ht="15" hidden="1" x14ac:dyDescent="0.25">
      <c r="BB415" s="432">
        <v>211</v>
      </c>
      <c r="BC415" s="432"/>
      <c r="BD415" s="432"/>
      <c r="BE415" s="216">
        <f>BE414-BE416</f>
        <v>1290.3225806451612</v>
      </c>
      <c r="BF415" s="435">
        <f>BE415*0.2</f>
        <v>258.06451612903226</v>
      </c>
      <c r="BG415" s="435"/>
      <c r="BH415" s="435"/>
      <c r="BI415" s="435"/>
      <c r="BJ415" s="435"/>
      <c r="BK415" s="436">
        <f>BE415-BF415</f>
        <v>1032.258064516129</v>
      </c>
      <c r="BL415" s="445"/>
      <c r="BM415" s="445"/>
      <c r="BN415" s="445"/>
      <c r="BO415" s="445"/>
      <c r="BP415" s="445"/>
      <c r="BQ415" s="445"/>
      <c r="BZ415" s="840">
        <f>BF415*15/20</f>
        <v>193.54838709677421</v>
      </c>
      <c r="CA415" s="841"/>
      <c r="CB415" s="841"/>
      <c r="CC415" s="841"/>
      <c r="CD415" s="841"/>
      <c r="CE415" s="841"/>
      <c r="CH415" s="840">
        <f>BF415*5/20</f>
        <v>64.516129032258064</v>
      </c>
      <c r="CI415" s="841"/>
      <c r="CJ415" s="841"/>
      <c r="CK415" s="841"/>
      <c r="CL415" s="841"/>
      <c r="CM415" s="841"/>
    </row>
    <row r="416" spans="54:91" ht="12" hidden="1" x14ac:dyDescent="0.2">
      <c r="BB416" s="432">
        <v>213</v>
      </c>
      <c r="BC416" s="432"/>
      <c r="BD416" s="432"/>
      <c r="BE416" s="216">
        <f>BE414*30.2/130.2</f>
        <v>389.67741935483872</v>
      </c>
      <c r="BF416" s="435">
        <f>BF415*30.2%</f>
        <v>77.935483870967744</v>
      </c>
      <c r="BG416" s="435"/>
      <c r="BH416" s="435"/>
      <c r="BI416" s="435"/>
      <c r="BJ416" s="435"/>
      <c r="BK416" s="435">
        <f>BK415*30.2%</f>
        <v>311.74193548387098</v>
      </c>
      <c r="BL416" s="435"/>
      <c r="BM416" s="435"/>
      <c r="BN416" s="435"/>
      <c r="BO416" s="435"/>
      <c r="BP416" s="435"/>
      <c r="BQ416" s="435"/>
    </row>
    <row r="417" spans="54:91" ht="8.25" hidden="1" customHeight="1" x14ac:dyDescent="0.2"/>
    <row r="418" spans="54:91" ht="8.25" hidden="1" customHeight="1" x14ac:dyDescent="0.2"/>
    <row r="419" spans="54:91" ht="8.25" hidden="1" customHeight="1" x14ac:dyDescent="0.2"/>
    <row r="420" spans="54:91" ht="12" hidden="1" x14ac:dyDescent="0.2">
      <c r="BB420" s="432" t="s">
        <v>628</v>
      </c>
      <c r="BC420" s="432"/>
      <c r="BD420" s="432"/>
      <c r="BE420" s="432"/>
      <c r="BF420" s="432"/>
      <c r="BG420" s="432"/>
      <c r="BH420" s="432"/>
      <c r="BI420" s="432"/>
      <c r="BJ420" s="432"/>
      <c r="BK420" s="432"/>
      <c r="BL420" s="432"/>
      <c r="BM420" s="432"/>
      <c r="BN420" s="432"/>
      <c r="BO420" s="432"/>
      <c r="BP420" s="432"/>
      <c r="BQ420" s="432"/>
      <c r="BR420" s="432"/>
      <c r="BS420" s="432"/>
      <c r="BT420" s="432"/>
      <c r="BU420" s="432"/>
      <c r="BV420" s="432"/>
      <c r="BW420" s="432"/>
      <c r="BX420" s="432"/>
    </row>
    <row r="421" spans="54:91" ht="12" hidden="1" x14ac:dyDescent="0.2">
      <c r="BB421" s="432" t="s">
        <v>126</v>
      </c>
      <c r="BC421" s="432"/>
      <c r="BD421" s="432"/>
      <c r="BE421" s="433">
        <f>200*53</f>
        <v>10600</v>
      </c>
      <c r="BF421" s="433"/>
      <c r="BG421" s="433"/>
      <c r="BH421" s="433"/>
      <c r="BI421" s="433"/>
      <c r="BJ421" s="381" t="s">
        <v>127</v>
      </c>
      <c r="BK421" s="381"/>
      <c r="BL421" s="381"/>
      <c r="BM421" s="381"/>
      <c r="BN421" s="381"/>
      <c r="BO421" s="381"/>
      <c r="BP421" s="381"/>
      <c r="BQ421" s="381"/>
    </row>
    <row r="422" spans="54:91" ht="15" hidden="1" x14ac:dyDescent="0.25">
      <c r="BB422" s="434">
        <v>0.6</v>
      </c>
      <c r="BC422" s="432"/>
      <c r="BD422" s="432"/>
      <c r="BE422" s="216">
        <f>BE421*BB422</f>
        <v>6360</v>
      </c>
      <c r="BF422" s="432" t="s">
        <v>128</v>
      </c>
      <c r="BG422" s="432"/>
      <c r="BH422" s="432"/>
      <c r="BI422" s="432"/>
      <c r="BJ422" s="432"/>
      <c r="BK422" s="432" t="s">
        <v>129</v>
      </c>
      <c r="BL422" s="432"/>
      <c r="BM422" s="432"/>
      <c r="BN422" s="432"/>
      <c r="BO422" s="432"/>
      <c r="BP422" s="432"/>
      <c r="BQ422" s="432"/>
      <c r="BZ422" s="432" t="s">
        <v>368</v>
      </c>
      <c r="CA422" s="443"/>
      <c r="CB422" s="443"/>
      <c r="CC422" s="443"/>
      <c r="CD422" s="443"/>
      <c r="CE422" s="443"/>
      <c r="CH422" s="432" t="s">
        <v>366</v>
      </c>
      <c r="CI422" s="443"/>
      <c r="CJ422" s="443"/>
      <c r="CK422" s="443"/>
      <c r="CL422" s="443"/>
      <c r="CM422" s="443"/>
    </row>
    <row r="423" spans="54:91" ht="15" hidden="1" x14ac:dyDescent="0.25">
      <c r="BB423" s="432">
        <v>211</v>
      </c>
      <c r="BC423" s="432"/>
      <c r="BD423" s="432"/>
      <c r="BE423" s="216">
        <f>BE422-BE424</f>
        <v>4884.7926267281109</v>
      </c>
      <c r="BF423" s="435">
        <f>BE423*0.2</f>
        <v>976.95852534562221</v>
      </c>
      <c r="BG423" s="435"/>
      <c r="BH423" s="435"/>
      <c r="BI423" s="435"/>
      <c r="BJ423" s="435"/>
      <c r="BK423" s="436">
        <f>BE423-BF423</f>
        <v>3907.8341013824888</v>
      </c>
      <c r="BL423" s="445"/>
      <c r="BM423" s="445"/>
      <c r="BN423" s="445"/>
      <c r="BO423" s="445"/>
      <c r="BP423" s="445"/>
      <c r="BQ423" s="445"/>
      <c r="BZ423" s="840">
        <f>BF423*15/20</f>
        <v>732.71889400921668</v>
      </c>
      <c r="CA423" s="841"/>
      <c r="CB423" s="841"/>
      <c r="CC423" s="841"/>
      <c r="CD423" s="841"/>
      <c r="CE423" s="841"/>
      <c r="CH423" s="840">
        <f>BF423*5/20</f>
        <v>244.23963133640555</v>
      </c>
      <c r="CI423" s="841"/>
      <c r="CJ423" s="841"/>
      <c r="CK423" s="841"/>
      <c r="CL423" s="841"/>
      <c r="CM423" s="841"/>
    </row>
    <row r="424" spans="54:91" ht="12" hidden="1" x14ac:dyDescent="0.2">
      <c r="BB424" s="432">
        <v>213</v>
      </c>
      <c r="BC424" s="432"/>
      <c r="BD424" s="432"/>
      <c r="BE424" s="216">
        <f>BE422*30.2/130.2</f>
        <v>1475.2073732718895</v>
      </c>
      <c r="BF424" s="435">
        <f>BF423*30.2%</f>
        <v>295.04147465437791</v>
      </c>
      <c r="BG424" s="435"/>
      <c r="BH424" s="435"/>
      <c r="BI424" s="435"/>
      <c r="BJ424" s="435"/>
      <c r="BK424" s="435">
        <f>BK423*30.2%</f>
        <v>1180.1658986175116</v>
      </c>
      <c r="BL424" s="435"/>
      <c r="BM424" s="435"/>
      <c r="BN424" s="435"/>
      <c r="BO424" s="435"/>
      <c r="BP424" s="435"/>
      <c r="BQ424" s="435"/>
    </row>
    <row r="425" spans="54:91" ht="8.25" hidden="1" customHeight="1" x14ac:dyDescent="0.2"/>
    <row r="426" spans="54:91" ht="8.25" hidden="1" customHeight="1" x14ac:dyDescent="0.2"/>
    <row r="427" spans="54:91" ht="12" hidden="1" x14ac:dyDescent="0.2">
      <c r="BB427" s="432" t="s">
        <v>638</v>
      </c>
      <c r="BC427" s="432"/>
      <c r="BD427" s="432"/>
      <c r="BE427" s="432"/>
      <c r="BF427" s="432"/>
      <c r="BG427" s="432"/>
      <c r="BH427" s="432"/>
      <c r="BI427" s="432"/>
      <c r="BJ427" s="432"/>
      <c r="BK427" s="432"/>
      <c r="BL427" s="432"/>
      <c r="BM427" s="432"/>
      <c r="BN427" s="432"/>
      <c r="BO427" s="432"/>
      <c r="BP427" s="432"/>
      <c r="BQ427" s="432"/>
      <c r="BR427" s="432"/>
      <c r="BS427" s="432"/>
      <c r="BT427" s="432"/>
      <c r="BU427" s="432"/>
      <c r="BV427" s="432"/>
      <c r="BW427" s="432"/>
      <c r="BX427" s="432"/>
    </row>
    <row r="428" spans="54:91" ht="12" hidden="1" x14ac:dyDescent="0.2">
      <c r="BB428" s="432" t="s">
        <v>126</v>
      </c>
      <c r="BC428" s="432"/>
      <c r="BD428" s="432"/>
      <c r="BE428" s="433">
        <f>200*5</f>
        <v>1000</v>
      </c>
      <c r="BF428" s="433"/>
      <c r="BG428" s="433"/>
      <c r="BH428" s="433"/>
      <c r="BI428" s="433"/>
      <c r="BJ428" s="385" t="s">
        <v>127</v>
      </c>
      <c r="BK428" s="385"/>
      <c r="BL428" s="385"/>
      <c r="BM428" s="385"/>
      <c r="BN428" s="385"/>
      <c r="BO428" s="385"/>
      <c r="BP428" s="385"/>
      <c r="BQ428" s="385"/>
    </row>
    <row r="429" spans="54:91" ht="15" hidden="1" x14ac:dyDescent="0.25">
      <c r="BB429" s="434">
        <v>0.6</v>
      </c>
      <c r="BC429" s="432"/>
      <c r="BD429" s="432"/>
      <c r="BE429" s="216">
        <f>BE428*BB429</f>
        <v>600</v>
      </c>
      <c r="BF429" s="432" t="s">
        <v>128</v>
      </c>
      <c r="BG429" s="432"/>
      <c r="BH429" s="432"/>
      <c r="BI429" s="432"/>
      <c r="BJ429" s="432"/>
      <c r="BK429" s="432" t="s">
        <v>129</v>
      </c>
      <c r="BL429" s="432"/>
      <c r="BM429" s="432"/>
      <c r="BN429" s="432"/>
      <c r="BO429" s="432"/>
      <c r="BP429" s="432"/>
      <c r="BQ429" s="432"/>
      <c r="BZ429" s="432" t="s">
        <v>368</v>
      </c>
      <c r="CA429" s="443"/>
      <c r="CB429" s="443"/>
      <c r="CC429" s="443"/>
      <c r="CD429" s="443"/>
      <c r="CE429" s="443"/>
      <c r="CH429" s="432" t="s">
        <v>366</v>
      </c>
      <c r="CI429" s="443"/>
      <c r="CJ429" s="443"/>
      <c r="CK429" s="443"/>
      <c r="CL429" s="443"/>
      <c r="CM429" s="443"/>
    </row>
    <row r="430" spans="54:91" ht="15" hidden="1" x14ac:dyDescent="0.25">
      <c r="BB430" s="432">
        <v>211</v>
      </c>
      <c r="BC430" s="432"/>
      <c r="BD430" s="432"/>
      <c r="BE430" s="216">
        <f>BE429-BE431</f>
        <v>460.82949308755758</v>
      </c>
      <c r="BF430" s="435">
        <f>BE430*0.2</f>
        <v>92.165898617511516</v>
      </c>
      <c r="BG430" s="435"/>
      <c r="BH430" s="435"/>
      <c r="BI430" s="435"/>
      <c r="BJ430" s="435"/>
      <c r="BK430" s="436">
        <f>BE430-BF430</f>
        <v>368.66359447004606</v>
      </c>
      <c r="BL430" s="445"/>
      <c r="BM430" s="445"/>
      <c r="BN430" s="445"/>
      <c r="BO430" s="445"/>
      <c r="BP430" s="445"/>
      <c r="BQ430" s="445"/>
      <c r="BZ430" s="840">
        <f>BF430*15/20</f>
        <v>69.124423963133637</v>
      </c>
      <c r="CA430" s="841"/>
      <c r="CB430" s="841"/>
      <c r="CC430" s="841"/>
      <c r="CD430" s="841"/>
      <c r="CE430" s="841"/>
      <c r="CH430" s="840">
        <f>BF430*5/20</f>
        <v>23.041474654377879</v>
      </c>
      <c r="CI430" s="841"/>
      <c r="CJ430" s="841"/>
      <c r="CK430" s="841"/>
      <c r="CL430" s="841"/>
      <c r="CM430" s="841"/>
    </row>
    <row r="431" spans="54:91" ht="12" hidden="1" x14ac:dyDescent="0.2">
      <c r="BB431" s="432">
        <v>213</v>
      </c>
      <c r="BC431" s="432"/>
      <c r="BD431" s="432"/>
      <c r="BE431" s="216">
        <f>BE429*30.2/130.2</f>
        <v>139.17050691244242</v>
      </c>
      <c r="BF431" s="435">
        <f>BF430*30.2%</f>
        <v>27.834101382488477</v>
      </c>
      <c r="BG431" s="435"/>
      <c r="BH431" s="435"/>
      <c r="BI431" s="435"/>
      <c r="BJ431" s="435"/>
      <c r="BK431" s="435">
        <f>BK430*30.2%</f>
        <v>111.33640552995391</v>
      </c>
      <c r="BL431" s="435"/>
      <c r="BM431" s="435"/>
      <c r="BN431" s="435"/>
      <c r="BO431" s="435"/>
      <c r="BP431" s="435"/>
      <c r="BQ431" s="435"/>
    </row>
    <row r="432" spans="54:91" ht="8.25" hidden="1" customHeight="1" x14ac:dyDescent="0.2"/>
    <row r="433" ht="8.25" hidden="1" customHeight="1" x14ac:dyDescent="0.2"/>
    <row r="434" ht="8.25" hidden="1" customHeight="1" x14ac:dyDescent="0.2"/>
  </sheetData>
  <mergeCells count="1170">
    <mergeCell ref="BF424:BJ424"/>
    <mergeCell ref="BK424:BQ424"/>
    <mergeCell ref="BB404:BX404"/>
    <mergeCell ref="BB405:BD405"/>
    <mergeCell ref="BE405:BI405"/>
    <mergeCell ref="BB406:BD406"/>
    <mergeCell ref="BF406:BJ406"/>
    <mergeCell ref="BK406:BQ406"/>
    <mergeCell ref="BZ406:CE406"/>
    <mergeCell ref="CH406:CM406"/>
    <mergeCell ref="BB407:BD407"/>
    <mergeCell ref="BF407:BJ407"/>
    <mergeCell ref="BK407:BQ407"/>
    <mergeCell ref="BZ407:CE407"/>
    <mergeCell ref="CH407:CM407"/>
    <mergeCell ref="BB408:BD408"/>
    <mergeCell ref="BF408:BJ408"/>
    <mergeCell ref="BK408:BQ408"/>
    <mergeCell ref="CH423:CM423"/>
    <mergeCell ref="A109:Z109"/>
    <mergeCell ref="AA109:AF109"/>
    <mergeCell ref="AU109:BB109"/>
    <mergeCell ref="A110:Z110"/>
    <mergeCell ref="AA110:AF110"/>
    <mergeCell ref="AU110:BB110"/>
    <mergeCell ref="A111:Z111"/>
    <mergeCell ref="AA111:AF111"/>
    <mergeCell ref="AU111:BB111"/>
    <mergeCell ref="A112:Z112"/>
    <mergeCell ref="AA112:AF112"/>
    <mergeCell ref="AU112:BB112"/>
    <mergeCell ref="A115:Z115"/>
    <mergeCell ref="AA115:AF115"/>
    <mergeCell ref="AU115:BB115"/>
    <mergeCell ref="BB375:BX375"/>
    <mergeCell ref="BB310:BD310"/>
    <mergeCell ref="BF310:BJ310"/>
    <mergeCell ref="BK310:BQ310"/>
    <mergeCell ref="BB336:BX336"/>
    <mergeCell ref="BB337:BD337"/>
    <mergeCell ref="BE337:BI337"/>
    <mergeCell ref="BB313:BX313"/>
    <mergeCell ref="BB314:BD314"/>
    <mergeCell ref="BE314:BI314"/>
    <mergeCell ref="BB315:BD315"/>
    <mergeCell ref="BF315:BJ315"/>
    <mergeCell ref="BK315:BQ315"/>
    <mergeCell ref="BF242:BJ242"/>
    <mergeCell ref="BK242:BQ242"/>
    <mergeCell ref="BK183:BQ183"/>
    <mergeCell ref="BB328:BX328"/>
    <mergeCell ref="CH354:CM354"/>
    <mergeCell ref="BB355:BD355"/>
    <mergeCell ref="BF355:BJ355"/>
    <mergeCell ref="BK355:BQ355"/>
    <mergeCell ref="BZ355:CE355"/>
    <mergeCell ref="CH355:CM355"/>
    <mergeCell ref="BB348:BD348"/>
    <mergeCell ref="BF348:BJ348"/>
    <mergeCell ref="BK348:BQ348"/>
    <mergeCell ref="BB367:BX367"/>
    <mergeCell ref="BB368:BD368"/>
    <mergeCell ref="BE368:BI368"/>
    <mergeCell ref="BB369:BD369"/>
    <mergeCell ref="BF369:BJ369"/>
    <mergeCell ref="BB352:BX352"/>
    <mergeCell ref="BF362:BJ362"/>
    <mergeCell ref="BZ369:CE369"/>
    <mergeCell ref="CH369:CM369"/>
    <mergeCell ref="BB364:BD364"/>
    <mergeCell ref="BF364:BJ364"/>
    <mergeCell ref="BK364:BQ364"/>
    <mergeCell ref="BB356:BD356"/>
    <mergeCell ref="BF356:BJ356"/>
    <mergeCell ref="CH377:CM377"/>
    <mergeCell ref="BB378:BD378"/>
    <mergeCell ref="BF378:BJ378"/>
    <mergeCell ref="BK378:BQ378"/>
    <mergeCell ref="BZ378:CE378"/>
    <mergeCell ref="CH378:CM378"/>
    <mergeCell ref="BB379:BD379"/>
    <mergeCell ref="BF379:BJ379"/>
    <mergeCell ref="BK379:BQ379"/>
    <mergeCell ref="BB385:BD385"/>
    <mergeCell ref="BF385:BJ385"/>
    <mergeCell ref="BK385:BQ385"/>
    <mergeCell ref="BZ385:CE385"/>
    <mergeCell ref="BB383:BD383"/>
    <mergeCell ref="BE383:BI383"/>
    <mergeCell ref="BB384:BD384"/>
    <mergeCell ref="BF384:BJ384"/>
    <mergeCell ref="BK384:BQ384"/>
    <mergeCell ref="BZ384:CE384"/>
    <mergeCell ref="CH384:CM384"/>
    <mergeCell ref="BB382:BX382"/>
    <mergeCell ref="CH385:CM385"/>
    <mergeCell ref="BZ315:CE315"/>
    <mergeCell ref="CH315:CM315"/>
    <mergeCell ref="BB316:BD316"/>
    <mergeCell ref="BF316:BJ316"/>
    <mergeCell ref="BK316:BQ316"/>
    <mergeCell ref="BZ316:CE316"/>
    <mergeCell ref="CH316:CM316"/>
    <mergeCell ref="BZ323:CE323"/>
    <mergeCell ref="CH323:CM323"/>
    <mergeCell ref="BB324:BD324"/>
    <mergeCell ref="BF324:BJ324"/>
    <mergeCell ref="BK324:BQ324"/>
    <mergeCell ref="BZ324:CE324"/>
    <mergeCell ref="CH324:CM324"/>
    <mergeCell ref="BB325:BD325"/>
    <mergeCell ref="BF325:BJ325"/>
    <mergeCell ref="BK325:BQ325"/>
    <mergeCell ref="BB317:BD317"/>
    <mergeCell ref="BF317:BJ317"/>
    <mergeCell ref="BK317:BQ317"/>
    <mergeCell ref="BB321:BX321"/>
    <mergeCell ref="BB322:BD322"/>
    <mergeCell ref="BE322:BI322"/>
    <mergeCell ref="BB323:BD323"/>
    <mergeCell ref="BF323:BJ323"/>
    <mergeCell ref="BK323:BQ323"/>
    <mergeCell ref="BB329:BD329"/>
    <mergeCell ref="BZ308:CE308"/>
    <mergeCell ref="CH308:CM308"/>
    <mergeCell ref="BB309:BD309"/>
    <mergeCell ref="BF309:BJ309"/>
    <mergeCell ref="BK309:BQ309"/>
    <mergeCell ref="BZ309:CE309"/>
    <mergeCell ref="CH309:CM309"/>
    <mergeCell ref="BK243:BQ243"/>
    <mergeCell ref="BZ259:CE259"/>
    <mergeCell ref="BB273:BD273"/>
    <mergeCell ref="BF273:BJ273"/>
    <mergeCell ref="BK273:BQ273"/>
    <mergeCell ref="BZ273:CE273"/>
    <mergeCell ref="CH273:CM273"/>
    <mergeCell ref="BZ280:CE280"/>
    <mergeCell ref="CH280:CM280"/>
    <mergeCell ref="BB281:BD281"/>
    <mergeCell ref="BF281:BJ281"/>
    <mergeCell ref="BK281:BQ281"/>
    <mergeCell ref="BZ281:CE281"/>
    <mergeCell ref="CH281:CM281"/>
    <mergeCell ref="BB282:BD282"/>
    <mergeCell ref="BF282:BJ282"/>
    <mergeCell ref="BK252:BQ252"/>
    <mergeCell ref="BB256:BX256"/>
    <mergeCell ref="BB257:BD257"/>
    <mergeCell ref="BE257:BI257"/>
    <mergeCell ref="BB258:BD258"/>
    <mergeCell ref="BF258:BJ258"/>
    <mergeCell ref="BK258:BQ258"/>
    <mergeCell ref="BB248:BX248"/>
    <mergeCell ref="BB249:BD249"/>
    <mergeCell ref="BF259:BJ259"/>
    <mergeCell ref="BK259:BQ259"/>
    <mergeCell ref="BB243:BD243"/>
    <mergeCell ref="BF243:BJ243"/>
    <mergeCell ref="BZ218:CE218"/>
    <mergeCell ref="CH218:CM218"/>
    <mergeCell ref="BB219:BD219"/>
    <mergeCell ref="BF219:BJ219"/>
    <mergeCell ref="BK219:BQ219"/>
    <mergeCell ref="BZ219:CE219"/>
    <mergeCell ref="CH219:CM219"/>
    <mergeCell ref="BB220:BD220"/>
    <mergeCell ref="BF220:BJ220"/>
    <mergeCell ref="BK220:BQ220"/>
    <mergeCell ref="BB225:BD225"/>
    <mergeCell ref="BF225:BJ225"/>
    <mergeCell ref="BK225:BQ225"/>
    <mergeCell ref="BB235:BD235"/>
    <mergeCell ref="BF235:BJ235"/>
    <mergeCell ref="BK235:BQ235"/>
    <mergeCell ref="BB239:BX239"/>
    <mergeCell ref="BB240:BD240"/>
    <mergeCell ref="BE240:BI240"/>
    <mergeCell ref="BB241:BD241"/>
    <mergeCell ref="BF241:BJ241"/>
    <mergeCell ref="BK241:BQ241"/>
    <mergeCell ref="BZ242:CE242"/>
    <mergeCell ref="BZ225:CE225"/>
    <mergeCell ref="CH225:CM225"/>
    <mergeCell ref="BB226:BD226"/>
    <mergeCell ref="BF226:BJ226"/>
    <mergeCell ref="BB208:BX208"/>
    <mergeCell ref="BB209:BD209"/>
    <mergeCell ref="BE209:BI209"/>
    <mergeCell ref="BB212:BD212"/>
    <mergeCell ref="BF212:BJ212"/>
    <mergeCell ref="BK212:BQ212"/>
    <mergeCell ref="BB210:BD210"/>
    <mergeCell ref="BF210:BJ210"/>
    <mergeCell ref="BK210:BQ210"/>
    <mergeCell ref="BZ210:CE210"/>
    <mergeCell ref="CH210:CM210"/>
    <mergeCell ref="BB211:BD211"/>
    <mergeCell ref="BF211:BJ211"/>
    <mergeCell ref="BK211:BQ211"/>
    <mergeCell ref="EH203:EL203"/>
    <mergeCell ref="DD189:DF189"/>
    <mergeCell ref="DH189:DL189"/>
    <mergeCell ref="EH189:EL189"/>
    <mergeCell ref="BB201:BX201"/>
    <mergeCell ref="BB202:BD202"/>
    <mergeCell ref="BE202:BI202"/>
    <mergeCell ref="BB203:BD203"/>
    <mergeCell ref="BF203:BJ203"/>
    <mergeCell ref="BK203:BQ203"/>
    <mergeCell ref="BB205:BD205"/>
    <mergeCell ref="BF205:BJ205"/>
    <mergeCell ref="BK205:BQ205"/>
    <mergeCell ref="DD201:DZ201"/>
    <mergeCell ref="ED201:EZ201"/>
    <mergeCell ref="DD202:DF202"/>
    <mergeCell ref="DG202:DK202"/>
    <mergeCell ref="BB193:BX193"/>
    <mergeCell ref="BB194:BD194"/>
    <mergeCell ref="BE194:BI194"/>
    <mergeCell ref="EM195:ES195"/>
    <mergeCell ref="BB195:BD195"/>
    <mergeCell ref="BF195:BJ195"/>
    <mergeCell ref="BK195:BQ195"/>
    <mergeCell ref="BB196:BD196"/>
    <mergeCell ref="BF196:BJ196"/>
    <mergeCell ref="BK196:BQ196"/>
    <mergeCell ref="BB189:BD189"/>
    <mergeCell ref="BF189:BJ189"/>
    <mergeCell ref="BK189:BQ189"/>
    <mergeCell ref="ED189:EF189"/>
    <mergeCell ref="ED202:EF202"/>
    <mergeCell ref="EG202:EK202"/>
    <mergeCell ref="DH195:DL195"/>
    <mergeCell ref="DM195:DS195"/>
    <mergeCell ref="ED195:EF195"/>
    <mergeCell ref="EH195:EL195"/>
    <mergeCell ref="DD193:DZ193"/>
    <mergeCell ref="BB197:BD197"/>
    <mergeCell ref="BF197:BJ197"/>
    <mergeCell ref="BK197:BQ197"/>
    <mergeCell ref="EH187:EL187"/>
    <mergeCell ref="EM187:ES187"/>
    <mergeCell ref="DD188:DF188"/>
    <mergeCell ref="DH188:DL188"/>
    <mergeCell ref="DM188:DS188"/>
    <mergeCell ref="ED188:EF188"/>
    <mergeCell ref="EH188:EL188"/>
    <mergeCell ref="EM188:ES188"/>
    <mergeCell ref="EM203:ES203"/>
    <mergeCell ref="DD196:DF196"/>
    <mergeCell ref="DH196:DL196"/>
    <mergeCell ref="DM196:DS196"/>
    <mergeCell ref="ED196:EF196"/>
    <mergeCell ref="EH196:EL196"/>
    <mergeCell ref="EM196:ES196"/>
    <mergeCell ref="DD197:DF197"/>
    <mergeCell ref="DH197:DL197"/>
    <mergeCell ref="DM197:DS197"/>
    <mergeCell ref="ED197:EF197"/>
    <mergeCell ref="EH197:EL197"/>
    <mergeCell ref="EM197:ES197"/>
    <mergeCell ref="ED193:EZ193"/>
    <mergeCell ref="DD194:DF194"/>
    <mergeCell ref="DG194:DK194"/>
    <mergeCell ref="DD203:DF203"/>
    <mergeCell ref="DH203:DL203"/>
    <mergeCell ref="DM203:DS203"/>
    <mergeCell ref="ED203:EF203"/>
    <mergeCell ref="ED194:EF194"/>
    <mergeCell ref="EG194:EK194"/>
    <mergeCell ref="DD195:DF195"/>
    <mergeCell ref="EM189:ES189"/>
    <mergeCell ref="BB164:BX164"/>
    <mergeCell ref="BB165:BD165"/>
    <mergeCell ref="DD164:DZ164"/>
    <mergeCell ref="DD165:DF165"/>
    <mergeCell ref="DG165:DK165"/>
    <mergeCell ref="DD166:DF166"/>
    <mergeCell ref="DH166:DL166"/>
    <mergeCell ref="DM166:DS166"/>
    <mergeCell ref="DD167:DF167"/>
    <mergeCell ref="DH167:DL167"/>
    <mergeCell ref="DM167:DS167"/>
    <mergeCell ref="DD175:DF175"/>
    <mergeCell ref="DH175:DL175"/>
    <mergeCell ref="DM175:DS175"/>
    <mergeCell ref="DD176:DF176"/>
    <mergeCell ref="DH176:DL176"/>
    <mergeCell ref="DM176:DS176"/>
    <mergeCell ref="DD168:DF168"/>
    <mergeCell ref="DH168:DL168"/>
    <mergeCell ref="DM168:DS168"/>
    <mergeCell ref="DD172:DZ172"/>
    <mergeCell ref="DD173:DF173"/>
    <mergeCell ref="DG173:DK173"/>
    <mergeCell ref="DD174:DF174"/>
    <mergeCell ref="DH174:DL174"/>
    <mergeCell ref="DM174:DS174"/>
    <mergeCell ref="BE165:BI165"/>
    <mergeCell ref="BB166:BD166"/>
    <mergeCell ref="BF166:BJ166"/>
    <mergeCell ref="BK166:BQ166"/>
    <mergeCell ref="BB167:BD167"/>
    <mergeCell ref="BF167:BJ167"/>
    <mergeCell ref="A155:F155"/>
    <mergeCell ref="H155:L155"/>
    <mergeCell ref="M155:Q155"/>
    <mergeCell ref="R155:U155"/>
    <mergeCell ref="V155:Y155"/>
    <mergeCell ref="Z155:AC155"/>
    <mergeCell ref="AD155:AI155"/>
    <mergeCell ref="AJ155:AP155"/>
    <mergeCell ref="AQ155:AT155"/>
    <mergeCell ref="AU155:AX155"/>
    <mergeCell ref="AY155:BB155"/>
    <mergeCell ref="B160:S161"/>
    <mergeCell ref="AM160:BC161"/>
    <mergeCell ref="AD156:AI156"/>
    <mergeCell ref="AJ156:AP156"/>
    <mergeCell ref="AQ156:AT156"/>
    <mergeCell ref="AU156:AX156"/>
    <mergeCell ref="AY156:BB156"/>
    <mergeCell ref="BC157:BD157"/>
    <mergeCell ref="A156:G156"/>
    <mergeCell ref="H156:L156"/>
    <mergeCell ref="M156:Q156"/>
    <mergeCell ref="R156:U156"/>
    <mergeCell ref="V156:Y156"/>
    <mergeCell ref="Z156:AC156"/>
    <mergeCell ref="BC158:BD158"/>
    <mergeCell ref="B159:S159"/>
    <mergeCell ref="BC159:BD159"/>
    <mergeCell ref="AM159:BB159"/>
    <mergeCell ref="H152:L152"/>
    <mergeCell ref="M152:Q152"/>
    <mergeCell ref="AD152:AI152"/>
    <mergeCell ref="AJ152:AP152"/>
    <mergeCell ref="AQ152:AT152"/>
    <mergeCell ref="AU152:AX152"/>
    <mergeCell ref="AY152:BB152"/>
    <mergeCell ref="AU153:AX153"/>
    <mergeCell ref="AY153:BB153"/>
    <mergeCell ref="A154:G154"/>
    <mergeCell ref="H154:L154"/>
    <mergeCell ref="M154:Q154"/>
    <mergeCell ref="R154:U154"/>
    <mergeCell ref="V154:Y154"/>
    <mergeCell ref="Z154:AC154"/>
    <mergeCell ref="AD154:AI154"/>
    <mergeCell ref="AJ154:AP154"/>
    <mergeCell ref="A153:G153"/>
    <mergeCell ref="H153:L153"/>
    <mergeCell ref="M153:Q153"/>
    <mergeCell ref="AD153:AI153"/>
    <mergeCell ref="AJ153:AP153"/>
    <mergeCell ref="AQ153:AT153"/>
    <mergeCell ref="AQ154:AT154"/>
    <mergeCell ref="AU154:AX154"/>
    <mergeCell ref="AY154:BB154"/>
    <mergeCell ref="A149:G149"/>
    <mergeCell ref="H149:L149"/>
    <mergeCell ref="M149:Q149"/>
    <mergeCell ref="R149:U149"/>
    <mergeCell ref="V149:Y149"/>
    <mergeCell ref="Z149:AC149"/>
    <mergeCell ref="AD149:AI149"/>
    <mergeCell ref="AJ149:AP149"/>
    <mergeCell ref="AQ149:AT149"/>
    <mergeCell ref="A147:G148"/>
    <mergeCell ref="AU149:AX149"/>
    <mergeCell ref="AY149:BB149"/>
    <mergeCell ref="A150:G150"/>
    <mergeCell ref="H150:L150"/>
    <mergeCell ref="M150:Q150"/>
    <mergeCell ref="R150:U153"/>
    <mergeCell ref="V150:Y153"/>
    <mergeCell ref="Z150:AC153"/>
    <mergeCell ref="AD150:AI150"/>
    <mergeCell ref="AJ150:AP150"/>
    <mergeCell ref="AQ150:AT150"/>
    <mergeCell ref="AU150:AX150"/>
    <mergeCell ref="AY150:BB150"/>
    <mergeCell ref="A151:G151"/>
    <mergeCell ref="H151:L151"/>
    <mergeCell ref="M151:Q151"/>
    <mergeCell ref="AD151:AI151"/>
    <mergeCell ref="AJ151:AP151"/>
    <mergeCell ref="AQ151:AT151"/>
    <mergeCell ref="AU151:AX151"/>
    <mergeCell ref="AY151:BB151"/>
    <mergeCell ref="A152:G152"/>
    <mergeCell ref="A143:Z143"/>
    <mergeCell ref="AA143:AF143"/>
    <mergeCell ref="AG143:AL143"/>
    <mergeCell ref="AM143:AT143"/>
    <mergeCell ref="AU143:BB143"/>
    <mergeCell ref="A140:Z140"/>
    <mergeCell ref="AA140:AF140"/>
    <mergeCell ref="AU140:BB140"/>
    <mergeCell ref="A141:Z141"/>
    <mergeCell ref="AA141:AF141"/>
    <mergeCell ref="AU141:BB141"/>
    <mergeCell ref="AD147:AP147"/>
    <mergeCell ref="AQ147:AT147"/>
    <mergeCell ref="AU147:AX147"/>
    <mergeCell ref="AY147:BB147"/>
    <mergeCell ref="H148:L148"/>
    <mergeCell ref="M148:Q148"/>
    <mergeCell ref="AD148:AI148"/>
    <mergeCell ref="AJ148:AP148"/>
    <mergeCell ref="AQ148:AT148"/>
    <mergeCell ref="AU148:AX148"/>
    <mergeCell ref="H147:L147"/>
    <mergeCell ref="M147:Q147"/>
    <mergeCell ref="R147:U148"/>
    <mergeCell ref="V147:Y148"/>
    <mergeCell ref="Z147:AC148"/>
    <mergeCell ref="AY148:BB148"/>
    <mergeCell ref="A135:Z135"/>
    <mergeCell ref="AA135:AF135"/>
    <mergeCell ref="AG135:AL135"/>
    <mergeCell ref="AM135:AT135"/>
    <mergeCell ref="AU135:BB135"/>
    <mergeCell ref="A138:Z138"/>
    <mergeCell ref="AA138:AF138"/>
    <mergeCell ref="AU138:BB138"/>
    <mergeCell ref="A139:Z139"/>
    <mergeCell ref="AA139:AF139"/>
    <mergeCell ref="AU139:BB139"/>
    <mergeCell ref="A136:Z136"/>
    <mergeCell ref="AA136:AF136"/>
    <mergeCell ref="AG136:AL136"/>
    <mergeCell ref="AM136:AT136"/>
    <mergeCell ref="AU136:BB136"/>
    <mergeCell ref="A137:Z137"/>
    <mergeCell ref="AA137:AF137"/>
    <mergeCell ref="AG137:AL142"/>
    <mergeCell ref="AM137:AT142"/>
    <mergeCell ref="AU137:BB137"/>
    <mergeCell ref="A142:Z142"/>
    <mergeCell ref="AA142:AF142"/>
    <mergeCell ref="AU142:BB142"/>
    <mergeCell ref="A129:Z129"/>
    <mergeCell ref="AA129:AF129"/>
    <mergeCell ref="AU129:BB129"/>
    <mergeCell ref="A130:Z130"/>
    <mergeCell ref="AA130:AF130"/>
    <mergeCell ref="AU130:BB130"/>
    <mergeCell ref="A127:Z127"/>
    <mergeCell ref="AA127:AF127"/>
    <mergeCell ref="AU127:BB127"/>
    <mergeCell ref="A128:Z128"/>
    <mergeCell ref="AA128:AF128"/>
    <mergeCell ref="AU128:BB128"/>
    <mergeCell ref="A131:Z131"/>
    <mergeCell ref="AA131:AF131"/>
    <mergeCell ref="AG131:AL131"/>
    <mergeCell ref="AM131:AT131"/>
    <mergeCell ref="AU131:BB131"/>
    <mergeCell ref="AA119:AF119"/>
    <mergeCell ref="AU119:BB119"/>
    <mergeCell ref="A120:Z120"/>
    <mergeCell ref="AA120:AF120"/>
    <mergeCell ref="AU120:BB120"/>
    <mergeCell ref="A125:Z125"/>
    <mergeCell ref="AA125:AF125"/>
    <mergeCell ref="AU125:BB125"/>
    <mergeCell ref="A126:Z126"/>
    <mergeCell ref="AA126:AF126"/>
    <mergeCell ref="AU126:BB126"/>
    <mergeCell ref="A123:Z123"/>
    <mergeCell ref="AA123:AF123"/>
    <mergeCell ref="AU123:BB123"/>
    <mergeCell ref="A124:Z124"/>
    <mergeCell ref="AA124:AF124"/>
    <mergeCell ref="AU124:BB124"/>
    <mergeCell ref="A106:Z106"/>
    <mergeCell ref="AA106:AF106"/>
    <mergeCell ref="AU106:BB106"/>
    <mergeCell ref="A107:Z107"/>
    <mergeCell ref="AA107:AF107"/>
    <mergeCell ref="AU107:BB107"/>
    <mergeCell ref="A104:Z104"/>
    <mergeCell ref="AA104:AF104"/>
    <mergeCell ref="AG104:AL130"/>
    <mergeCell ref="AM104:AT130"/>
    <mergeCell ref="AU104:BB104"/>
    <mergeCell ref="A105:Z105"/>
    <mergeCell ref="AA105:AF105"/>
    <mergeCell ref="A117:Z117"/>
    <mergeCell ref="AA117:AF117"/>
    <mergeCell ref="AU117:BB117"/>
    <mergeCell ref="A118:Z118"/>
    <mergeCell ref="AA118:AF118"/>
    <mergeCell ref="AU118:BB118"/>
    <mergeCell ref="A108:Z108"/>
    <mergeCell ref="AA108:AF108"/>
    <mergeCell ref="AU108:BB108"/>
    <mergeCell ref="A116:Z116"/>
    <mergeCell ref="AA116:AF116"/>
    <mergeCell ref="AU116:BB116"/>
    <mergeCell ref="A121:Z121"/>
    <mergeCell ref="AA121:AF121"/>
    <mergeCell ref="AU121:BB121"/>
    <mergeCell ref="A122:Z122"/>
    <mergeCell ref="AA122:AF122"/>
    <mergeCell ref="AU122:BB122"/>
    <mergeCell ref="A119:Z119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103:Z103"/>
    <mergeCell ref="AA103:AF103"/>
    <mergeCell ref="AG103:AL103"/>
    <mergeCell ref="AM103:AT103"/>
    <mergeCell ref="AU103:BB103"/>
    <mergeCell ref="AU105:BB105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S83:AW83"/>
    <mergeCell ref="AX83:BB83"/>
    <mergeCell ref="AH73:AM77"/>
    <mergeCell ref="AN73:AR77"/>
    <mergeCell ref="AS73:AW77"/>
    <mergeCell ref="AO84:AR84"/>
    <mergeCell ref="AS84:AW84"/>
    <mergeCell ref="AX84:BB84"/>
    <mergeCell ref="A86:N86"/>
    <mergeCell ref="O86:AN86"/>
    <mergeCell ref="AO86:AU86"/>
    <mergeCell ref="AV86:BB86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AX78:BB82"/>
    <mergeCell ref="H79:M79"/>
    <mergeCell ref="N79:P79"/>
    <mergeCell ref="R79:V79"/>
    <mergeCell ref="I81:K81"/>
    <mergeCell ref="M81:O81"/>
    <mergeCell ref="Q81:S81"/>
    <mergeCell ref="AX73:BB77"/>
    <mergeCell ref="H74:M74"/>
    <mergeCell ref="N74:P74"/>
    <mergeCell ref="R74:V74"/>
    <mergeCell ref="I76:K76"/>
    <mergeCell ref="R69:V69"/>
    <mergeCell ref="I71:K71"/>
    <mergeCell ref="M71:O71"/>
    <mergeCell ref="Q71:S71"/>
    <mergeCell ref="M76:O76"/>
    <mergeCell ref="Q76:S76"/>
    <mergeCell ref="U76:W76"/>
    <mergeCell ref="Z76:AB76"/>
    <mergeCell ref="M66:O66"/>
    <mergeCell ref="Q66:S66"/>
    <mergeCell ref="U66:W66"/>
    <mergeCell ref="Z66:AB66"/>
    <mergeCell ref="AX63:BB67"/>
    <mergeCell ref="AH68:AM72"/>
    <mergeCell ref="AN68:AR72"/>
    <mergeCell ref="AS68:AW72"/>
    <mergeCell ref="AX68:BB72"/>
    <mergeCell ref="H69:M69"/>
    <mergeCell ref="N69:P69"/>
    <mergeCell ref="A68:G72"/>
    <mergeCell ref="AC68:AG72"/>
    <mergeCell ref="U71:W71"/>
    <mergeCell ref="Z71:AB71"/>
    <mergeCell ref="A63:G67"/>
    <mergeCell ref="AC63:AG67"/>
    <mergeCell ref="H64:M64"/>
    <mergeCell ref="N64:P64"/>
    <mergeCell ref="R64:V64"/>
    <mergeCell ref="I66:K66"/>
    <mergeCell ref="Z41:AB50"/>
    <mergeCell ref="AC41:AG43"/>
    <mergeCell ref="AH63:AM67"/>
    <mergeCell ref="AN63:AR67"/>
    <mergeCell ref="AS63:AW67"/>
    <mergeCell ref="AH41:AM43"/>
    <mergeCell ref="AN41:AR43"/>
    <mergeCell ref="AS41:AW43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R59:V59"/>
    <mergeCell ref="Z61:AB61"/>
    <mergeCell ref="A7:BA7"/>
    <mergeCell ref="A8:BA8"/>
    <mergeCell ref="C10:E10"/>
    <mergeCell ref="G10:L10"/>
    <mergeCell ref="N10:Q10"/>
    <mergeCell ref="AH10:AI10"/>
    <mergeCell ref="AJ10:AL10"/>
    <mergeCell ref="AN10:AT10"/>
    <mergeCell ref="AV10:AY10"/>
    <mergeCell ref="U10:AG10"/>
    <mergeCell ref="AO35:AR35"/>
    <mergeCell ref="AS35:AW35"/>
    <mergeCell ref="AX35:BB35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A12:S12"/>
    <mergeCell ref="U12:W12"/>
    <mergeCell ref="A14:S14"/>
    <mergeCell ref="U14:W14"/>
    <mergeCell ref="A16:S16"/>
    <mergeCell ref="U16:W16"/>
    <mergeCell ref="Y16:AA16"/>
    <mergeCell ref="AX19:BB19"/>
    <mergeCell ref="A20:G22"/>
    <mergeCell ref="H20:AB22"/>
    <mergeCell ref="AC20:AG22"/>
    <mergeCell ref="AH20:AM22"/>
    <mergeCell ref="AN20:AR22"/>
    <mergeCell ref="AS20:AW22"/>
    <mergeCell ref="AX20:BB22"/>
    <mergeCell ref="H34:M34"/>
    <mergeCell ref="AS34:AW34"/>
    <mergeCell ref="AX34:BB34"/>
    <mergeCell ref="H51:K51"/>
    <mergeCell ref="AS51:AW51"/>
    <mergeCell ref="AX51:BB51"/>
    <mergeCell ref="AO52:AR52"/>
    <mergeCell ref="AS52:AW52"/>
    <mergeCell ref="AX52:BB52"/>
    <mergeCell ref="AX37:BB39"/>
    <mergeCell ref="A40:BB40"/>
    <mergeCell ref="AX41:BB43"/>
    <mergeCell ref="A37:G39"/>
    <mergeCell ref="H37:AB39"/>
    <mergeCell ref="AC37:AG39"/>
    <mergeCell ref="AH37:AM39"/>
    <mergeCell ref="AN37:AR39"/>
    <mergeCell ref="AS37:AW39"/>
    <mergeCell ref="A41:G50"/>
    <mergeCell ref="H41:Y50"/>
    <mergeCell ref="BK167:BQ167"/>
    <mergeCell ref="BB168:BD168"/>
    <mergeCell ref="BF168:BJ168"/>
    <mergeCell ref="BK168:BQ168"/>
    <mergeCell ref="BB178:BX178"/>
    <mergeCell ref="BB184:BD184"/>
    <mergeCell ref="BE184:BI184"/>
    <mergeCell ref="BB172:BX172"/>
    <mergeCell ref="BB173:BD173"/>
    <mergeCell ref="BE173:BI173"/>
    <mergeCell ref="BB174:BD174"/>
    <mergeCell ref="BF174:BJ174"/>
    <mergeCell ref="BK174:BQ174"/>
    <mergeCell ref="BB175:BD175"/>
    <mergeCell ref="BF175:BJ175"/>
    <mergeCell ref="BK175:BQ175"/>
    <mergeCell ref="BB176:BD176"/>
    <mergeCell ref="BF176:BJ176"/>
    <mergeCell ref="BK176:BQ176"/>
    <mergeCell ref="BB179:BX179"/>
    <mergeCell ref="BB180:BD180"/>
    <mergeCell ref="BE180:BI180"/>
    <mergeCell ref="BB181:BD181"/>
    <mergeCell ref="BF181:BJ181"/>
    <mergeCell ref="BK181:BQ181"/>
    <mergeCell ref="BB182:BD182"/>
    <mergeCell ref="BF182:BJ182"/>
    <mergeCell ref="BK182:BQ182"/>
    <mergeCell ref="BB183:BD183"/>
    <mergeCell ref="BF183:BJ183"/>
    <mergeCell ref="CB176:CD176"/>
    <mergeCell ref="CF176:CJ176"/>
    <mergeCell ref="CK176:CQ176"/>
    <mergeCell ref="CB164:CX164"/>
    <mergeCell ref="CB165:CD165"/>
    <mergeCell ref="CE165:CI165"/>
    <mergeCell ref="CB166:CD166"/>
    <mergeCell ref="CF166:CJ166"/>
    <mergeCell ref="CK166:CQ166"/>
    <mergeCell ref="CB167:CD167"/>
    <mergeCell ref="CF167:CJ167"/>
    <mergeCell ref="CK167:CQ167"/>
    <mergeCell ref="CB168:CD168"/>
    <mergeCell ref="CF168:CJ168"/>
    <mergeCell ref="CK168:CQ168"/>
    <mergeCell ref="CB172:CX172"/>
    <mergeCell ref="CB173:CD173"/>
    <mergeCell ref="CE173:CI173"/>
    <mergeCell ref="CB174:CD174"/>
    <mergeCell ref="CF174:CJ174"/>
    <mergeCell ref="CK174:CQ174"/>
    <mergeCell ref="CB175:CD175"/>
    <mergeCell ref="CF175:CJ175"/>
    <mergeCell ref="CK175:CQ175"/>
    <mergeCell ref="EH175:EL175"/>
    <mergeCell ref="EM175:ES175"/>
    <mergeCell ref="ED176:EF176"/>
    <mergeCell ref="EH176:EL176"/>
    <mergeCell ref="EM176:ES176"/>
    <mergeCell ref="ED168:EF168"/>
    <mergeCell ref="EH168:EL168"/>
    <mergeCell ref="EM168:ES168"/>
    <mergeCell ref="ED172:EZ172"/>
    <mergeCell ref="ED173:EF173"/>
    <mergeCell ref="EG173:EK173"/>
    <mergeCell ref="ED174:EF174"/>
    <mergeCell ref="EH174:EL174"/>
    <mergeCell ref="EM174:ES174"/>
    <mergeCell ref="ED164:EZ164"/>
    <mergeCell ref="ED165:EF165"/>
    <mergeCell ref="EG165:EK165"/>
    <mergeCell ref="ED166:EF166"/>
    <mergeCell ref="EH166:EL166"/>
    <mergeCell ref="EM166:ES166"/>
    <mergeCell ref="ED167:EF167"/>
    <mergeCell ref="EH167:EL167"/>
    <mergeCell ref="EM167:ES167"/>
    <mergeCell ref="ED175:EF175"/>
    <mergeCell ref="FE175:FG175"/>
    <mergeCell ref="FI175:FM175"/>
    <mergeCell ref="FN175:FT175"/>
    <mergeCell ref="FE176:FG176"/>
    <mergeCell ref="FI176:FM176"/>
    <mergeCell ref="FN176:FT176"/>
    <mergeCell ref="FE168:FG168"/>
    <mergeCell ref="FI168:FM168"/>
    <mergeCell ref="FN168:FT168"/>
    <mergeCell ref="FE172:GA172"/>
    <mergeCell ref="FE173:FG173"/>
    <mergeCell ref="FH173:FL173"/>
    <mergeCell ref="FE174:FG174"/>
    <mergeCell ref="FI174:FM174"/>
    <mergeCell ref="FN174:FT174"/>
    <mergeCell ref="FE164:GA164"/>
    <mergeCell ref="FE165:FG165"/>
    <mergeCell ref="FH165:FL165"/>
    <mergeCell ref="FE166:FG166"/>
    <mergeCell ref="FI166:FM166"/>
    <mergeCell ref="FN166:FT166"/>
    <mergeCell ref="FE167:FG167"/>
    <mergeCell ref="FI167:FM167"/>
    <mergeCell ref="FN167:FT167"/>
    <mergeCell ref="DD177:DZ177"/>
    <mergeCell ref="DD178:DF178"/>
    <mergeCell ref="DG178:DK178"/>
    <mergeCell ref="DD179:DF179"/>
    <mergeCell ref="DH179:DL179"/>
    <mergeCell ref="DM179:DS179"/>
    <mergeCell ref="DD180:DF180"/>
    <mergeCell ref="DH180:DL180"/>
    <mergeCell ref="DM180:DS180"/>
    <mergeCell ref="ED181:EF181"/>
    <mergeCell ref="EH181:EL181"/>
    <mergeCell ref="EM181:ES181"/>
    <mergeCell ref="ED177:EZ177"/>
    <mergeCell ref="ED178:EF178"/>
    <mergeCell ref="EG178:EK178"/>
    <mergeCell ref="ED179:EF179"/>
    <mergeCell ref="EH179:EL179"/>
    <mergeCell ref="EM179:ES179"/>
    <mergeCell ref="ED180:EF180"/>
    <mergeCell ref="EH180:EL180"/>
    <mergeCell ref="EM180:ES180"/>
    <mergeCell ref="DD185:DZ185"/>
    <mergeCell ref="ED185:EZ185"/>
    <mergeCell ref="DD186:DF186"/>
    <mergeCell ref="DG186:DK186"/>
    <mergeCell ref="ED186:EF186"/>
    <mergeCell ref="EG186:EK186"/>
    <mergeCell ref="DD187:DF187"/>
    <mergeCell ref="DD181:DF181"/>
    <mergeCell ref="DH181:DL181"/>
    <mergeCell ref="DM181:DS181"/>
    <mergeCell ref="BB185:BD185"/>
    <mergeCell ref="BF185:BJ185"/>
    <mergeCell ref="BK185:BQ185"/>
    <mergeCell ref="BB191:BD191"/>
    <mergeCell ref="BF191:BJ191"/>
    <mergeCell ref="BK191:BQ191"/>
    <mergeCell ref="BB192:BD192"/>
    <mergeCell ref="BF192:BJ192"/>
    <mergeCell ref="BK192:BQ192"/>
    <mergeCell ref="BB186:BX186"/>
    <mergeCell ref="BB187:BD187"/>
    <mergeCell ref="BE187:BI187"/>
    <mergeCell ref="BB188:BD188"/>
    <mergeCell ref="BF188:BJ188"/>
    <mergeCell ref="BK188:BQ188"/>
    <mergeCell ref="DH187:DL187"/>
    <mergeCell ref="DM187:DS187"/>
    <mergeCell ref="BB190:BD190"/>
    <mergeCell ref="BF190:BJ190"/>
    <mergeCell ref="BK190:BQ190"/>
    <mergeCell ref="DM189:DS189"/>
    <mergeCell ref="ED187:EF187"/>
    <mergeCell ref="EM205:ES205"/>
    <mergeCell ref="BZ211:CE211"/>
    <mergeCell ref="CH211:CM211"/>
    <mergeCell ref="BB216:BX216"/>
    <mergeCell ref="BB217:BD217"/>
    <mergeCell ref="BE217:BI217"/>
    <mergeCell ref="BB218:BD218"/>
    <mergeCell ref="BF218:BJ218"/>
    <mergeCell ref="BK218:BQ218"/>
    <mergeCell ref="BB227:BD227"/>
    <mergeCell ref="BF227:BJ227"/>
    <mergeCell ref="BZ203:CE203"/>
    <mergeCell ref="CH203:CM203"/>
    <mergeCell ref="BZ204:CE204"/>
    <mergeCell ref="CH204:CM204"/>
    <mergeCell ref="DH204:DL204"/>
    <mergeCell ref="DM204:DS204"/>
    <mergeCell ref="ED204:EF204"/>
    <mergeCell ref="EH204:EL204"/>
    <mergeCell ref="EM204:ES204"/>
    <mergeCell ref="DD205:DF205"/>
    <mergeCell ref="DH205:DL205"/>
    <mergeCell ref="DM205:DS205"/>
    <mergeCell ref="ED205:EF205"/>
    <mergeCell ref="EH205:EL205"/>
    <mergeCell ref="BB204:BD204"/>
    <mergeCell ref="BF204:BJ204"/>
    <mergeCell ref="BK204:BQ204"/>
    <mergeCell ref="DD204:DF204"/>
    <mergeCell ref="BB223:BX223"/>
    <mergeCell ref="BB224:BD224"/>
    <mergeCell ref="BE224:BI224"/>
    <mergeCell ref="BK226:BQ226"/>
    <mergeCell ref="BZ226:CE226"/>
    <mergeCell ref="CH226:CM226"/>
    <mergeCell ref="BK227:BQ227"/>
    <mergeCell ref="BB231:BX231"/>
    <mergeCell ref="BB232:BD232"/>
    <mergeCell ref="BE232:BI232"/>
    <mergeCell ref="BB233:BD233"/>
    <mergeCell ref="BF233:BJ233"/>
    <mergeCell ref="BK233:BQ233"/>
    <mergeCell ref="BZ233:CE233"/>
    <mergeCell ref="CH233:CM233"/>
    <mergeCell ref="BB234:BD234"/>
    <mergeCell ref="BF234:BJ234"/>
    <mergeCell ref="BK234:BQ234"/>
    <mergeCell ref="BZ234:CE234"/>
    <mergeCell ref="CH234:CM234"/>
    <mergeCell ref="BZ250:CE250"/>
    <mergeCell ref="CH250:CM250"/>
    <mergeCell ref="BB251:BD251"/>
    <mergeCell ref="BF251:BJ251"/>
    <mergeCell ref="BK251:BQ251"/>
    <mergeCell ref="BZ251:CE251"/>
    <mergeCell ref="CH251:CM251"/>
    <mergeCell ref="BB252:BD252"/>
    <mergeCell ref="BB270:BX270"/>
    <mergeCell ref="BB271:BD271"/>
    <mergeCell ref="BE271:BI271"/>
    <mergeCell ref="BB272:BD272"/>
    <mergeCell ref="BF272:BJ272"/>
    <mergeCell ref="BK272:BQ272"/>
    <mergeCell ref="BZ272:CE272"/>
    <mergeCell ref="CH272:CM272"/>
    <mergeCell ref="BZ241:CE241"/>
    <mergeCell ref="CH241:CM241"/>
    <mergeCell ref="BZ258:CE258"/>
    <mergeCell ref="CH258:CM258"/>
    <mergeCell ref="CH259:CM259"/>
    <mergeCell ref="BB260:BD260"/>
    <mergeCell ref="BF260:BJ260"/>
    <mergeCell ref="BK260:BQ260"/>
    <mergeCell ref="BB242:BD242"/>
    <mergeCell ref="BF252:BJ252"/>
    <mergeCell ref="CH242:CM242"/>
    <mergeCell ref="BE249:BI249"/>
    <mergeCell ref="BB250:BD250"/>
    <mergeCell ref="BF250:BJ250"/>
    <mergeCell ref="BK250:BQ250"/>
    <mergeCell ref="BB259:BD259"/>
    <mergeCell ref="BK282:BQ282"/>
    <mergeCell ref="BB274:BD274"/>
    <mergeCell ref="BF274:BJ274"/>
    <mergeCell ref="BK274:BQ274"/>
    <mergeCell ref="BB278:BX278"/>
    <mergeCell ref="BB279:BD279"/>
    <mergeCell ref="BE279:BI279"/>
    <mergeCell ref="BB280:BD280"/>
    <mergeCell ref="BF280:BJ280"/>
    <mergeCell ref="BK280:BQ280"/>
    <mergeCell ref="BB289:BD289"/>
    <mergeCell ref="BF289:BJ289"/>
    <mergeCell ref="BK289:BQ289"/>
    <mergeCell ref="BB292:BX292"/>
    <mergeCell ref="BB293:BD293"/>
    <mergeCell ref="BE293:BI293"/>
    <mergeCell ref="BB294:BD294"/>
    <mergeCell ref="BF294:BJ294"/>
    <mergeCell ref="BK294:BQ294"/>
    <mergeCell ref="BB285:BX285"/>
    <mergeCell ref="BB286:BD286"/>
    <mergeCell ref="BE286:BI286"/>
    <mergeCell ref="BB287:BD287"/>
    <mergeCell ref="BF287:BJ287"/>
    <mergeCell ref="BK287:BQ287"/>
    <mergeCell ref="BZ287:CE287"/>
    <mergeCell ref="CH287:CM287"/>
    <mergeCell ref="BB288:BD288"/>
    <mergeCell ref="BF288:BJ288"/>
    <mergeCell ref="BK288:BQ288"/>
    <mergeCell ref="BZ288:CE288"/>
    <mergeCell ref="CH288:CM288"/>
    <mergeCell ref="BZ294:CE294"/>
    <mergeCell ref="CH294:CM294"/>
    <mergeCell ref="BB339:BD339"/>
    <mergeCell ref="BF339:BJ339"/>
    <mergeCell ref="BB295:BD295"/>
    <mergeCell ref="BF295:BJ295"/>
    <mergeCell ref="BK295:BQ295"/>
    <mergeCell ref="BZ295:CE295"/>
    <mergeCell ref="CH295:CM295"/>
    <mergeCell ref="BB296:BD296"/>
    <mergeCell ref="BF296:BJ296"/>
    <mergeCell ref="BK296:BQ296"/>
    <mergeCell ref="BB302:BD302"/>
    <mergeCell ref="BF302:BJ302"/>
    <mergeCell ref="BK302:BQ302"/>
    <mergeCell ref="BZ302:CE302"/>
    <mergeCell ref="CH302:CM302"/>
    <mergeCell ref="BB303:BD303"/>
    <mergeCell ref="BF303:BJ303"/>
    <mergeCell ref="BK303:BQ303"/>
    <mergeCell ref="BB306:BX306"/>
    <mergeCell ref="BB299:BX299"/>
    <mergeCell ref="BB300:BD300"/>
    <mergeCell ref="BE300:BI300"/>
    <mergeCell ref="BB301:BD301"/>
    <mergeCell ref="BE329:BI329"/>
    <mergeCell ref="BB330:BD330"/>
    <mergeCell ref="BZ362:CE362"/>
    <mergeCell ref="CH362:CM362"/>
    <mergeCell ref="BB363:BD363"/>
    <mergeCell ref="BF363:BJ363"/>
    <mergeCell ref="BK363:BQ363"/>
    <mergeCell ref="BZ363:CE363"/>
    <mergeCell ref="CH363:CM363"/>
    <mergeCell ref="BF301:BJ301"/>
    <mergeCell ref="BK301:BQ301"/>
    <mergeCell ref="BZ301:CE301"/>
    <mergeCell ref="CH301:CM301"/>
    <mergeCell ref="BB307:BD307"/>
    <mergeCell ref="BE307:BI307"/>
    <mergeCell ref="BB308:BD308"/>
    <mergeCell ref="BF308:BJ308"/>
    <mergeCell ref="BK308:BQ308"/>
    <mergeCell ref="BZ354:CE354"/>
    <mergeCell ref="BK331:BQ331"/>
    <mergeCell ref="BZ331:CE331"/>
    <mergeCell ref="CH331:CM331"/>
    <mergeCell ref="BB338:BD338"/>
    <mergeCell ref="BF338:BJ338"/>
    <mergeCell ref="BK338:BQ338"/>
    <mergeCell ref="BB332:BD332"/>
    <mergeCell ref="BF332:BJ332"/>
    <mergeCell ref="BK332:BQ332"/>
    <mergeCell ref="BZ339:CE339"/>
    <mergeCell ref="CH339:CM339"/>
    <mergeCell ref="BB346:BD346"/>
    <mergeCell ref="BF346:BJ346"/>
    <mergeCell ref="BK346:BQ346"/>
    <mergeCell ref="BZ346:CE346"/>
    <mergeCell ref="CH346:CM346"/>
    <mergeCell ref="CH370:CM370"/>
    <mergeCell ref="BF330:BJ330"/>
    <mergeCell ref="BK330:BQ330"/>
    <mergeCell ref="BZ330:CE330"/>
    <mergeCell ref="CH330:CM330"/>
    <mergeCell ref="BZ338:CE338"/>
    <mergeCell ref="CH338:CM338"/>
    <mergeCell ref="BE345:BI345"/>
    <mergeCell ref="BK339:BQ339"/>
    <mergeCell ref="BB331:BD331"/>
    <mergeCell ref="BF331:BJ331"/>
    <mergeCell ref="BB347:BD347"/>
    <mergeCell ref="BF347:BJ347"/>
    <mergeCell ref="BK347:BQ347"/>
    <mergeCell ref="BZ347:CE347"/>
    <mergeCell ref="CH347:CM347"/>
    <mergeCell ref="BB340:BD340"/>
    <mergeCell ref="BF340:BJ340"/>
    <mergeCell ref="BK340:BQ340"/>
    <mergeCell ref="BB344:BX344"/>
    <mergeCell ref="BB345:BD345"/>
    <mergeCell ref="BB353:BD353"/>
    <mergeCell ref="BE353:BI353"/>
    <mergeCell ref="BB354:BD354"/>
    <mergeCell ref="BF354:BJ354"/>
    <mergeCell ref="BK354:BQ354"/>
    <mergeCell ref="BK356:BQ356"/>
    <mergeCell ref="BK362:BQ362"/>
    <mergeCell ref="BK369:BQ369"/>
    <mergeCell ref="BB370:BD370"/>
    <mergeCell ref="BF370:BJ370"/>
    <mergeCell ref="BK370:BQ370"/>
    <mergeCell ref="BZ370:CE370"/>
    <mergeCell ref="BB371:BD371"/>
    <mergeCell ref="BF371:BJ371"/>
    <mergeCell ref="BK371:BQ371"/>
    <mergeCell ref="BB390:BX390"/>
    <mergeCell ref="BB391:BD391"/>
    <mergeCell ref="BE391:BI391"/>
    <mergeCell ref="BB360:BX360"/>
    <mergeCell ref="BB361:BD361"/>
    <mergeCell ref="BE361:BI361"/>
    <mergeCell ref="BB362:BD362"/>
    <mergeCell ref="BB386:BD386"/>
    <mergeCell ref="BF386:BJ386"/>
    <mergeCell ref="BK386:BQ386"/>
    <mergeCell ref="BB376:BD376"/>
    <mergeCell ref="BE376:BI376"/>
    <mergeCell ref="BB377:BD377"/>
    <mergeCell ref="BF377:BJ377"/>
    <mergeCell ref="BK377:BQ377"/>
    <mergeCell ref="BZ377:CE377"/>
    <mergeCell ref="CH400:CM400"/>
    <mergeCell ref="BB401:BD401"/>
    <mergeCell ref="BF401:BJ401"/>
    <mergeCell ref="BK401:BQ401"/>
    <mergeCell ref="BB392:BD392"/>
    <mergeCell ref="BF392:BJ392"/>
    <mergeCell ref="BK392:BQ392"/>
    <mergeCell ref="BZ392:CE392"/>
    <mergeCell ref="CH392:CM392"/>
    <mergeCell ref="BB393:BD393"/>
    <mergeCell ref="BF393:BJ393"/>
    <mergeCell ref="BK393:BQ393"/>
    <mergeCell ref="BZ393:CE393"/>
    <mergeCell ref="CH393:CM393"/>
    <mergeCell ref="BB394:BD394"/>
    <mergeCell ref="BF394:BJ394"/>
    <mergeCell ref="BK394:BQ394"/>
    <mergeCell ref="BZ400:CE400"/>
    <mergeCell ref="BB431:BD431"/>
    <mergeCell ref="BF431:BJ431"/>
    <mergeCell ref="BK431:BQ431"/>
    <mergeCell ref="BB412:BX412"/>
    <mergeCell ref="BB413:BD413"/>
    <mergeCell ref="BE413:BI413"/>
    <mergeCell ref="BB414:BD414"/>
    <mergeCell ref="BF414:BJ414"/>
    <mergeCell ref="BK414:BQ414"/>
    <mergeCell ref="BZ414:CE414"/>
    <mergeCell ref="CH414:CM414"/>
    <mergeCell ref="BB415:BD415"/>
    <mergeCell ref="BF415:BJ415"/>
    <mergeCell ref="BK415:BQ415"/>
    <mergeCell ref="BZ415:CE415"/>
    <mergeCell ref="CH415:CM415"/>
    <mergeCell ref="BB416:BD416"/>
    <mergeCell ref="BF416:BJ416"/>
    <mergeCell ref="BK416:BQ416"/>
    <mergeCell ref="BB420:BX420"/>
    <mergeCell ref="BB421:BD421"/>
    <mergeCell ref="BE421:BI421"/>
    <mergeCell ref="BB422:BD422"/>
    <mergeCell ref="BF422:BJ422"/>
    <mergeCell ref="BK422:BQ422"/>
    <mergeCell ref="BZ422:CE422"/>
    <mergeCell ref="CH422:CM422"/>
    <mergeCell ref="BB423:BD423"/>
    <mergeCell ref="BF423:BJ423"/>
    <mergeCell ref="BK423:BQ423"/>
    <mergeCell ref="BZ423:CE423"/>
    <mergeCell ref="BB424:BD424"/>
    <mergeCell ref="AX2:BC2"/>
    <mergeCell ref="A114:Z114"/>
    <mergeCell ref="AU114:BB114"/>
    <mergeCell ref="AA114:AF114"/>
    <mergeCell ref="A113:Z113"/>
    <mergeCell ref="AU113:BB113"/>
    <mergeCell ref="AA113:AF113"/>
    <mergeCell ref="H61:X61"/>
    <mergeCell ref="BB427:BX427"/>
    <mergeCell ref="BB428:BD428"/>
    <mergeCell ref="BE428:BI428"/>
    <mergeCell ref="BB429:BD429"/>
    <mergeCell ref="BF429:BJ429"/>
    <mergeCell ref="BK429:BQ429"/>
    <mergeCell ref="BZ429:CE429"/>
    <mergeCell ref="CH429:CM429"/>
    <mergeCell ref="BB430:BD430"/>
    <mergeCell ref="BF430:BJ430"/>
    <mergeCell ref="BK430:BQ430"/>
    <mergeCell ref="BZ430:CE430"/>
    <mergeCell ref="CH430:CM430"/>
    <mergeCell ref="BB397:BX397"/>
    <mergeCell ref="BB398:BD398"/>
    <mergeCell ref="BE398:BI398"/>
    <mergeCell ref="BB399:BD399"/>
    <mergeCell ref="BF399:BJ399"/>
    <mergeCell ref="BK399:BQ399"/>
    <mergeCell ref="BZ399:CE399"/>
    <mergeCell ref="CH399:CM399"/>
    <mergeCell ref="BB400:BD400"/>
    <mergeCell ref="BF400:BJ400"/>
    <mergeCell ref="BK400:BQ400"/>
  </mergeCells>
  <pageMargins left="0" right="0" top="0" bottom="0" header="0.31496062992125984" footer="0.31496062992125984"/>
  <pageSetup paperSize="9" scale="75" fitToHeight="0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DB298"/>
  <sheetViews>
    <sheetView topLeftCell="AF157" zoomScale="86" zoomScaleNormal="86" workbookViewId="0">
      <selection activeCell="BG298" sqref="BG298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6" width="1.85546875" style="117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4.42578125" style="117" customWidth="1"/>
    <col min="55" max="55" width="4.5703125" style="117" customWidth="1"/>
    <col min="56" max="56" width="4.7109375" style="117" customWidth="1"/>
    <col min="57" max="57" width="9.7109375" style="117" customWidth="1"/>
    <col min="58" max="58" width="6.140625" style="117" customWidth="1"/>
    <col min="59" max="59" width="10.140625" style="117" customWidth="1"/>
    <col min="60" max="60" width="7.5703125" style="117" customWidth="1"/>
    <col min="61" max="61" width="8.140625" style="117" customWidth="1"/>
    <col min="62" max="95" width="1.85546875" style="117"/>
    <col min="96" max="96" width="6.28515625" style="117" customWidth="1"/>
    <col min="97" max="16384" width="1.85546875" style="117"/>
  </cols>
  <sheetData>
    <row r="1" spans="1:53" s="100" customFormat="1" ht="15" customHeight="1" x14ac:dyDescent="0.25">
      <c r="AW1" s="100" t="s">
        <v>83</v>
      </c>
    </row>
    <row r="2" spans="1:53" s="100" customFormat="1" ht="5.0999999999999996" customHeight="1" x14ac:dyDescent="0.25"/>
    <row r="3" spans="1:53" s="100" customFormat="1" ht="15" customHeight="1" x14ac:dyDescent="0.25">
      <c r="AQ3" s="100" t="s">
        <v>91</v>
      </c>
    </row>
    <row r="4" spans="1:53" s="100" customFormat="1" ht="5.0999999999999996" customHeight="1" x14ac:dyDescent="0.25"/>
    <row r="5" spans="1:53" s="100" customFormat="1" ht="15" customHeight="1" x14ac:dyDescent="0.25"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 t="s">
        <v>85</v>
      </c>
      <c r="AX5" s="100" t="s">
        <v>222</v>
      </c>
    </row>
    <row r="6" spans="1:53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3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3" s="100" customFormat="1" ht="15" customHeight="1" x14ac:dyDescent="0.25">
      <c r="A8" s="756" t="s">
        <v>110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3" s="100" customFormat="1" ht="5.0999999999999996" customHeight="1" x14ac:dyDescent="0.25">
      <c r="A9" s="158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</row>
    <row r="10" spans="1:53" s="100" customFormat="1" ht="15" customHeight="1" x14ac:dyDescent="0.25">
      <c r="A10" s="158"/>
      <c r="B10" s="158" t="s">
        <v>113</v>
      </c>
      <c r="C10" s="757">
        <v>1</v>
      </c>
      <c r="D10" s="757"/>
      <c r="E10" s="757"/>
      <c r="F10" s="158"/>
      <c r="G10" s="757" t="s">
        <v>309</v>
      </c>
      <c r="H10" s="757"/>
      <c r="I10" s="757"/>
      <c r="J10" s="757"/>
      <c r="K10" s="757"/>
      <c r="L10" s="757"/>
      <c r="M10" s="158"/>
      <c r="N10" s="756">
        <v>2017</v>
      </c>
      <c r="O10" s="756"/>
      <c r="P10" s="756"/>
      <c r="Q10" s="756"/>
      <c r="R10" s="158"/>
      <c r="S10" s="158" t="s">
        <v>114</v>
      </c>
      <c r="T10" s="158"/>
      <c r="U10" s="158"/>
      <c r="V10" s="158"/>
      <c r="W10" s="158"/>
      <c r="X10" s="158"/>
      <c r="Y10" s="158"/>
      <c r="Z10" s="158"/>
      <c r="AA10" s="158"/>
      <c r="AB10" s="158"/>
      <c r="AC10" s="158"/>
      <c r="AD10" s="158"/>
      <c r="AE10" s="158"/>
      <c r="AF10" s="158"/>
      <c r="AG10" s="158"/>
      <c r="AH10" s="758" t="s">
        <v>115</v>
      </c>
      <c r="AI10" s="758"/>
      <c r="AJ10" s="757">
        <v>31</v>
      </c>
      <c r="AK10" s="757"/>
      <c r="AL10" s="757"/>
      <c r="AM10" s="158"/>
      <c r="AN10" s="757" t="s">
        <v>116</v>
      </c>
      <c r="AO10" s="757"/>
      <c r="AP10" s="757"/>
      <c r="AQ10" s="757"/>
      <c r="AR10" s="757"/>
      <c r="AS10" s="757"/>
      <c r="AT10" s="757"/>
      <c r="AU10" s="158"/>
      <c r="AV10" s="756">
        <v>2018</v>
      </c>
      <c r="AW10" s="756"/>
      <c r="AX10" s="756"/>
      <c r="AY10" s="756"/>
      <c r="AZ10" s="158"/>
      <c r="BA10" s="158" t="s">
        <v>114</v>
      </c>
    </row>
    <row r="11" spans="1:53" s="82" customFormat="1" ht="5.0999999999999996" customHeight="1" x14ac:dyDescent="0.2"/>
    <row r="12" spans="1:53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36</v>
      </c>
      <c r="V12" s="761"/>
      <c r="W12" s="761"/>
    </row>
    <row r="13" spans="1:53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3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1">
        <v>10</v>
      </c>
      <c r="V14" s="761"/>
      <c r="W14" s="761"/>
    </row>
    <row r="15" spans="1:53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3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1</v>
      </c>
      <c r="V16" s="761"/>
      <c r="W16" s="761"/>
      <c r="X16" s="83" t="s">
        <v>4</v>
      </c>
      <c r="Y16" s="761">
        <v>10</v>
      </c>
      <c r="Z16" s="761"/>
      <c r="AA16" s="761"/>
    </row>
    <row r="17" spans="1:54" ht="5.0999999999999996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7</v>
      </c>
      <c r="AR19" s="162"/>
      <c r="AS19" s="164"/>
      <c r="AX19" s="708">
        <v>5500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11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4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hidden="1" customHeight="1" x14ac:dyDescent="0.2">
      <c r="A24" s="764" t="s">
        <v>88</v>
      </c>
      <c r="B24" s="765"/>
      <c r="C24" s="765"/>
      <c r="D24" s="765"/>
      <c r="E24" s="765"/>
      <c r="F24" s="765"/>
      <c r="G24" s="766"/>
      <c r="H24" s="714" t="s">
        <v>16</v>
      </c>
      <c r="I24" s="704"/>
      <c r="J24" s="704"/>
      <c r="K24" s="704"/>
      <c r="L24" s="704"/>
      <c r="M24" s="704"/>
      <c r="N24" s="704"/>
      <c r="O24" s="704"/>
      <c r="P24" s="704"/>
      <c r="Q24" s="704"/>
      <c r="R24" s="704"/>
      <c r="S24" s="704"/>
      <c r="T24" s="704"/>
      <c r="U24" s="704"/>
      <c r="V24" s="704"/>
      <c r="W24" s="704"/>
      <c r="X24" s="704"/>
      <c r="Y24" s="704"/>
      <c r="Z24" s="780">
        <v>0.1</v>
      </c>
      <c r="AA24" s="780"/>
      <c r="AB24" s="780"/>
      <c r="AC24" s="781">
        <f>(AX51+AX83)*Z24*AH24</f>
        <v>707.85</v>
      </c>
      <c r="AD24" s="781"/>
      <c r="AE24" s="781"/>
      <c r="AF24" s="781"/>
      <c r="AG24" s="781"/>
      <c r="AH24" s="668">
        <v>1</v>
      </c>
      <c r="AI24" s="668"/>
      <c r="AJ24" s="668"/>
      <c r="AK24" s="668"/>
      <c r="AL24" s="668"/>
      <c r="AM24" s="668"/>
      <c r="AN24" s="781">
        <f>AC24/U12</f>
        <v>19.662500000000001</v>
      </c>
      <c r="AO24" s="781"/>
      <c r="AP24" s="781"/>
      <c r="AQ24" s="781"/>
      <c r="AR24" s="781"/>
      <c r="AS24" s="668" t="s">
        <v>17</v>
      </c>
      <c r="AT24" s="668"/>
      <c r="AU24" s="668"/>
      <c r="AV24" s="668"/>
      <c r="AW24" s="668"/>
      <c r="AX24" s="781" t="s">
        <v>17</v>
      </c>
      <c r="AY24" s="781"/>
      <c r="AZ24" s="781"/>
      <c r="BA24" s="781"/>
      <c r="BB24" s="782"/>
    </row>
    <row r="25" spans="1:54" s="165" customFormat="1" ht="26.25" hidden="1" customHeight="1" x14ac:dyDescent="0.2">
      <c r="A25" s="767"/>
      <c r="B25" s="768"/>
      <c r="C25" s="768"/>
      <c r="D25" s="768"/>
      <c r="E25" s="768"/>
      <c r="F25" s="768"/>
      <c r="G25" s="769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771" t="s">
        <v>89</v>
      </c>
      <c r="B26" s="772"/>
      <c r="C26" s="772"/>
      <c r="D26" s="772"/>
      <c r="E26" s="772"/>
      <c r="F26" s="772"/>
      <c r="G26" s="773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11.25" customHeight="1" x14ac:dyDescent="0.2">
      <c r="A27" s="750"/>
      <c r="B27" s="751"/>
      <c r="C27" s="751"/>
      <c r="D27" s="751"/>
      <c r="E27" s="751"/>
      <c r="F27" s="751"/>
      <c r="G27" s="7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17.25" customHeight="1" thickBot="1" x14ac:dyDescent="0.25">
      <c r="A33" s="753"/>
      <c r="B33" s="754"/>
      <c r="C33" s="754"/>
      <c r="D33" s="754"/>
      <c r="E33" s="754"/>
      <c r="F33" s="754"/>
      <c r="G33" s="775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6"/>
      <c r="AA33" s="726"/>
      <c r="AB33" s="726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95"/>
      <c r="R34" s="169" t="s">
        <v>18</v>
      </c>
      <c r="S34" s="170"/>
      <c r="T34" s="170"/>
      <c r="U34" s="171"/>
      <c r="V34" s="171"/>
      <c r="W34" s="171"/>
      <c r="X34" s="171"/>
      <c r="Y34" s="171"/>
      <c r="Z34" s="162"/>
      <c r="AA34" s="162"/>
      <c r="AB34" s="162"/>
      <c r="AC34" s="171"/>
      <c r="AD34" s="171" t="s">
        <v>19</v>
      </c>
      <c r="AE34" s="171" t="s">
        <v>20</v>
      </c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2"/>
      <c r="AS34" s="453">
        <f>AN24</f>
        <v>19.662500000000001</v>
      </c>
      <c r="AT34" s="453"/>
      <c r="AU34" s="453"/>
      <c r="AV34" s="453"/>
      <c r="AW34" s="453"/>
      <c r="AX34" s="453">
        <f>AC24</f>
        <v>707.85</v>
      </c>
      <c r="AY34" s="453"/>
      <c r="AZ34" s="453"/>
      <c r="BA34" s="453"/>
      <c r="BB34" s="454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173"/>
      <c r="I35" s="173"/>
      <c r="J35" s="173"/>
      <c r="K35" s="173"/>
      <c r="L35" s="173"/>
      <c r="M35" s="173"/>
      <c r="P35" s="168"/>
      <c r="Q35" s="174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5.9380750000000004</v>
      </c>
      <c r="AT35" s="463"/>
      <c r="AU35" s="463"/>
      <c r="AV35" s="463"/>
      <c r="AW35" s="463"/>
      <c r="AX35" s="463">
        <f>AX34*AO35</f>
        <v>213.77070000000001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173"/>
      <c r="I36" s="173"/>
      <c r="J36" s="173"/>
      <c r="K36" s="173"/>
      <c r="L36" s="173"/>
      <c r="M36" s="173"/>
      <c r="P36" s="168"/>
      <c r="Q36" s="174"/>
      <c r="R36" s="174"/>
      <c r="S36" s="174"/>
      <c r="U36" s="174"/>
      <c r="V36" s="174"/>
      <c r="W36" s="174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8"/>
      <c r="AT36" s="179"/>
      <c r="AU36" s="179"/>
      <c r="AV36" s="179"/>
      <c r="AW36" s="179"/>
      <c r="AX36" s="178"/>
      <c r="AY36" s="179"/>
      <c r="AZ36" s="179"/>
      <c r="BA36" s="179"/>
      <c r="BB36" s="179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22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772"/>
      <c r="B41" s="772"/>
      <c r="C41" s="772"/>
      <c r="D41" s="772"/>
      <c r="E41" s="772"/>
      <c r="F41" s="772"/>
      <c r="G41" s="783"/>
      <c r="H41" s="718" t="s">
        <v>16</v>
      </c>
      <c r="I41" s="712"/>
      <c r="J41" s="712"/>
      <c r="K41" s="712"/>
      <c r="L41" s="712"/>
      <c r="M41" s="712"/>
      <c r="N41" s="712"/>
      <c r="O41" s="712"/>
      <c r="P41" s="712"/>
      <c r="Q41" s="712"/>
      <c r="R41" s="712"/>
      <c r="S41" s="712"/>
      <c r="T41" s="712"/>
      <c r="U41" s="712"/>
      <c r="V41" s="712"/>
      <c r="W41" s="712"/>
      <c r="X41" s="712"/>
      <c r="Y41" s="712"/>
      <c r="Z41" s="722">
        <v>0</v>
      </c>
      <c r="AA41" s="723"/>
      <c r="AB41" s="724"/>
      <c r="AC41" s="786">
        <f>AX83*Z41*AH41</f>
        <v>0</v>
      </c>
      <c r="AD41" s="786"/>
      <c r="AE41" s="786"/>
      <c r="AF41" s="786"/>
      <c r="AG41" s="787"/>
      <c r="AH41" s="788">
        <v>1</v>
      </c>
      <c r="AI41" s="789"/>
      <c r="AJ41" s="789"/>
      <c r="AK41" s="789"/>
      <c r="AL41" s="789"/>
      <c r="AM41" s="790"/>
      <c r="AN41" s="791">
        <f>AC41/U12</f>
        <v>0</v>
      </c>
      <c r="AO41" s="786"/>
      <c r="AP41" s="786"/>
      <c r="AQ41" s="786"/>
      <c r="AR41" s="787"/>
      <c r="AS41" s="788" t="s">
        <v>17</v>
      </c>
      <c r="AT41" s="789"/>
      <c r="AU41" s="789"/>
      <c r="AV41" s="789"/>
      <c r="AW41" s="790"/>
      <c r="AX41" s="791" t="s">
        <v>17</v>
      </c>
      <c r="AY41" s="786"/>
      <c r="AZ41" s="786"/>
      <c r="BA41" s="786"/>
      <c r="BB41" s="787"/>
    </row>
    <row r="42" spans="1:54" s="165" customFormat="1" ht="0.75" hidden="1" customHeight="1" x14ac:dyDescent="0.2">
      <c r="A42" s="751"/>
      <c r="B42" s="751"/>
      <c r="C42" s="751"/>
      <c r="D42" s="751"/>
      <c r="E42" s="751"/>
      <c r="F42" s="751"/>
      <c r="G42" s="752"/>
      <c r="H42" s="719"/>
      <c r="I42" s="704"/>
      <c r="J42" s="704"/>
      <c r="K42" s="704"/>
      <c r="L42" s="704"/>
      <c r="M42" s="704"/>
      <c r="N42" s="704"/>
      <c r="O42" s="704"/>
      <c r="P42" s="704"/>
      <c r="Q42" s="704"/>
      <c r="R42" s="704"/>
      <c r="S42" s="704"/>
      <c r="T42" s="704"/>
      <c r="U42" s="704"/>
      <c r="V42" s="704"/>
      <c r="W42" s="704"/>
      <c r="X42" s="704"/>
      <c r="Y42" s="704"/>
      <c r="Z42" s="725"/>
      <c r="AA42" s="726"/>
      <c r="AB42" s="727"/>
      <c r="AC42" s="704"/>
      <c r="AD42" s="704"/>
      <c r="AE42" s="704"/>
      <c r="AF42" s="704"/>
      <c r="AG42" s="735"/>
      <c r="AH42" s="511"/>
      <c r="AI42" s="512"/>
      <c r="AJ42" s="512"/>
      <c r="AK42" s="512"/>
      <c r="AL42" s="512"/>
      <c r="AM42" s="513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714"/>
      <c r="AY42" s="704"/>
      <c r="AZ42" s="704"/>
      <c r="BA42" s="704"/>
      <c r="BB42" s="735"/>
    </row>
    <row r="43" spans="1:54" ht="18" customHeight="1" x14ac:dyDescent="0.2">
      <c r="A43" s="751"/>
      <c r="B43" s="751"/>
      <c r="C43" s="751"/>
      <c r="D43" s="751"/>
      <c r="E43" s="751"/>
      <c r="F43" s="751"/>
      <c r="G43" s="752"/>
      <c r="H43" s="719"/>
      <c r="I43" s="704"/>
      <c r="J43" s="704"/>
      <c r="K43" s="704"/>
      <c r="L43" s="704"/>
      <c r="M43" s="704"/>
      <c r="N43" s="704"/>
      <c r="O43" s="704"/>
      <c r="P43" s="704"/>
      <c r="Q43" s="704"/>
      <c r="R43" s="704"/>
      <c r="S43" s="704"/>
      <c r="T43" s="704"/>
      <c r="U43" s="704"/>
      <c r="V43" s="704"/>
      <c r="W43" s="704"/>
      <c r="X43" s="704"/>
      <c r="Y43" s="704"/>
      <c r="Z43" s="725"/>
      <c r="AA43" s="726"/>
      <c r="AB43" s="727"/>
      <c r="AC43" s="669"/>
      <c r="AD43" s="669"/>
      <c r="AE43" s="669"/>
      <c r="AF43" s="669"/>
      <c r="AG43" s="670"/>
      <c r="AH43" s="736"/>
      <c r="AI43" s="737"/>
      <c r="AJ43" s="737"/>
      <c r="AK43" s="737"/>
      <c r="AL43" s="737"/>
      <c r="AM43" s="738"/>
      <c r="AN43" s="716"/>
      <c r="AO43" s="669"/>
      <c r="AP43" s="669"/>
      <c r="AQ43" s="669"/>
      <c r="AR43" s="670"/>
      <c r="AS43" s="736"/>
      <c r="AT43" s="737"/>
      <c r="AU43" s="737"/>
      <c r="AV43" s="737"/>
      <c r="AW43" s="738"/>
      <c r="AX43" s="716"/>
      <c r="AY43" s="669"/>
      <c r="AZ43" s="669"/>
      <c r="BA43" s="669"/>
      <c r="BB43" s="670"/>
    </row>
    <row r="44" spans="1:54" s="165" customFormat="1" ht="21" hidden="1" customHeight="1" x14ac:dyDescent="0.2">
      <c r="A44" s="751"/>
      <c r="B44" s="751"/>
      <c r="C44" s="751"/>
      <c r="D44" s="751"/>
      <c r="E44" s="751"/>
      <c r="F44" s="751"/>
      <c r="G44" s="752"/>
      <c r="H44" s="719"/>
      <c r="I44" s="704"/>
      <c r="J44" s="704"/>
      <c r="K44" s="704"/>
      <c r="L44" s="704"/>
      <c r="M44" s="704"/>
      <c r="N44" s="704"/>
      <c r="O44" s="704"/>
      <c r="P44" s="704"/>
      <c r="Q44" s="704"/>
      <c r="R44" s="704"/>
      <c r="S44" s="704"/>
      <c r="T44" s="704"/>
      <c r="U44" s="704"/>
      <c r="V44" s="704"/>
      <c r="W44" s="704"/>
      <c r="X44" s="704"/>
      <c r="Y44" s="704"/>
      <c r="Z44" s="725"/>
      <c r="AA44" s="726"/>
      <c r="AB44" s="727"/>
      <c r="AC44" s="86"/>
      <c r="AD44" s="84"/>
      <c r="AE44" s="84"/>
      <c r="AF44" s="84"/>
      <c r="AG44" s="85"/>
      <c r="AH44" s="180"/>
      <c r="AI44" s="181"/>
      <c r="AJ44" s="181"/>
      <c r="AK44" s="181"/>
      <c r="AL44" s="181"/>
      <c r="AM44" s="182"/>
      <c r="AN44" s="86"/>
      <c r="AO44" s="84"/>
      <c r="AP44" s="84"/>
      <c r="AQ44" s="84"/>
      <c r="AR44" s="85"/>
      <c r="AS44" s="180"/>
      <c r="AT44" s="181"/>
      <c r="AU44" s="181"/>
      <c r="AV44" s="181"/>
      <c r="AW44" s="182"/>
      <c r="AX44" s="86"/>
      <c r="AY44" s="84"/>
      <c r="AZ44" s="84"/>
      <c r="BA44" s="84"/>
      <c r="BB44" s="84"/>
    </row>
    <row r="45" spans="1:54" s="165" customFormat="1" ht="21.75" hidden="1" customHeight="1" x14ac:dyDescent="0.2">
      <c r="A45" s="751"/>
      <c r="B45" s="751"/>
      <c r="C45" s="751"/>
      <c r="D45" s="751"/>
      <c r="E45" s="751"/>
      <c r="F45" s="751"/>
      <c r="G45" s="752"/>
      <c r="H45" s="719"/>
      <c r="I45" s="704"/>
      <c r="J45" s="704"/>
      <c r="K45" s="704"/>
      <c r="L45" s="704"/>
      <c r="M45" s="704"/>
      <c r="N45" s="704"/>
      <c r="O45" s="704"/>
      <c r="P45" s="704"/>
      <c r="Q45" s="704"/>
      <c r="R45" s="704"/>
      <c r="S45" s="704"/>
      <c r="T45" s="704"/>
      <c r="U45" s="704"/>
      <c r="V45" s="704"/>
      <c r="W45" s="704"/>
      <c r="X45" s="704"/>
      <c r="Y45" s="704"/>
      <c r="Z45" s="725"/>
      <c r="AA45" s="726"/>
      <c r="AB45" s="727"/>
      <c r="AC45" s="86"/>
      <c r="AD45" s="84"/>
      <c r="AE45" s="84"/>
      <c r="AF45" s="84"/>
      <c r="AG45" s="85"/>
      <c r="AH45" s="180"/>
      <c r="AI45" s="181"/>
      <c r="AJ45" s="181"/>
      <c r="AK45" s="181"/>
      <c r="AL45" s="181"/>
      <c r="AM45" s="182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84"/>
    </row>
    <row r="46" spans="1:54" s="165" customFormat="1" ht="24" hidden="1" customHeight="1" x14ac:dyDescent="0.2">
      <c r="A46" s="751"/>
      <c r="B46" s="751"/>
      <c r="C46" s="751"/>
      <c r="D46" s="751"/>
      <c r="E46" s="751"/>
      <c r="F46" s="751"/>
      <c r="G46" s="752"/>
      <c r="H46" s="719"/>
      <c r="I46" s="704"/>
      <c r="J46" s="704"/>
      <c r="K46" s="704"/>
      <c r="L46" s="704"/>
      <c r="M46" s="704"/>
      <c r="N46" s="704"/>
      <c r="O46" s="704"/>
      <c r="P46" s="704"/>
      <c r="Q46" s="704"/>
      <c r="R46" s="704"/>
      <c r="S46" s="704"/>
      <c r="T46" s="704"/>
      <c r="U46" s="704"/>
      <c r="V46" s="704"/>
      <c r="W46" s="704"/>
      <c r="X46" s="704"/>
      <c r="Y46" s="704"/>
      <c r="Z46" s="725"/>
      <c r="AA46" s="726"/>
      <c r="AB46" s="727"/>
      <c r="AC46" s="86"/>
      <c r="AD46" s="84"/>
      <c r="AE46" s="84"/>
      <c r="AF46" s="84"/>
      <c r="AG46" s="85"/>
      <c r="AH46" s="180"/>
      <c r="AI46" s="181"/>
      <c r="AJ46" s="181"/>
      <c r="AK46" s="181"/>
      <c r="AL46" s="181"/>
      <c r="AM46" s="182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84"/>
    </row>
    <row r="47" spans="1:54" s="165" customFormat="1" ht="18" hidden="1" customHeight="1" x14ac:dyDescent="0.2">
      <c r="A47" s="751"/>
      <c r="B47" s="751"/>
      <c r="C47" s="751"/>
      <c r="D47" s="751"/>
      <c r="E47" s="751"/>
      <c r="F47" s="751"/>
      <c r="G47" s="752"/>
      <c r="H47" s="719"/>
      <c r="I47" s="704"/>
      <c r="J47" s="704"/>
      <c r="K47" s="704"/>
      <c r="L47" s="704"/>
      <c r="M47" s="704"/>
      <c r="N47" s="704"/>
      <c r="O47" s="704"/>
      <c r="P47" s="704"/>
      <c r="Q47" s="704"/>
      <c r="R47" s="704"/>
      <c r="S47" s="704"/>
      <c r="T47" s="704"/>
      <c r="U47" s="704"/>
      <c r="V47" s="704"/>
      <c r="W47" s="704"/>
      <c r="X47" s="704"/>
      <c r="Y47" s="704"/>
      <c r="Z47" s="725"/>
      <c r="AA47" s="726"/>
      <c r="AB47" s="727"/>
      <c r="AC47" s="86"/>
      <c r="AD47" s="84"/>
      <c r="AE47" s="84"/>
      <c r="AF47" s="84"/>
      <c r="AG47" s="85"/>
      <c r="AH47" s="180"/>
      <c r="AI47" s="181"/>
      <c r="AJ47" s="181"/>
      <c r="AK47" s="181"/>
      <c r="AL47" s="181"/>
      <c r="AM47" s="182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84"/>
    </row>
    <row r="48" spans="1:54" s="165" customFormat="1" ht="17.25" hidden="1" customHeight="1" x14ac:dyDescent="0.2">
      <c r="A48" s="751"/>
      <c r="B48" s="751"/>
      <c r="C48" s="751"/>
      <c r="D48" s="751"/>
      <c r="E48" s="751"/>
      <c r="F48" s="751"/>
      <c r="G48" s="752"/>
      <c r="H48" s="719"/>
      <c r="I48" s="704"/>
      <c r="J48" s="704"/>
      <c r="K48" s="704"/>
      <c r="L48" s="704"/>
      <c r="M48" s="704"/>
      <c r="N48" s="704"/>
      <c r="O48" s="704"/>
      <c r="P48" s="704"/>
      <c r="Q48" s="704"/>
      <c r="R48" s="704"/>
      <c r="S48" s="704"/>
      <c r="T48" s="704"/>
      <c r="U48" s="704"/>
      <c r="V48" s="704"/>
      <c r="W48" s="704"/>
      <c r="X48" s="704"/>
      <c r="Y48" s="704"/>
      <c r="Z48" s="725"/>
      <c r="AA48" s="726"/>
      <c r="AB48" s="727"/>
      <c r="AC48" s="86"/>
      <c r="AD48" s="84"/>
      <c r="AE48" s="84"/>
      <c r="AF48" s="84"/>
      <c r="AG48" s="85"/>
      <c r="AH48" s="180"/>
      <c r="AI48" s="181"/>
      <c r="AJ48" s="181"/>
      <c r="AK48" s="181"/>
      <c r="AL48" s="181"/>
      <c r="AM48" s="182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84"/>
    </row>
    <row r="49" spans="1:54" s="165" customFormat="1" ht="14.25" hidden="1" customHeight="1" x14ac:dyDescent="0.2">
      <c r="A49" s="751"/>
      <c r="B49" s="751"/>
      <c r="C49" s="751"/>
      <c r="D49" s="751"/>
      <c r="E49" s="751"/>
      <c r="F49" s="751"/>
      <c r="G49" s="752"/>
      <c r="H49" s="719"/>
      <c r="I49" s="704"/>
      <c r="J49" s="704"/>
      <c r="K49" s="704"/>
      <c r="L49" s="704"/>
      <c r="M49" s="704"/>
      <c r="N49" s="704"/>
      <c r="O49" s="704"/>
      <c r="P49" s="704"/>
      <c r="Q49" s="704"/>
      <c r="R49" s="704"/>
      <c r="S49" s="704"/>
      <c r="T49" s="704"/>
      <c r="U49" s="704"/>
      <c r="V49" s="704"/>
      <c r="W49" s="704"/>
      <c r="X49" s="704"/>
      <c r="Y49" s="704"/>
      <c r="Z49" s="725"/>
      <c r="AA49" s="726"/>
      <c r="AB49" s="727"/>
      <c r="AC49" s="86"/>
      <c r="AD49" s="84"/>
      <c r="AE49" s="84"/>
      <c r="AF49" s="84"/>
      <c r="AG49" s="85"/>
      <c r="AH49" s="180"/>
      <c r="AI49" s="181"/>
      <c r="AJ49" s="181"/>
      <c r="AK49" s="181"/>
      <c r="AL49" s="181"/>
      <c r="AM49" s="182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84"/>
    </row>
    <row r="50" spans="1:54" ht="0.75" customHeight="1" thickBot="1" x14ac:dyDescent="0.25">
      <c r="A50" s="784"/>
      <c r="B50" s="784"/>
      <c r="C50" s="784"/>
      <c r="D50" s="784"/>
      <c r="E50" s="784"/>
      <c r="F50" s="784"/>
      <c r="G50" s="785"/>
      <c r="H50" s="720"/>
      <c r="I50" s="721"/>
      <c r="J50" s="721"/>
      <c r="K50" s="721"/>
      <c r="L50" s="721"/>
      <c r="M50" s="721"/>
      <c r="N50" s="721"/>
      <c r="O50" s="721"/>
      <c r="P50" s="721"/>
      <c r="Q50" s="721"/>
      <c r="R50" s="721"/>
      <c r="S50" s="721"/>
      <c r="T50" s="721"/>
      <c r="U50" s="721"/>
      <c r="V50" s="721"/>
      <c r="W50" s="721"/>
      <c r="X50" s="721"/>
      <c r="Y50" s="721"/>
      <c r="Z50" s="728"/>
      <c r="AA50" s="729"/>
      <c r="AB50" s="730"/>
      <c r="AC50" s="98"/>
      <c r="AD50" s="155"/>
      <c r="AE50" s="155"/>
      <c r="AF50" s="155"/>
      <c r="AG50" s="99"/>
      <c r="AH50" s="183"/>
      <c r="AI50" s="184"/>
      <c r="AJ50" s="184"/>
      <c r="AK50" s="184"/>
      <c r="AL50" s="184"/>
      <c r="AM50" s="185"/>
      <c r="AN50" s="98"/>
      <c r="AO50" s="155"/>
      <c r="AP50" s="155"/>
      <c r="AQ50" s="155"/>
      <c r="AR50" s="99"/>
      <c r="AS50" s="183"/>
      <c r="AT50" s="184"/>
      <c r="AU50" s="184"/>
      <c r="AV50" s="184"/>
      <c r="AW50" s="185"/>
      <c r="AX50" s="98"/>
      <c r="AY50" s="155"/>
      <c r="AZ50" s="155"/>
      <c r="BA50" s="155"/>
      <c r="BB50" s="155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189"/>
      <c r="I52" s="189"/>
      <c r="J52" s="189"/>
      <c r="K52" s="189"/>
      <c r="L52" s="164"/>
      <c r="M52" s="164"/>
      <c r="N52" s="164"/>
      <c r="O52" s="164"/>
      <c r="P52" s="164"/>
      <c r="Q52" s="190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660" t="s">
        <v>106</v>
      </c>
      <c r="B58" s="661"/>
      <c r="C58" s="661"/>
      <c r="D58" s="661"/>
      <c r="E58" s="661"/>
      <c r="F58" s="661"/>
      <c r="G58" s="661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96"/>
      <c r="AC58" s="662">
        <f>((R59+(R59*U61)+(R59*Q61)+(R59*M61)+(R59*I61))*Z61)</f>
        <v>23595</v>
      </c>
      <c r="AD58" s="662"/>
      <c r="AE58" s="662"/>
      <c r="AF58" s="662"/>
      <c r="AG58" s="662"/>
      <c r="AH58" s="662">
        <v>120</v>
      </c>
      <c r="AI58" s="662"/>
      <c r="AJ58" s="662"/>
      <c r="AK58" s="662"/>
      <c r="AL58" s="662"/>
      <c r="AM58" s="662"/>
      <c r="AN58" s="662">
        <f>AC58/AH58</f>
        <v>196.625</v>
      </c>
      <c r="AO58" s="662"/>
      <c r="AP58" s="662"/>
      <c r="AQ58" s="662"/>
      <c r="AR58" s="662"/>
      <c r="AS58" s="663">
        <f>U12</f>
        <v>36</v>
      </c>
      <c r="AT58" s="663"/>
      <c r="AU58" s="663"/>
      <c r="AV58" s="663"/>
      <c r="AW58" s="663"/>
      <c r="AX58" s="662">
        <f>AN58*AS58</f>
        <v>7078.5</v>
      </c>
      <c r="AY58" s="662"/>
      <c r="AZ58" s="662"/>
      <c r="BA58" s="662"/>
      <c r="BB58" s="684"/>
    </row>
    <row r="59" spans="1:54" s="165" customFormat="1" ht="20.25" customHeight="1" x14ac:dyDescent="0.2">
      <c r="A59" s="652"/>
      <c r="B59" s="653"/>
      <c r="C59" s="653"/>
      <c r="D59" s="653"/>
      <c r="E59" s="653"/>
      <c r="F59" s="653"/>
      <c r="G59" s="653"/>
      <c r="H59" s="714" t="s">
        <v>26</v>
      </c>
      <c r="I59" s="704"/>
      <c r="J59" s="704"/>
      <c r="K59" s="704"/>
      <c r="L59" s="704"/>
      <c r="M59" s="704"/>
      <c r="N59" s="669">
        <v>1.5</v>
      </c>
      <c r="O59" s="669"/>
      <c r="P59" s="669"/>
      <c r="Q59" s="84" t="s">
        <v>27</v>
      </c>
      <c r="R59" s="669">
        <f>$AX$19*N59</f>
        <v>8250</v>
      </c>
      <c r="S59" s="669"/>
      <c r="T59" s="669"/>
      <c r="U59" s="669"/>
      <c r="V59" s="669"/>
      <c r="W59" s="84" t="s">
        <v>28</v>
      </c>
      <c r="X59" s="84" t="s">
        <v>29</v>
      </c>
      <c r="Y59" s="84"/>
      <c r="Z59" s="84"/>
      <c r="AA59" s="84"/>
      <c r="AB59" s="85"/>
      <c r="AC59" s="601"/>
      <c r="AD59" s="601"/>
      <c r="AE59" s="601"/>
      <c r="AF59" s="601"/>
      <c r="AG59" s="601"/>
      <c r="AH59" s="601"/>
      <c r="AI59" s="601"/>
      <c r="AJ59" s="601"/>
      <c r="AK59" s="601"/>
      <c r="AL59" s="601"/>
      <c r="AM59" s="601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652"/>
      <c r="B60" s="653"/>
      <c r="C60" s="653"/>
      <c r="D60" s="653"/>
      <c r="E60" s="653"/>
      <c r="F60" s="653"/>
      <c r="G60" s="653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601"/>
      <c r="AD60" s="601"/>
      <c r="AE60" s="601"/>
      <c r="AF60" s="601"/>
      <c r="AG60" s="601"/>
      <c r="AH60" s="601"/>
      <c r="AI60" s="601"/>
      <c r="AJ60" s="601"/>
      <c r="AK60" s="601"/>
      <c r="AL60" s="601"/>
      <c r="AM60" s="601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1.25" customHeight="1" x14ac:dyDescent="0.2">
      <c r="A61" s="652"/>
      <c r="B61" s="653"/>
      <c r="C61" s="653"/>
      <c r="D61" s="653"/>
      <c r="E61" s="653"/>
      <c r="F61" s="653"/>
      <c r="G61" s="653"/>
      <c r="H61" s="97" t="s">
        <v>30</v>
      </c>
      <c r="I61" s="792">
        <v>0.1</v>
      </c>
      <c r="J61" s="792"/>
      <c r="K61" s="792"/>
      <c r="L61" s="84" t="s">
        <v>79</v>
      </c>
      <c r="M61" s="792">
        <v>0</v>
      </c>
      <c r="N61" s="792"/>
      <c r="O61" s="792"/>
      <c r="P61" s="84" t="s">
        <v>79</v>
      </c>
      <c r="Q61" s="792">
        <v>0</v>
      </c>
      <c r="R61" s="792"/>
      <c r="S61" s="792"/>
      <c r="T61" s="84" t="s">
        <v>79</v>
      </c>
      <c r="U61" s="792">
        <v>0</v>
      </c>
      <c r="V61" s="792"/>
      <c r="W61" s="792"/>
      <c r="X61" s="84" t="s">
        <v>31</v>
      </c>
      <c r="Y61" s="84" t="s">
        <v>28</v>
      </c>
      <c r="Z61" s="669">
        <v>2.6</v>
      </c>
      <c r="AA61" s="669"/>
      <c r="AB61" s="670"/>
      <c r="AC61" s="601"/>
      <c r="AD61" s="601"/>
      <c r="AE61" s="601"/>
      <c r="AF61" s="601"/>
      <c r="AG61" s="601"/>
      <c r="AH61" s="601"/>
      <c r="AI61" s="601"/>
      <c r="AJ61" s="601"/>
      <c r="AK61" s="601"/>
      <c r="AL61" s="601"/>
      <c r="AM61" s="601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" customHeight="1" thickBot="1" x14ac:dyDescent="0.25">
      <c r="A62" s="652"/>
      <c r="B62" s="653"/>
      <c r="C62" s="653"/>
      <c r="D62" s="653"/>
      <c r="E62" s="653"/>
      <c r="F62" s="653"/>
      <c r="G62" s="653"/>
      <c r="H62" s="98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99"/>
      <c r="AC62" s="601"/>
      <c r="AD62" s="601"/>
      <c r="AE62" s="601"/>
      <c r="AF62" s="601"/>
      <c r="AG62" s="601"/>
      <c r="AH62" s="601"/>
      <c r="AI62" s="601"/>
      <c r="AJ62" s="601"/>
      <c r="AK62" s="601"/>
      <c r="AL62" s="601"/>
      <c r="AM62" s="601"/>
      <c r="AN62" s="601"/>
      <c r="AO62" s="601"/>
      <c r="AP62" s="601"/>
      <c r="AQ62" s="601"/>
      <c r="AR62" s="601"/>
      <c r="AS62" s="664"/>
      <c r="AT62" s="664"/>
      <c r="AU62" s="664"/>
      <c r="AV62" s="664"/>
      <c r="AW62" s="664"/>
      <c r="AX62" s="601"/>
      <c r="AY62" s="601"/>
      <c r="AZ62" s="601"/>
      <c r="BA62" s="601"/>
      <c r="BB62" s="655"/>
    </row>
    <row r="63" spans="1:54" ht="5.0999999999999996" hidden="1" customHeight="1" x14ac:dyDescent="0.2">
      <c r="A63" s="652"/>
      <c r="B63" s="653"/>
      <c r="C63" s="653"/>
      <c r="D63" s="653"/>
      <c r="E63" s="653"/>
      <c r="F63" s="653"/>
      <c r="G63" s="653"/>
      <c r="H63" s="193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94" t="e">
        <f>#REF!</f>
        <v>#REF!</v>
      </c>
      <c r="AA63" s="191"/>
      <c r="AB63" s="195"/>
      <c r="AC63" s="507">
        <f>((R64+(R64*U66)+(R64*Q66)+(R64*M66)+(R64*I66))*Z66)*1.15</f>
        <v>0</v>
      </c>
      <c r="AD63" s="507"/>
      <c r="AE63" s="507"/>
      <c r="AF63" s="507"/>
      <c r="AG63" s="507"/>
      <c r="AH63" s="529">
        <v>1</v>
      </c>
      <c r="AI63" s="529"/>
      <c r="AJ63" s="529"/>
      <c r="AK63" s="529"/>
      <c r="AL63" s="529"/>
      <c r="AM63" s="529"/>
      <c r="AN63" s="529">
        <f>AC63/AH63</f>
        <v>0</v>
      </c>
      <c r="AO63" s="529"/>
      <c r="AP63" s="529"/>
      <c r="AQ63" s="529"/>
      <c r="AR63" s="529"/>
      <c r="AS63" s="663">
        <f t="shared" ref="AS63" si="0">U17</f>
        <v>0</v>
      </c>
      <c r="AT63" s="663"/>
      <c r="AU63" s="663"/>
      <c r="AV63" s="663"/>
      <c r="AW63" s="663"/>
      <c r="AX63" s="529">
        <f>AN63*AS63</f>
        <v>0</v>
      </c>
      <c r="AY63" s="529"/>
      <c r="AZ63" s="529"/>
      <c r="BA63" s="529"/>
      <c r="BB63" s="665"/>
    </row>
    <row r="64" spans="1:54" s="165" customFormat="1" ht="11.25" hidden="1" customHeight="1" x14ac:dyDescent="0.2">
      <c r="A64" s="652"/>
      <c r="B64" s="653"/>
      <c r="C64" s="653"/>
      <c r="D64" s="653"/>
      <c r="E64" s="653"/>
      <c r="F64" s="653"/>
      <c r="G64" s="653"/>
      <c r="H64" s="658" t="s">
        <v>26</v>
      </c>
      <c r="I64" s="659"/>
      <c r="J64" s="659"/>
      <c r="K64" s="659"/>
      <c r="L64" s="659"/>
      <c r="M64" s="659"/>
      <c r="N64" s="650">
        <v>0</v>
      </c>
      <c r="O64" s="650"/>
      <c r="P64" s="650"/>
      <c r="Q64" s="191" t="s">
        <v>27</v>
      </c>
      <c r="R64" s="650">
        <f>$AX$19*N64</f>
        <v>0</v>
      </c>
      <c r="S64" s="650"/>
      <c r="T64" s="650"/>
      <c r="U64" s="650"/>
      <c r="V64" s="650"/>
      <c r="W64" s="191" t="s">
        <v>28</v>
      </c>
      <c r="X64" s="191" t="s">
        <v>29</v>
      </c>
      <c r="Y64" s="191"/>
      <c r="Z64" s="191"/>
      <c r="AA64" s="191"/>
      <c r="AB64" s="195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664"/>
      <c r="AT64" s="664"/>
      <c r="AU64" s="664"/>
      <c r="AV64" s="664"/>
      <c r="AW64" s="664"/>
      <c r="AX64" s="529"/>
      <c r="AY64" s="529"/>
      <c r="AZ64" s="529"/>
      <c r="BA64" s="529"/>
      <c r="BB64" s="665"/>
    </row>
    <row r="65" spans="1:54" s="165" customFormat="1" ht="5.0999999999999996" hidden="1" customHeight="1" x14ac:dyDescent="0.2">
      <c r="A65" s="652"/>
      <c r="B65" s="653"/>
      <c r="C65" s="653"/>
      <c r="D65" s="653"/>
      <c r="E65" s="653"/>
      <c r="F65" s="653"/>
      <c r="G65" s="653"/>
      <c r="H65" s="196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91"/>
      <c r="AA65" s="191"/>
      <c r="AB65" s="195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65" customFormat="1" ht="11.25" hidden="1" customHeight="1" x14ac:dyDescent="0.2">
      <c r="A66" s="652"/>
      <c r="B66" s="653"/>
      <c r="C66" s="653"/>
      <c r="D66" s="653"/>
      <c r="E66" s="653"/>
      <c r="F66" s="653"/>
      <c r="G66" s="653"/>
      <c r="H66" s="197" t="s">
        <v>30</v>
      </c>
      <c r="I66" s="654">
        <v>0</v>
      </c>
      <c r="J66" s="654"/>
      <c r="K66" s="654"/>
      <c r="L66" s="191" t="s">
        <v>28</v>
      </c>
      <c r="M66" s="654">
        <v>0</v>
      </c>
      <c r="N66" s="654"/>
      <c r="O66" s="654"/>
      <c r="P66" s="191" t="s">
        <v>28</v>
      </c>
      <c r="Q66" s="654"/>
      <c r="R66" s="654"/>
      <c r="S66" s="654"/>
      <c r="T66" s="191" t="s">
        <v>28</v>
      </c>
      <c r="U66" s="654"/>
      <c r="V66" s="654"/>
      <c r="W66" s="654"/>
      <c r="X66" s="191" t="s">
        <v>31</v>
      </c>
      <c r="Y66" s="191" t="s">
        <v>28</v>
      </c>
      <c r="Z66" s="650">
        <v>2.6</v>
      </c>
      <c r="AA66" s="650"/>
      <c r="AB66" s="651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65" customFormat="1" ht="5.0999999999999996" hidden="1" customHeight="1" thickBot="1" x14ac:dyDescent="0.25">
      <c r="A67" s="652"/>
      <c r="B67" s="653"/>
      <c r="C67" s="653"/>
      <c r="D67" s="653"/>
      <c r="E67" s="653"/>
      <c r="F67" s="653"/>
      <c r="G67" s="653"/>
      <c r="H67" s="198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200"/>
      <c r="AA67" s="200"/>
      <c r="AB67" s="201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65" customFormat="1" ht="5.0999999999999996" hidden="1" customHeight="1" x14ac:dyDescent="0.2">
      <c r="A68" s="652"/>
      <c r="B68" s="653"/>
      <c r="C68" s="653"/>
      <c r="D68" s="653"/>
      <c r="E68" s="653"/>
      <c r="F68" s="653"/>
      <c r="G68" s="653"/>
      <c r="H68" s="19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94" t="e">
        <f>#REF!</f>
        <v>#REF!</v>
      </c>
      <c r="AA68" s="191"/>
      <c r="AB68" s="195"/>
      <c r="AC68" s="507">
        <f>((R69+(R69*U71)+(R69*Q71)+(R69*M71)+(R69*I71))*Z71)*1.15</f>
        <v>0</v>
      </c>
      <c r="AD68" s="507"/>
      <c r="AE68" s="507"/>
      <c r="AF68" s="507"/>
      <c r="AG68" s="507"/>
      <c r="AH68" s="529">
        <v>1</v>
      </c>
      <c r="AI68" s="529"/>
      <c r="AJ68" s="529"/>
      <c r="AK68" s="529"/>
      <c r="AL68" s="529"/>
      <c r="AM68" s="529"/>
      <c r="AN68" s="529">
        <f>AC68/AH68</f>
        <v>0</v>
      </c>
      <c r="AO68" s="529"/>
      <c r="AP68" s="529"/>
      <c r="AQ68" s="529"/>
      <c r="AR68" s="529"/>
      <c r="AS68" s="663">
        <f t="shared" ref="AS68" si="1">U22</f>
        <v>0</v>
      </c>
      <c r="AT68" s="663"/>
      <c r="AU68" s="663"/>
      <c r="AV68" s="663"/>
      <c r="AW68" s="663"/>
      <c r="AX68" s="529">
        <f>AN68*AS68</f>
        <v>0</v>
      </c>
      <c r="AY68" s="529"/>
      <c r="AZ68" s="529"/>
      <c r="BA68" s="529"/>
      <c r="BB68" s="665"/>
    </row>
    <row r="69" spans="1:54" s="165" customFormat="1" ht="11.25" hidden="1" customHeight="1" x14ac:dyDescent="0.2">
      <c r="A69" s="652"/>
      <c r="B69" s="653"/>
      <c r="C69" s="653"/>
      <c r="D69" s="653"/>
      <c r="E69" s="653"/>
      <c r="F69" s="653"/>
      <c r="G69" s="653"/>
      <c r="H69" s="658" t="s">
        <v>26</v>
      </c>
      <c r="I69" s="659"/>
      <c r="J69" s="659"/>
      <c r="K69" s="659"/>
      <c r="L69" s="659"/>
      <c r="M69" s="659"/>
      <c r="N69" s="650">
        <v>0</v>
      </c>
      <c r="O69" s="650"/>
      <c r="P69" s="650"/>
      <c r="Q69" s="191" t="s">
        <v>27</v>
      </c>
      <c r="R69" s="650">
        <f>$AX$19*N69</f>
        <v>0</v>
      </c>
      <c r="S69" s="650"/>
      <c r="T69" s="650"/>
      <c r="U69" s="650"/>
      <c r="V69" s="650"/>
      <c r="W69" s="191" t="s">
        <v>28</v>
      </c>
      <c r="X69" s="191" t="s">
        <v>29</v>
      </c>
      <c r="Y69" s="191"/>
      <c r="Z69" s="191"/>
      <c r="AA69" s="191"/>
      <c r="AB69" s="195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529"/>
      <c r="AP69" s="529"/>
      <c r="AQ69" s="529"/>
      <c r="AR69" s="529"/>
      <c r="AS69" s="664"/>
      <c r="AT69" s="664"/>
      <c r="AU69" s="664"/>
      <c r="AV69" s="664"/>
      <c r="AW69" s="664"/>
      <c r="AX69" s="529"/>
      <c r="AY69" s="529"/>
      <c r="AZ69" s="529"/>
      <c r="BA69" s="529"/>
      <c r="BB69" s="665"/>
    </row>
    <row r="70" spans="1:54" ht="5.0999999999999996" hidden="1" customHeight="1" x14ac:dyDescent="0.2">
      <c r="A70" s="652"/>
      <c r="B70" s="653"/>
      <c r="C70" s="653"/>
      <c r="D70" s="653"/>
      <c r="E70" s="653"/>
      <c r="F70" s="653"/>
      <c r="G70" s="653"/>
      <c r="H70" s="19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91"/>
      <c r="AA70" s="191"/>
      <c r="AB70" s="195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s="165" customFormat="1" ht="11.25" hidden="1" customHeight="1" x14ac:dyDescent="0.2">
      <c r="A71" s="652"/>
      <c r="B71" s="653"/>
      <c r="C71" s="653"/>
      <c r="D71" s="653"/>
      <c r="E71" s="653"/>
      <c r="F71" s="653"/>
      <c r="G71" s="653"/>
      <c r="H71" s="197" t="s">
        <v>30</v>
      </c>
      <c r="I71" s="654">
        <v>0</v>
      </c>
      <c r="J71" s="654"/>
      <c r="K71" s="654"/>
      <c r="L71" s="191" t="s">
        <v>28</v>
      </c>
      <c r="M71" s="654">
        <v>0</v>
      </c>
      <c r="N71" s="654"/>
      <c r="O71" s="654"/>
      <c r="P71" s="191" t="s">
        <v>28</v>
      </c>
      <c r="Q71" s="654"/>
      <c r="R71" s="654"/>
      <c r="S71" s="654"/>
      <c r="T71" s="191" t="s">
        <v>28</v>
      </c>
      <c r="U71" s="654"/>
      <c r="V71" s="654"/>
      <c r="W71" s="654"/>
      <c r="X71" s="191" t="s">
        <v>31</v>
      </c>
      <c r="Y71" s="191" t="s">
        <v>28</v>
      </c>
      <c r="Z71" s="650">
        <v>2.6</v>
      </c>
      <c r="AA71" s="650"/>
      <c r="AB71" s="651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65" customFormat="1" ht="11.25" hidden="1" customHeight="1" thickBot="1" x14ac:dyDescent="0.25">
      <c r="A72" s="652"/>
      <c r="B72" s="653"/>
      <c r="C72" s="653"/>
      <c r="D72" s="653"/>
      <c r="E72" s="653"/>
      <c r="F72" s="653"/>
      <c r="G72" s="653"/>
      <c r="H72" s="198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200"/>
      <c r="AA72" s="200"/>
      <c r="AB72" s="201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65" customFormat="1" ht="15" hidden="1" customHeight="1" x14ac:dyDescent="0.2">
      <c r="A73" s="660" t="s">
        <v>84</v>
      </c>
      <c r="B73" s="661"/>
      <c r="C73" s="661"/>
      <c r="D73" s="661"/>
      <c r="E73" s="661"/>
      <c r="F73" s="661"/>
      <c r="G73" s="661"/>
      <c r="H73" s="19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94" t="e">
        <f>#REF!</f>
        <v>#REF!</v>
      </c>
      <c r="AA73" s="191"/>
      <c r="AB73" s="195"/>
      <c r="AC73" s="507">
        <f>((R74+(R74*U76)+(R74*Q76)+(R74*M76)+(R74*I76))*Z76)</f>
        <v>0</v>
      </c>
      <c r="AD73" s="507"/>
      <c r="AE73" s="507"/>
      <c r="AF73" s="507"/>
      <c r="AG73" s="507"/>
      <c r="AH73" s="529">
        <v>75</v>
      </c>
      <c r="AI73" s="529"/>
      <c r="AJ73" s="529"/>
      <c r="AK73" s="529"/>
      <c r="AL73" s="529"/>
      <c r="AM73" s="529"/>
      <c r="AN73" s="529">
        <f>AC73/AH73</f>
        <v>0</v>
      </c>
      <c r="AO73" s="529"/>
      <c r="AP73" s="529"/>
      <c r="AQ73" s="529"/>
      <c r="AR73" s="529"/>
      <c r="AS73" s="663">
        <f t="shared" ref="AS73" si="2">U27</f>
        <v>0</v>
      </c>
      <c r="AT73" s="663"/>
      <c r="AU73" s="663"/>
      <c r="AV73" s="663"/>
      <c r="AW73" s="663"/>
      <c r="AX73" s="529">
        <f>AN73*AS73</f>
        <v>0</v>
      </c>
      <c r="AY73" s="529"/>
      <c r="AZ73" s="529"/>
      <c r="BA73" s="529"/>
      <c r="BB73" s="665"/>
    </row>
    <row r="74" spans="1:54" s="165" customFormat="1" ht="21" hidden="1" customHeight="1" thickBot="1" x14ac:dyDescent="0.25">
      <c r="A74" s="652"/>
      <c r="B74" s="653"/>
      <c r="C74" s="653"/>
      <c r="D74" s="653"/>
      <c r="E74" s="653"/>
      <c r="F74" s="653"/>
      <c r="G74" s="653"/>
      <c r="H74" s="658" t="s">
        <v>26</v>
      </c>
      <c r="I74" s="659"/>
      <c r="J74" s="659"/>
      <c r="K74" s="659"/>
      <c r="L74" s="659"/>
      <c r="M74" s="659"/>
      <c r="N74" s="650">
        <v>0</v>
      </c>
      <c r="O74" s="650"/>
      <c r="P74" s="650"/>
      <c r="Q74" s="191" t="s">
        <v>27</v>
      </c>
      <c r="R74" s="650">
        <f>$AX$19*N74</f>
        <v>0</v>
      </c>
      <c r="S74" s="650"/>
      <c r="T74" s="650"/>
      <c r="U74" s="650"/>
      <c r="V74" s="650"/>
      <c r="W74" s="191" t="s">
        <v>28</v>
      </c>
      <c r="X74" s="191" t="s">
        <v>29</v>
      </c>
      <c r="Y74" s="191"/>
      <c r="Z74" s="191"/>
      <c r="AA74" s="191"/>
      <c r="AB74" s="195"/>
      <c r="AC74" s="529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29"/>
      <c r="AS74" s="664"/>
      <c r="AT74" s="664"/>
      <c r="AU74" s="664"/>
      <c r="AV74" s="664"/>
      <c r="AW74" s="664"/>
      <c r="AX74" s="529"/>
      <c r="AY74" s="529"/>
      <c r="AZ74" s="529"/>
      <c r="BA74" s="529"/>
      <c r="BB74" s="665"/>
    </row>
    <row r="75" spans="1:54" s="165" customFormat="1" ht="12" hidden="1" customHeight="1" thickBot="1" x14ac:dyDescent="0.25">
      <c r="A75" s="652"/>
      <c r="B75" s="653"/>
      <c r="C75" s="653"/>
      <c r="D75" s="653"/>
      <c r="E75" s="653"/>
      <c r="F75" s="653"/>
      <c r="G75" s="653"/>
      <c r="H75" s="196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91"/>
      <c r="AA75" s="191"/>
      <c r="AB75" s="195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29"/>
      <c r="AS75" s="664"/>
      <c r="AT75" s="664"/>
      <c r="AU75" s="664"/>
      <c r="AV75" s="664"/>
      <c r="AW75" s="664"/>
      <c r="AX75" s="529"/>
      <c r="AY75" s="529"/>
      <c r="AZ75" s="529"/>
      <c r="BA75" s="529"/>
      <c r="BB75" s="665"/>
    </row>
    <row r="76" spans="1:54" s="165" customFormat="1" ht="15.75" hidden="1" customHeight="1" thickBot="1" x14ac:dyDescent="0.25">
      <c r="A76" s="652"/>
      <c r="B76" s="653"/>
      <c r="C76" s="653"/>
      <c r="D76" s="653"/>
      <c r="E76" s="653"/>
      <c r="F76" s="653"/>
      <c r="G76" s="653"/>
      <c r="H76" s="197" t="s">
        <v>30</v>
      </c>
      <c r="I76" s="654">
        <v>0.2</v>
      </c>
      <c r="J76" s="654"/>
      <c r="K76" s="654"/>
      <c r="L76" s="191" t="s">
        <v>28</v>
      </c>
      <c r="M76" s="654">
        <v>0.15</v>
      </c>
      <c r="N76" s="654"/>
      <c r="O76" s="654"/>
      <c r="P76" s="191" t="s">
        <v>28</v>
      </c>
      <c r="Q76" s="654">
        <v>0.5</v>
      </c>
      <c r="R76" s="654"/>
      <c r="S76" s="654"/>
      <c r="T76" s="191" t="s">
        <v>28</v>
      </c>
      <c r="U76" s="654">
        <v>0</v>
      </c>
      <c r="V76" s="654"/>
      <c r="W76" s="654"/>
      <c r="X76" s="191" t="s">
        <v>31</v>
      </c>
      <c r="Y76" s="191" t="s">
        <v>28</v>
      </c>
      <c r="Z76" s="650">
        <v>2.6</v>
      </c>
      <c r="AA76" s="650"/>
      <c r="AB76" s="651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29"/>
      <c r="AS76" s="664"/>
      <c r="AT76" s="664"/>
      <c r="AU76" s="664"/>
      <c r="AV76" s="664"/>
      <c r="AW76" s="664"/>
      <c r="AX76" s="529"/>
      <c r="AY76" s="529"/>
      <c r="AZ76" s="529"/>
      <c r="BA76" s="529"/>
      <c r="BB76" s="665"/>
    </row>
    <row r="77" spans="1:54" ht="13.5" hidden="1" customHeight="1" thickBot="1" x14ac:dyDescent="0.25">
      <c r="A77" s="652"/>
      <c r="B77" s="653"/>
      <c r="C77" s="653"/>
      <c r="D77" s="653"/>
      <c r="E77" s="653"/>
      <c r="F77" s="653"/>
      <c r="G77" s="653"/>
      <c r="H77" s="198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200"/>
      <c r="AA77" s="200"/>
      <c r="AB77" s="201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29"/>
      <c r="AS77" s="664"/>
      <c r="AT77" s="664"/>
      <c r="AU77" s="664"/>
      <c r="AV77" s="664"/>
      <c r="AW77" s="664"/>
      <c r="AX77" s="529"/>
      <c r="AY77" s="529"/>
      <c r="AZ77" s="529"/>
      <c r="BA77" s="529"/>
      <c r="BB77" s="665"/>
    </row>
    <row r="78" spans="1:54" s="165" customFormat="1" ht="8.25" hidden="1" customHeight="1" x14ac:dyDescent="0.2">
      <c r="A78" s="660" t="s">
        <v>86</v>
      </c>
      <c r="B78" s="661"/>
      <c r="C78" s="661"/>
      <c r="D78" s="661"/>
      <c r="E78" s="661"/>
      <c r="F78" s="661"/>
      <c r="G78" s="661"/>
      <c r="H78" s="19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94" t="e">
        <f>#REF!</f>
        <v>#REF!</v>
      </c>
      <c r="AA78" s="191"/>
      <c r="AB78" s="195"/>
      <c r="AC78" s="662">
        <f>((R79+(R79*U81)+(R79*Q81)+(R79*M81)+(R79*I81))*Z81)*1.15</f>
        <v>0</v>
      </c>
      <c r="AD78" s="662"/>
      <c r="AE78" s="662"/>
      <c r="AF78" s="662"/>
      <c r="AG78" s="662"/>
      <c r="AH78" s="601">
        <v>144</v>
      </c>
      <c r="AI78" s="601"/>
      <c r="AJ78" s="601"/>
      <c r="AK78" s="601"/>
      <c r="AL78" s="601"/>
      <c r="AM78" s="601"/>
      <c r="AN78" s="601">
        <f>AC78/AH78</f>
        <v>0</v>
      </c>
      <c r="AO78" s="601"/>
      <c r="AP78" s="601"/>
      <c r="AQ78" s="601"/>
      <c r="AR78" s="601"/>
      <c r="AS78" s="663">
        <v>72</v>
      </c>
      <c r="AT78" s="663"/>
      <c r="AU78" s="663"/>
      <c r="AV78" s="663"/>
      <c r="AW78" s="663"/>
      <c r="AX78" s="601">
        <f>AN78*AS78</f>
        <v>0</v>
      </c>
      <c r="AY78" s="601"/>
      <c r="AZ78" s="601"/>
      <c r="BA78" s="601"/>
      <c r="BB78" s="655"/>
    </row>
    <row r="79" spans="1:54" s="165" customFormat="1" ht="27" hidden="1" customHeight="1" thickBot="1" x14ac:dyDescent="0.25">
      <c r="A79" s="652"/>
      <c r="B79" s="653"/>
      <c r="C79" s="653"/>
      <c r="D79" s="653"/>
      <c r="E79" s="653"/>
      <c r="F79" s="653"/>
      <c r="G79" s="653"/>
      <c r="H79" s="658" t="s">
        <v>26</v>
      </c>
      <c r="I79" s="659"/>
      <c r="J79" s="659"/>
      <c r="K79" s="659"/>
      <c r="L79" s="659"/>
      <c r="M79" s="659"/>
      <c r="N79" s="650">
        <v>0</v>
      </c>
      <c r="O79" s="650"/>
      <c r="P79" s="650"/>
      <c r="Q79" s="191" t="s">
        <v>27</v>
      </c>
      <c r="R79" s="650">
        <f>$AX$19*N79</f>
        <v>0</v>
      </c>
      <c r="S79" s="650"/>
      <c r="T79" s="650"/>
      <c r="U79" s="650"/>
      <c r="V79" s="650"/>
      <c r="W79" s="191" t="s">
        <v>28</v>
      </c>
      <c r="X79" s="191" t="s">
        <v>29</v>
      </c>
      <c r="Y79" s="191"/>
      <c r="Z79" s="191"/>
      <c r="AA79" s="191"/>
      <c r="AB79" s="195"/>
      <c r="AC79" s="601"/>
      <c r="AD79" s="601"/>
      <c r="AE79" s="601"/>
      <c r="AF79" s="601"/>
      <c r="AG79" s="601"/>
      <c r="AH79" s="601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64"/>
      <c r="AT79" s="664"/>
      <c r="AU79" s="664"/>
      <c r="AV79" s="664"/>
      <c r="AW79" s="664"/>
      <c r="AX79" s="601"/>
      <c r="AY79" s="601"/>
      <c r="AZ79" s="601"/>
      <c r="BA79" s="601"/>
      <c r="BB79" s="655"/>
    </row>
    <row r="80" spans="1:54" s="165" customFormat="1" ht="6.75" hidden="1" customHeight="1" thickBot="1" x14ac:dyDescent="0.25">
      <c r="A80" s="652"/>
      <c r="B80" s="653"/>
      <c r="C80" s="653"/>
      <c r="D80" s="653"/>
      <c r="E80" s="653"/>
      <c r="F80" s="653"/>
      <c r="G80" s="653"/>
      <c r="H80" s="19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91"/>
      <c r="AA80" s="191"/>
      <c r="AB80" s="195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ht="12" hidden="1" customHeight="1" thickBot="1" x14ac:dyDescent="0.25">
      <c r="A81" s="652"/>
      <c r="B81" s="653"/>
      <c r="C81" s="653"/>
      <c r="D81" s="653"/>
      <c r="E81" s="653"/>
      <c r="F81" s="653"/>
      <c r="G81" s="653"/>
      <c r="H81" s="197" t="s">
        <v>30</v>
      </c>
      <c r="I81" s="654">
        <v>0.2</v>
      </c>
      <c r="J81" s="654"/>
      <c r="K81" s="654"/>
      <c r="L81" s="191" t="s">
        <v>28</v>
      </c>
      <c r="M81" s="654">
        <v>0</v>
      </c>
      <c r="N81" s="654"/>
      <c r="O81" s="654"/>
      <c r="P81" s="191" t="s">
        <v>28</v>
      </c>
      <c r="Q81" s="654">
        <v>0</v>
      </c>
      <c r="R81" s="654"/>
      <c r="S81" s="654"/>
      <c r="T81" s="191" t="s">
        <v>28</v>
      </c>
      <c r="U81" s="654">
        <v>0</v>
      </c>
      <c r="V81" s="654"/>
      <c r="W81" s="654"/>
      <c r="X81" s="191" t="s">
        <v>31</v>
      </c>
      <c r="Y81" s="191" t="s">
        <v>28</v>
      </c>
      <c r="Z81" s="650">
        <v>2.6</v>
      </c>
      <c r="AA81" s="650"/>
      <c r="AB81" s="651"/>
      <c r="AC81" s="601"/>
      <c r="AD81" s="601"/>
      <c r="AE81" s="601"/>
      <c r="AF81" s="601"/>
      <c r="AG81" s="601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3.5" hidden="1" customHeight="1" thickBot="1" x14ac:dyDescent="0.25">
      <c r="A82" s="652"/>
      <c r="B82" s="653"/>
      <c r="C82" s="653"/>
      <c r="D82" s="653"/>
      <c r="E82" s="653"/>
      <c r="F82" s="653"/>
      <c r="G82" s="653"/>
      <c r="H82" s="202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4"/>
      <c r="AA82" s="204"/>
      <c r="AB82" s="205"/>
      <c r="AC82" s="601"/>
      <c r="AD82" s="601"/>
      <c r="AE82" s="601"/>
      <c r="AF82" s="601"/>
      <c r="AG82" s="601"/>
      <c r="AH82" s="656"/>
      <c r="AI82" s="656"/>
      <c r="AJ82" s="656"/>
      <c r="AK82" s="656"/>
      <c r="AL82" s="656"/>
      <c r="AM82" s="656"/>
      <c r="AN82" s="656"/>
      <c r="AO82" s="656"/>
      <c r="AP82" s="656"/>
      <c r="AQ82" s="656"/>
      <c r="AR82" s="656"/>
      <c r="AS82" s="664"/>
      <c r="AT82" s="664"/>
      <c r="AU82" s="664"/>
      <c r="AV82" s="664"/>
      <c r="AW82" s="664"/>
      <c r="AX82" s="656"/>
      <c r="AY82" s="656"/>
      <c r="AZ82" s="656"/>
      <c r="BA82" s="656"/>
      <c r="BB82" s="657"/>
    </row>
    <row r="83" spans="1:54" ht="11.25" customHeight="1" x14ac:dyDescent="0.2">
      <c r="R83" s="169" t="s">
        <v>18</v>
      </c>
      <c r="S83" s="170"/>
      <c r="T83" s="170"/>
      <c r="U83" s="171"/>
      <c r="V83" s="171"/>
      <c r="W83" s="171"/>
      <c r="X83" s="171"/>
      <c r="Y83" s="171"/>
      <c r="Z83" s="171"/>
      <c r="AA83" s="171"/>
      <c r="AB83" s="171"/>
      <c r="AC83" s="171"/>
      <c r="AD83" s="171" t="s">
        <v>19</v>
      </c>
      <c r="AE83" s="171" t="s">
        <v>20</v>
      </c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2"/>
      <c r="AS83" s="453">
        <f>AX83/U12</f>
        <v>196.625</v>
      </c>
      <c r="AT83" s="453"/>
      <c r="AU83" s="453"/>
      <c r="AV83" s="453"/>
      <c r="AW83" s="453"/>
      <c r="AX83" s="453">
        <f>SUM(AX58:BB82)</f>
        <v>7078.5</v>
      </c>
      <c r="AY83" s="453"/>
      <c r="AZ83" s="453"/>
      <c r="BA83" s="453"/>
      <c r="BB83" s="454"/>
    </row>
    <row r="84" spans="1:54" ht="11.25" customHeight="1" thickBot="1" x14ac:dyDescent="0.25">
      <c r="R84" s="175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 t="s">
        <v>19</v>
      </c>
      <c r="AE84" s="176" t="s">
        <v>21</v>
      </c>
      <c r="AF84" s="176"/>
      <c r="AG84" s="176"/>
      <c r="AH84" s="176"/>
      <c r="AI84" s="176"/>
      <c r="AJ84" s="176"/>
      <c r="AK84" s="176"/>
      <c r="AL84" s="176"/>
      <c r="AM84" s="176"/>
      <c r="AN84" s="176"/>
      <c r="AO84" s="630">
        <v>0.30199999999999999</v>
      </c>
      <c r="AP84" s="631"/>
      <c r="AQ84" s="631"/>
      <c r="AR84" s="632"/>
      <c r="AS84" s="463">
        <f>AX84/U12</f>
        <v>59.380749999999999</v>
      </c>
      <c r="AT84" s="463"/>
      <c r="AU84" s="463"/>
      <c r="AV84" s="463"/>
      <c r="AW84" s="463"/>
      <c r="AX84" s="463">
        <f>AX83*AO84</f>
        <v>2137.7069999999999</v>
      </c>
      <c r="AY84" s="463"/>
      <c r="AZ84" s="463"/>
      <c r="BA84" s="463"/>
      <c r="BB84" s="633"/>
    </row>
    <row r="85" spans="1:54" ht="11.25" customHeight="1" thickBot="1" x14ac:dyDescent="0.25">
      <c r="M85" s="164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206"/>
      <c r="AP85" s="179"/>
      <c r="AQ85" s="179"/>
      <c r="AR85" s="179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</row>
    <row r="86" spans="1:54" ht="12" customHeight="1" x14ac:dyDescent="0.2">
      <c r="A86" s="634" t="s">
        <v>32</v>
      </c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34"/>
      <c r="O86" s="635" t="s">
        <v>33</v>
      </c>
      <c r="P86" s="636"/>
      <c r="Q86" s="636"/>
      <c r="R86" s="636"/>
      <c r="S86" s="636"/>
      <c r="T86" s="636"/>
      <c r="U86" s="636"/>
      <c r="V86" s="636"/>
      <c r="W86" s="636"/>
      <c r="X86" s="636"/>
      <c r="Y86" s="636"/>
      <c r="Z86" s="636"/>
      <c r="AA86" s="636"/>
      <c r="AB86" s="636"/>
      <c r="AC86" s="636"/>
      <c r="AD86" s="636"/>
      <c r="AE86" s="636"/>
      <c r="AF86" s="636"/>
      <c r="AG86" s="636"/>
      <c r="AH86" s="636"/>
      <c r="AI86" s="636"/>
      <c r="AJ86" s="636"/>
      <c r="AK86" s="636"/>
      <c r="AL86" s="636"/>
      <c r="AM86" s="636"/>
      <c r="AN86" s="636"/>
      <c r="AO86" s="637">
        <f>AS34+AS51+AS83</f>
        <v>216.28749999999999</v>
      </c>
      <c r="AP86" s="637"/>
      <c r="AQ86" s="637"/>
      <c r="AR86" s="637"/>
      <c r="AS86" s="637"/>
      <c r="AT86" s="637"/>
      <c r="AU86" s="637"/>
      <c r="AV86" s="637">
        <f>AX34+AX51+AX83</f>
        <v>7786.35</v>
      </c>
      <c r="AW86" s="637"/>
      <c r="AX86" s="637"/>
      <c r="AY86" s="637"/>
      <c r="AZ86" s="637"/>
      <c r="BA86" s="637"/>
      <c r="BB86" s="638"/>
    </row>
    <row r="87" spans="1:54" ht="12" customHeight="1" thickBot="1" x14ac:dyDescent="0.25">
      <c r="M87" s="163"/>
      <c r="O87" s="643" t="s">
        <v>34</v>
      </c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4"/>
      <c r="AI87" s="644"/>
      <c r="AJ87" s="644"/>
      <c r="AK87" s="644"/>
      <c r="AL87" s="644"/>
      <c r="AM87" s="644"/>
      <c r="AN87" s="644"/>
      <c r="AO87" s="645">
        <f>AS35+AS52+AS84</f>
        <v>65.318825000000004</v>
      </c>
      <c r="AP87" s="645"/>
      <c r="AQ87" s="645"/>
      <c r="AR87" s="645"/>
      <c r="AS87" s="645"/>
      <c r="AT87" s="645"/>
      <c r="AU87" s="645"/>
      <c r="AV87" s="645">
        <f>AX35+AX52+AX84</f>
        <v>2351.4776999999999</v>
      </c>
      <c r="AW87" s="645"/>
      <c r="AX87" s="645"/>
      <c r="AY87" s="645"/>
      <c r="AZ87" s="645"/>
      <c r="BA87" s="645"/>
      <c r="BB87" s="646"/>
    </row>
    <row r="88" spans="1:54" ht="12" customHeight="1" thickBot="1" x14ac:dyDescent="0.25">
      <c r="M88" s="208" t="s">
        <v>35</v>
      </c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10"/>
      <c r="AO88" s="647">
        <f>AO87+AO86</f>
        <v>281.60632499999997</v>
      </c>
      <c r="AP88" s="648"/>
      <c r="AQ88" s="648"/>
      <c r="AR88" s="648"/>
      <c r="AS88" s="648"/>
      <c r="AT88" s="648"/>
      <c r="AU88" s="648"/>
      <c r="AV88" s="648">
        <f>AV86+AV87</f>
        <v>10137.8277</v>
      </c>
      <c r="AW88" s="648"/>
      <c r="AX88" s="648"/>
      <c r="AY88" s="648"/>
      <c r="AZ88" s="648"/>
      <c r="BA88" s="648"/>
      <c r="BB88" s="649"/>
    </row>
    <row r="89" spans="1:54" ht="10.5" customHeight="1" x14ac:dyDescent="0.2"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</row>
    <row r="90" spans="1:54" s="159" customFormat="1" ht="15" customHeight="1" x14ac:dyDescent="0.2">
      <c r="A90" s="159" t="s">
        <v>36</v>
      </c>
      <c r="C90" s="159" t="s">
        <v>37</v>
      </c>
      <c r="AX90" s="160"/>
      <c r="AY90" s="160"/>
      <c r="AZ90" s="160"/>
      <c r="BA90" s="160"/>
      <c r="BB90" s="160"/>
    </row>
    <row r="91" spans="1:54" ht="12" customHeight="1" thickBot="1" x14ac:dyDescent="0.25"/>
    <row r="92" spans="1:54" s="163" customFormat="1" ht="39" customHeight="1" x14ac:dyDescent="0.2">
      <c r="A92" s="499" t="s">
        <v>38</v>
      </c>
      <c r="B92" s="500"/>
      <c r="C92" s="500"/>
      <c r="D92" s="500"/>
      <c r="E92" s="500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35" t="s">
        <v>39</v>
      </c>
      <c r="R92" s="535"/>
      <c r="S92" s="535"/>
      <c r="T92" s="535"/>
      <c r="U92" s="535"/>
      <c r="V92" s="535"/>
      <c r="W92" s="535"/>
      <c r="X92" s="535" t="s">
        <v>40</v>
      </c>
      <c r="Y92" s="535"/>
      <c r="Z92" s="535"/>
      <c r="AA92" s="535"/>
      <c r="AB92" s="535"/>
      <c r="AC92" s="535"/>
      <c r="AD92" s="535"/>
      <c r="AE92" s="535" t="s">
        <v>41</v>
      </c>
      <c r="AF92" s="535"/>
      <c r="AG92" s="535"/>
      <c r="AH92" s="535"/>
      <c r="AI92" s="535"/>
      <c r="AJ92" s="535"/>
      <c r="AK92" s="535"/>
      <c r="AL92" s="535"/>
      <c r="AM92" s="500" t="s">
        <v>42</v>
      </c>
      <c r="AN92" s="500"/>
      <c r="AO92" s="500"/>
      <c r="AP92" s="500"/>
      <c r="AQ92" s="500"/>
      <c r="AR92" s="500"/>
      <c r="AS92" s="500"/>
      <c r="AT92" s="500"/>
      <c r="AU92" s="500"/>
      <c r="AV92" s="500" t="s">
        <v>43</v>
      </c>
      <c r="AW92" s="500"/>
      <c r="AX92" s="500"/>
      <c r="AY92" s="500"/>
      <c r="AZ92" s="500"/>
      <c r="BA92" s="500"/>
      <c r="BB92" s="639"/>
    </row>
    <row r="93" spans="1:54" s="163" customFormat="1" ht="12" customHeight="1" thickBot="1" x14ac:dyDescent="0.25">
      <c r="A93" s="640">
        <v>1</v>
      </c>
      <c r="B93" s="641"/>
      <c r="C93" s="641"/>
      <c r="D93" s="641"/>
      <c r="E93" s="641"/>
      <c r="F93" s="641"/>
      <c r="G93" s="641"/>
      <c r="H93" s="641"/>
      <c r="I93" s="641"/>
      <c r="J93" s="641"/>
      <c r="K93" s="641"/>
      <c r="L93" s="641"/>
      <c r="M93" s="641"/>
      <c r="N93" s="641"/>
      <c r="O93" s="641"/>
      <c r="P93" s="641"/>
      <c r="Q93" s="641">
        <v>2</v>
      </c>
      <c r="R93" s="641"/>
      <c r="S93" s="641"/>
      <c r="T93" s="641"/>
      <c r="U93" s="641"/>
      <c r="V93" s="641"/>
      <c r="W93" s="641"/>
      <c r="X93" s="641">
        <v>3</v>
      </c>
      <c r="Y93" s="641"/>
      <c r="Z93" s="641"/>
      <c r="AA93" s="641"/>
      <c r="AB93" s="641"/>
      <c r="AC93" s="641"/>
      <c r="AD93" s="641"/>
      <c r="AE93" s="641">
        <v>4</v>
      </c>
      <c r="AF93" s="641"/>
      <c r="AG93" s="641"/>
      <c r="AH93" s="641"/>
      <c r="AI93" s="641"/>
      <c r="AJ93" s="641"/>
      <c r="AK93" s="641"/>
      <c r="AL93" s="641"/>
      <c r="AM93" s="641">
        <v>5</v>
      </c>
      <c r="AN93" s="641"/>
      <c r="AO93" s="641"/>
      <c r="AP93" s="641"/>
      <c r="AQ93" s="641"/>
      <c r="AR93" s="641"/>
      <c r="AS93" s="641"/>
      <c r="AT93" s="641"/>
      <c r="AU93" s="641"/>
      <c r="AV93" s="641">
        <v>6</v>
      </c>
      <c r="AW93" s="641"/>
      <c r="AX93" s="641"/>
      <c r="AY93" s="641"/>
      <c r="AZ93" s="641"/>
      <c r="BA93" s="641"/>
      <c r="BB93" s="642"/>
    </row>
    <row r="94" spans="1:54" ht="15" customHeight="1" x14ac:dyDescent="0.2">
      <c r="A94" s="618" t="s">
        <v>44</v>
      </c>
      <c r="B94" s="619"/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9"/>
      <c r="Q94" s="572">
        <v>5014.7</v>
      </c>
      <c r="R94" s="573"/>
      <c r="S94" s="573"/>
      <c r="T94" s="573"/>
      <c r="U94" s="573"/>
      <c r="V94" s="573"/>
      <c r="W94" s="574"/>
      <c r="X94" s="572">
        <v>44.9</v>
      </c>
      <c r="Y94" s="573"/>
      <c r="Z94" s="573"/>
      <c r="AA94" s="573"/>
      <c r="AB94" s="573"/>
      <c r="AC94" s="573"/>
      <c r="AD94" s="574"/>
      <c r="AE94" s="477">
        <v>1094980.28</v>
      </c>
      <c r="AF94" s="477"/>
      <c r="AG94" s="477"/>
      <c r="AH94" s="477"/>
      <c r="AI94" s="477"/>
      <c r="AJ94" s="477"/>
      <c r="AK94" s="477"/>
      <c r="AL94" s="477"/>
      <c r="AM94" s="620" t="s">
        <v>45</v>
      </c>
      <c r="AN94" s="621"/>
      <c r="AO94" s="621"/>
      <c r="AP94" s="621"/>
      <c r="AQ94" s="621"/>
      <c r="AR94" s="621"/>
      <c r="AS94" s="621"/>
      <c r="AT94" s="621"/>
      <c r="AU94" s="622"/>
      <c r="AV94" s="615">
        <f>AE94/$Q$94*$X$94/($AN$95*$AN$96)</f>
        <v>3.3077256625305678</v>
      </c>
      <c r="AW94" s="615"/>
      <c r="AX94" s="615"/>
      <c r="AY94" s="615"/>
      <c r="AZ94" s="615"/>
      <c r="BA94" s="615"/>
      <c r="BB94" s="616"/>
    </row>
    <row r="95" spans="1:54" ht="15" customHeight="1" x14ac:dyDescent="0.2">
      <c r="A95" s="618" t="s">
        <v>46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/>
      <c r="R95" s="573"/>
      <c r="S95" s="573"/>
      <c r="T95" s="573"/>
      <c r="U95" s="573"/>
      <c r="V95" s="573"/>
      <c r="W95" s="574"/>
      <c r="X95" s="572"/>
      <c r="Y95" s="573"/>
      <c r="Z95" s="573"/>
      <c r="AA95" s="573"/>
      <c r="AB95" s="573"/>
      <c r="AC95" s="573"/>
      <c r="AD95" s="574"/>
      <c r="AE95" s="529">
        <v>3185296.06</v>
      </c>
      <c r="AF95" s="529"/>
      <c r="AG95" s="529"/>
      <c r="AH95" s="529"/>
      <c r="AI95" s="529"/>
      <c r="AJ95" s="529"/>
      <c r="AK95" s="529"/>
      <c r="AL95" s="529"/>
      <c r="AM95" s="213"/>
      <c r="AN95" s="623">
        <v>247</v>
      </c>
      <c r="AO95" s="623"/>
      <c r="AP95" s="623"/>
      <c r="AQ95" s="617" t="s">
        <v>47</v>
      </c>
      <c r="AR95" s="617"/>
      <c r="AS95" s="617"/>
      <c r="AT95" s="617"/>
      <c r="AU95" s="214"/>
      <c r="AV95" s="615">
        <f>AE95/$Q$94*$X$94/($AN$95*$AN$96)</f>
        <v>9.6221691959781293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449" t="s">
        <v>48</v>
      </c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  <c r="M96" s="450"/>
      <c r="N96" s="450"/>
      <c r="O96" s="450"/>
      <c r="P96" s="451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529">
        <v>7563527</v>
      </c>
      <c r="AF96" s="529"/>
      <c r="AG96" s="529"/>
      <c r="AH96" s="529"/>
      <c r="AI96" s="529"/>
      <c r="AJ96" s="529"/>
      <c r="AK96" s="529"/>
      <c r="AL96" s="529"/>
      <c r="AM96" s="213"/>
      <c r="AN96" s="562">
        <v>12</v>
      </c>
      <c r="AO96" s="562"/>
      <c r="AP96" s="562"/>
      <c r="AQ96" s="617" t="s">
        <v>49</v>
      </c>
      <c r="AR96" s="617"/>
      <c r="AS96" s="617"/>
      <c r="AT96" s="617"/>
      <c r="AU96" s="214"/>
      <c r="AV96" s="615">
        <f>AE96/$Q$94*$X$94/($AN$95*$AN$96)</f>
        <v>22.847966136105061</v>
      </c>
      <c r="AW96" s="615"/>
      <c r="AX96" s="615"/>
      <c r="AY96" s="615"/>
      <c r="AZ96" s="615"/>
      <c r="BA96" s="615"/>
      <c r="BB96" s="616"/>
    </row>
    <row r="97" spans="1:57" ht="15" customHeight="1" thickBot="1" x14ac:dyDescent="0.25">
      <c r="A97" s="624" t="s">
        <v>50</v>
      </c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6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627">
        <v>1656648.54</v>
      </c>
      <c r="AF97" s="627"/>
      <c r="AG97" s="627"/>
      <c r="AH97" s="627"/>
      <c r="AI97" s="627"/>
      <c r="AJ97" s="627"/>
      <c r="AK97" s="627"/>
      <c r="AL97" s="627"/>
      <c r="AM97" s="213"/>
      <c r="AN97" s="186"/>
      <c r="AO97" s="186"/>
      <c r="AP97" s="186"/>
      <c r="AQ97" s="186"/>
      <c r="AR97" s="186"/>
      <c r="AS97" s="186"/>
      <c r="AT97" s="186"/>
      <c r="AU97" s="214"/>
      <c r="AV97" s="628">
        <f>AE97/$Q$94*$X$94/($AN$95*$AN$96)</f>
        <v>5.0044178782395958</v>
      </c>
      <c r="AW97" s="628"/>
      <c r="AX97" s="628"/>
      <c r="AY97" s="628"/>
      <c r="AZ97" s="628"/>
      <c r="BA97" s="628"/>
      <c r="BB97" s="629"/>
    </row>
    <row r="98" spans="1:57" s="161" customFormat="1" ht="15" customHeight="1" thickBot="1" x14ac:dyDescent="0.25">
      <c r="A98" s="610" t="s">
        <v>51</v>
      </c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531">
        <f>Q94</f>
        <v>5014.7</v>
      </c>
      <c r="R98" s="533"/>
      <c r="S98" s="533"/>
      <c r="T98" s="533"/>
      <c r="U98" s="533"/>
      <c r="V98" s="533"/>
      <c r="W98" s="534"/>
      <c r="X98" s="531">
        <f>X94</f>
        <v>44.9</v>
      </c>
      <c r="Y98" s="533"/>
      <c r="Z98" s="533"/>
      <c r="AA98" s="533"/>
      <c r="AB98" s="533"/>
      <c r="AC98" s="533"/>
      <c r="AD98" s="534"/>
      <c r="AE98" s="612">
        <f>SUM(AE94:AL97)</f>
        <v>13500451.879999999</v>
      </c>
      <c r="AF98" s="612"/>
      <c r="AG98" s="612"/>
      <c r="AH98" s="612"/>
      <c r="AI98" s="612"/>
      <c r="AJ98" s="612"/>
      <c r="AK98" s="612"/>
      <c r="AL98" s="612"/>
      <c r="AM98" s="531" t="s">
        <v>17</v>
      </c>
      <c r="AN98" s="533"/>
      <c r="AO98" s="533"/>
      <c r="AP98" s="533"/>
      <c r="AQ98" s="533"/>
      <c r="AR98" s="533"/>
      <c r="AS98" s="533"/>
      <c r="AT98" s="533"/>
      <c r="AU98" s="534"/>
      <c r="AV98" s="613">
        <f>SUM(AV94:BB97)</f>
        <v>40.782278872853354</v>
      </c>
      <c r="AW98" s="613"/>
      <c r="AX98" s="613"/>
      <c r="AY98" s="613"/>
      <c r="AZ98" s="613"/>
      <c r="BA98" s="613"/>
      <c r="BB98" s="614"/>
    </row>
    <row r="99" spans="1:57" ht="12" customHeight="1" x14ac:dyDescent="0.2"/>
    <row r="100" spans="1:57" s="159" customFormat="1" ht="15" customHeight="1" x14ac:dyDescent="0.2">
      <c r="A100" s="159" t="s">
        <v>52</v>
      </c>
      <c r="C100" s="159" t="s">
        <v>53</v>
      </c>
      <c r="AX100" s="160"/>
      <c r="AY100" s="160"/>
      <c r="AZ100" s="160"/>
      <c r="BA100" s="160"/>
      <c r="BB100" s="160"/>
    </row>
    <row r="101" spans="1:57" ht="12" customHeight="1" thickBot="1" x14ac:dyDescent="0.25"/>
    <row r="102" spans="1:57" ht="39" customHeight="1" x14ac:dyDescent="0.2">
      <c r="A102" s="585" t="s">
        <v>54</v>
      </c>
      <c r="B102" s="586"/>
      <c r="C102" s="586"/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7"/>
      <c r="AA102" s="536" t="s">
        <v>55</v>
      </c>
      <c r="AB102" s="537"/>
      <c r="AC102" s="537"/>
      <c r="AD102" s="537"/>
      <c r="AE102" s="537"/>
      <c r="AF102" s="538"/>
      <c r="AG102" s="536" t="s">
        <v>56</v>
      </c>
      <c r="AH102" s="537"/>
      <c r="AI102" s="537"/>
      <c r="AJ102" s="537"/>
      <c r="AK102" s="537"/>
      <c r="AL102" s="538"/>
      <c r="AM102" s="588" t="s">
        <v>57</v>
      </c>
      <c r="AN102" s="586"/>
      <c r="AO102" s="586"/>
      <c r="AP102" s="586"/>
      <c r="AQ102" s="586"/>
      <c r="AR102" s="586"/>
      <c r="AS102" s="586"/>
      <c r="AT102" s="587"/>
      <c r="AU102" s="588" t="s">
        <v>43</v>
      </c>
      <c r="AV102" s="586"/>
      <c r="AW102" s="586"/>
      <c r="AX102" s="586"/>
      <c r="AY102" s="586"/>
      <c r="AZ102" s="586"/>
      <c r="BA102" s="586"/>
      <c r="BB102" s="589"/>
    </row>
    <row r="103" spans="1:57" ht="15.75" customHeight="1" thickBot="1" x14ac:dyDescent="0.25">
      <c r="A103" s="564">
        <v>1</v>
      </c>
      <c r="B103" s="475"/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5"/>
      <c r="O103" s="475"/>
      <c r="P103" s="475"/>
      <c r="Q103" s="475"/>
      <c r="R103" s="475"/>
      <c r="S103" s="475"/>
      <c r="T103" s="475"/>
      <c r="U103" s="475"/>
      <c r="V103" s="475"/>
      <c r="W103" s="475"/>
      <c r="X103" s="475"/>
      <c r="Y103" s="475"/>
      <c r="Z103" s="476"/>
      <c r="AA103" s="474">
        <v>2</v>
      </c>
      <c r="AB103" s="475"/>
      <c r="AC103" s="475"/>
      <c r="AD103" s="475"/>
      <c r="AE103" s="475"/>
      <c r="AF103" s="476"/>
      <c r="AG103" s="474">
        <v>3</v>
      </c>
      <c r="AH103" s="475"/>
      <c r="AI103" s="475"/>
      <c r="AJ103" s="475"/>
      <c r="AK103" s="475"/>
      <c r="AL103" s="476"/>
      <c r="AM103" s="474">
        <v>4</v>
      </c>
      <c r="AN103" s="475"/>
      <c r="AO103" s="475"/>
      <c r="AP103" s="475"/>
      <c r="AQ103" s="475"/>
      <c r="AR103" s="475"/>
      <c r="AS103" s="475"/>
      <c r="AT103" s="476"/>
      <c r="AU103" s="474">
        <v>5</v>
      </c>
      <c r="AV103" s="475"/>
      <c r="AW103" s="475"/>
      <c r="AX103" s="475"/>
      <c r="AY103" s="475"/>
      <c r="AZ103" s="475"/>
      <c r="BA103" s="475"/>
      <c r="BB103" s="565"/>
    </row>
    <row r="104" spans="1:57" ht="1.5" hidden="1" customHeight="1" x14ac:dyDescent="0.2">
      <c r="A104" s="566" t="s">
        <v>77</v>
      </c>
      <c r="B104" s="567"/>
      <c r="C104" s="567"/>
      <c r="D104" s="567"/>
      <c r="E104" s="567"/>
      <c r="F104" s="567"/>
      <c r="G104" s="567"/>
      <c r="H104" s="567"/>
      <c r="I104" s="567"/>
      <c r="J104" s="567"/>
      <c r="K104" s="567"/>
      <c r="L104" s="567"/>
      <c r="M104" s="567"/>
      <c r="N104" s="567"/>
      <c r="O104" s="567"/>
      <c r="P104" s="567"/>
      <c r="Q104" s="567"/>
      <c r="R104" s="567"/>
      <c r="S104" s="567"/>
      <c r="T104" s="567"/>
      <c r="U104" s="567"/>
      <c r="V104" s="567"/>
      <c r="W104" s="567"/>
      <c r="X104" s="567"/>
      <c r="Y104" s="567"/>
      <c r="Z104" s="568"/>
      <c r="AA104" s="604"/>
      <c r="AB104" s="605"/>
      <c r="AC104" s="605"/>
      <c r="AD104" s="605"/>
      <c r="AE104" s="605"/>
      <c r="AF104" s="606"/>
      <c r="AG104" s="569">
        <f>U12</f>
        <v>36</v>
      </c>
      <c r="AH104" s="570"/>
      <c r="AI104" s="570"/>
      <c r="AJ104" s="570"/>
      <c r="AK104" s="570"/>
      <c r="AL104" s="571"/>
      <c r="AM104" s="569" t="s">
        <v>58</v>
      </c>
      <c r="AN104" s="570"/>
      <c r="AO104" s="570"/>
      <c r="AP104" s="570"/>
      <c r="AQ104" s="570"/>
      <c r="AR104" s="570"/>
      <c r="AS104" s="570"/>
      <c r="AT104" s="571"/>
      <c r="AU104" s="607">
        <f>AA104/AG104</f>
        <v>0</v>
      </c>
      <c r="AV104" s="608"/>
      <c r="AW104" s="608"/>
      <c r="AX104" s="608"/>
      <c r="AY104" s="608"/>
      <c r="AZ104" s="608"/>
      <c r="BA104" s="608"/>
      <c r="BB104" s="609"/>
    </row>
    <row r="105" spans="1:57" ht="23.25" customHeight="1" x14ac:dyDescent="0.2">
      <c r="A105" s="449" t="s">
        <v>107</v>
      </c>
      <c r="B105" s="450"/>
      <c r="C105" s="450"/>
      <c r="D105" s="450"/>
      <c r="E105" s="450"/>
      <c r="F105" s="450"/>
      <c r="G105" s="450"/>
      <c r="H105" s="450"/>
      <c r="I105" s="450"/>
      <c r="J105" s="450"/>
      <c r="K105" s="450"/>
      <c r="L105" s="450"/>
      <c r="M105" s="450"/>
      <c r="N105" s="450"/>
      <c r="O105" s="450"/>
      <c r="P105" s="450"/>
      <c r="Q105" s="450"/>
      <c r="R105" s="450"/>
      <c r="S105" s="450"/>
      <c r="T105" s="450"/>
      <c r="U105" s="450"/>
      <c r="V105" s="450"/>
      <c r="W105" s="450"/>
      <c r="X105" s="450"/>
      <c r="Y105" s="450"/>
      <c r="Z105" s="451"/>
      <c r="AA105" s="596">
        <v>43</v>
      </c>
      <c r="AB105" s="597"/>
      <c r="AC105" s="597"/>
      <c r="AD105" s="597"/>
      <c r="AE105" s="597"/>
      <c r="AF105" s="59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590">
        <f>AA105/AG104</f>
        <v>1.1944444444444444</v>
      </c>
      <c r="AV105" s="591"/>
      <c r="AW105" s="591"/>
      <c r="AX105" s="591"/>
      <c r="AY105" s="591"/>
      <c r="AZ105" s="591"/>
      <c r="BA105" s="591"/>
      <c r="BB105" s="592"/>
    </row>
    <row r="106" spans="1:57" ht="20.25" customHeight="1" x14ac:dyDescent="0.2">
      <c r="A106" s="593" t="s">
        <v>100</v>
      </c>
      <c r="B106" s="594"/>
      <c r="C106" s="594"/>
      <c r="D106" s="594"/>
      <c r="E106" s="594"/>
      <c r="F106" s="594"/>
      <c r="G106" s="594"/>
      <c r="H106" s="594"/>
      <c r="I106" s="594"/>
      <c r="J106" s="594"/>
      <c r="K106" s="594"/>
      <c r="L106" s="594"/>
      <c r="M106" s="594"/>
      <c r="N106" s="594"/>
      <c r="O106" s="594"/>
      <c r="P106" s="594"/>
      <c r="Q106" s="594"/>
      <c r="R106" s="594"/>
      <c r="S106" s="594"/>
      <c r="T106" s="594"/>
      <c r="U106" s="594"/>
      <c r="V106" s="594"/>
      <c r="W106" s="594"/>
      <c r="X106" s="594"/>
      <c r="Y106" s="594"/>
      <c r="Z106" s="595"/>
      <c r="AA106" s="596">
        <v>300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AA106/AG104</f>
        <v>8.3333333333333339</v>
      </c>
      <c r="AV106" s="591"/>
      <c r="AW106" s="591"/>
      <c r="AX106" s="591"/>
      <c r="AY106" s="591"/>
      <c r="AZ106" s="591"/>
      <c r="BA106" s="591"/>
      <c r="BB106" s="592"/>
    </row>
    <row r="107" spans="1:57" ht="0.75" customHeight="1" x14ac:dyDescent="0.2">
      <c r="A107" s="593"/>
      <c r="B107" s="594"/>
      <c r="C107" s="594"/>
      <c r="D107" s="594"/>
      <c r="E107" s="594"/>
      <c r="F107" s="594"/>
      <c r="G107" s="594"/>
      <c r="H107" s="594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4"/>
      <c r="Z107" s="595"/>
      <c r="AA107" s="596"/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AA107/AG104</f>
        <v>0</v>
      </c>
      <c r="AV107" s="591"/>
      <c r="AW107" s="591"/>
      <c r="AX107" s="591"/>
      <c r="AY107" s="591"/>
      <c r="AZ107" s="591"/>
      <c r="BA107" s="591"/>
      <c r="BB107" s="592"/>
      <c r="BE107" s="117">
        <f>AU107*12*4</f>
        <v>0</v>
      </c>
    </row>
    <row r="108" spans="1:57" ht="22.5" hidden="1" customHeight="1" thickBot="1" x14ac:dyDescent="0.25">
      <c r="A108" s="593"/>
      <c r="B108" s="594"/>
      <c r="C108" s="594"/>
      <c r="D108" s="594"/>
      <c r="E108" s="594"/>
      <c r="F108" s="594"/>
      <c r="G108" s="594"/>
      <c r="H108" s="594"/>
      <c r="I108" s="594"/>
      <c r="J108" s="594"/>
      <c r="K108" s="594"/>
      <c r="L108" s="594"/>
      <c r="M108" s="594"/>
      <c r="N108" s="594"/>
      <c r="O108" s="594"/>
      <c r="P108" s="594"/>
      <c r="Q108" s="594"/>
      <c r="R108" s="594"/>
      <c r="S108" s="594"/>
      <c r="T108" s="594"/>
      <c r="U108" s="594"/>
      <c r="V108" s="594"/>
      <c r="W108" s="594"/>
      <c r="X108" s="594"/>
      <c r="Y108" s="594"/>
      <c r="Z108" s="595"/>
      <c r="AA108" s="596"/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>
        <f>AA108/AG104</f>
        <v>0</v>
      </c>
      <c r="AV108" s="591"/>
      <c r="AW108" s="591"/>
      <c r="AX108" s="591"/>
      <c r="AY108" s="591"/>
      <c r="AZ108" s="591"/>
      <c r="BA108" s="591"/>
      <c r="BB108" s="592"/>
    </row>
    <row r="109" spans="1:57" ht="26.25" hidden="1" customHeight="1" thickBot="1" x14ac:dyDescent="0.25">
      <c r="A109" s="450"/>
      <c r="B109" s="450"/>
      <c r="C109" s="450"/>
      <c r="D109" s="450"/>
      <c r="E109" s="450"/>
      <c r="F109" s="450"/>
      <c r="G109" s="450"/>
      <c r="H109" s="450"/>
      <c r="I109" s="450"/>
      <c r="J109" s="450"/>
      <c r="K109" s="450"/>
      <c r="L109" s="450"/>
      <c r="M109" s="450"/>
      <c r="N109" s="450"/>
      <c r="O109" s="450"/>
      <c r="P109" s="450"/>
      <c r="Q109" s="450"/>
      <c r="R109" s="450"/>
      <c r="S109" s="450"/>
      <c r="T109" s="450"/>
      <c r="U109" s="450"/>
      <c r="V109" s="450"/>
      <c r="W109" s="450"/>
      <c r="X109" s="450"/>
      <c r="Y109" s="450"/>
      <c r="Z109" s="451"/>
      <c r="AA109" s="596"/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590">
        <f>AA109/AG104</f>
        <v>0</v>
      </c>
      <c r="AV109" s="591"/>
      <c r="AW109" s="591"/>
      <c r="AX109" s="591"/>
      <c r="AY109" s="591"/>
      <c r="AZ109" s="591"/>
      <c r="BA109" s="591"/>
      <c r="BB109" s="592"/>
    </row>
    <row r="110" spans="1:57" ht="19.5" hidden="1" customHeight="1" thickBot="1" x14ac:dyDescent="0.25">
      <c r="A110" s="796"/>
      <c r="B110" s="594"/>
      <c r="C110" s="594"/>
      <c r="D110" s="594"/>
      <c r="E110" s="594"/>
      <c r="F110" s="594"/>
      <c r="G110" s="594"/>
      <c r="H110" s="594"/>
      <c r="I110" s="594"/>
      <c r="J110" s="594"/>
      <c r="K110" s="594"/>
      <c r="L110" s="594"/>
      <c r="M110" s="594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4"/>
      <c r="Z110" s="595"/>
      <c r="AA110" s="596"/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590">
        <f>AA110/AG104</f>
        <v>0</v>
      </c>
      <c r="AV110" s="591"/>
      <c r="AW110" s="591"/>
      <c r="AX110" s="591"/>
      <c r="AY110" s="591"/>
      <c r="AZ110" s="591"/>
      <c r="BA110" s="591"/>
      <c r="BB110" s="797"/>
    </row>
    <row r="111" spans="1:57" ht="0.75" hidden="1" customHeight="1" thickBot="1" x14ac:dyDescent="0.25">
      <c r="A111" s="796"/>
      <c r="B111" s="594"/>
      <c r="C111" s="594"/>
      <c r="D111" s="594"/>
      <c r="E111" s="594"/>
      <c r="F111" s="594"/>
      <c r="G111" s="594"/>
      <c r="H111" s="594"/>
      <c r="I111" s="594"/>
      <c r="J111" s="594"/>
      <c r="K111" s="594"/>
      <c r="L111" s="594"/>
      <c r="M111" s="594"/>
      <c r="N111" s="594"/>
      <c r="O111" s="594"/>
      <c r="P111" s="594"/>
      <c r="Q111" s="594"/>
      <c r="R111" s="594"/>
      <c r="S111" s="594"/>
      <c r="T111" s="594"/>
      <c r="U111" s="594"/>
      <c r="V111" s="594"/>
      <c r="W111" s="594"/>
      <c r="X111" s="594"/>
      <c r="Y111" s="594"/>
      <c r="Z111" s="595"/>
      <c r="AA111" s="596"/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AA111/AG104</f>
        <v>0</v>
      </c>
      <c r="AV111" s="591"/>
      <c r="AW111" s="591"/>
      <c r="AX111" s="591"/>
      <c r="AY111" s="591"/>
      <c r="AZ111" s="591"/>
      <c r="BA111" s="591"/>
      <c r="BB111" s="797"/>
    </row>
    <row r="112" spans="1:57" ht="19.5" hidden="1" customHeight="1" x14ac:dyDescent="0.2">
      <c r="A112" s="796"/>
      <c r="B112" s="594"/>
      <c r="C112" s="594"/>
      <c r="D112" s="594"/>
      <c r="E112" s="594"/>
      <c r="F112" s="594"/>
      <c r="G112" s="594"/>
      <c r="H112" s="594"/>
      <c r="I112" s="594"/>
      <c r="J112" s="594"/>
      <c r="K112" s="594"/>
      <c r="L112" s="594"/>
      <c r="M112" s="594"/>
      <c r="N112" s="594"/>
      <c r="O112" s="594"/>
      <c r="P112" s="594"/>
      <c r="Q112" s="594"/>
      <c r="R112" s="594"/>
      <c r="S112" s="594"/>
      <c r="T112" s="594"/>
      <c r="U112" s="594"/>
      <c r="V112" s="594"/>
      <c r="W112" s="594"/>
      <c r="X112" s="594"/>
      <c r="Y112" s="594"/>
      <c r="Z112" s="595"/>
      <c r="AA112" s="596"/>
      <c r="AB112" s="597"/>
      <c r="AC112" s="597"/>
      <c r="AD112" s="597"/>
      <c r="AE112" s="597"/>
      <c r="AF112" s="598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AA112/AG104</f>
        <v>0</v>
      </c>
      <c r="AV112" s="591"/>
      <c r="AW112" s="591"/>
      <c r="AX112" s="591"/>
      <c r="AY112" s="591"/>
      <c r="AZ112" s="591"/>
      <c r="BA112" s="591"/>
      <c r="BB112" s="797"/>
    </row>
    <row r="113" spans="1:54" ht="20.25" hidden="1" customHeight="1" x14ac:dyDescent="0.2">
      <c r="A113" s="796"/>
      <c r="B113" s="594"/>
      <c r="C113" s="594"/>
      <c r="D113" s="594"/>
      <c r="E113" s="594"/>
      <c r="F113" s="594"/>
      <c r="G113" s="594"/>
      <c r="H113" s="594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4"/>
      <c r="Z113" s="595"/>
      <c r="AA113" s="596"/>
      <c r="AB113" s="597"/>
      <c r="AC113" s="597"/>
      <c r="AD113" s="597"/>
      <c r="AE113" s="597"/>
      <c r="AF113" s="598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AA113/AG104</f>
        <v>0</v>
      </c>
      <c r="AV113" s="591"/>
      <c r="AW113" s="591"/>
      <c r="AX113" s="591"/>
      <c r="AY113" s="591"/>
      <c r="AZ113" s="591"/>
      <c r="BA113" s="591"/>
      <c r="BB113" s="797"/>
    </row>
    <row r="114" spans="1:54" ht="16.5" hidden="1" customHeight="1" x14ac:dyDescent="0.2">
      <c r="A114" s="796"/>
      <c r="B114" s="594"/>
      <c r="C114" s="594"/>
      <c r="D114" s="594"/>
      <c r="E114" s="594"/>
      <c r="F114" s="594"/>
      <c r="G114" s="594"/>
      <c r="H114" s="594"/>
      <c r="I114" s="594"/>
      <c r="J114" s="594"/>
      <c r="K114" s="594"/>
      <c r="L114" s="594"/>
      <c r="M114" s="594"/>
      <c r="N114" s="594"/>
      <c r="O114" s="594"/>
      <c r="P114" s="594"/>
      <c r="Q114" s="594"/>
      <c r="R114" s="594"/>
      <c r="S114" s="594"/>
      <c r="T114" s="594"/>
      <c r="U114" s="594"/>
      <c r="V114" s="594"/>
      <c r="W114" s="594"/>
      <c r="X114" s="594"/>
      <c r="Y114" s="594"/>
      <c r="Z114" s="595"/>
      <c r="AA114" s="596"/>
      <c r="AB114" s="597"/>
      <c r="AC114" s="597"/>
      <c r="AD114" s="597"/>
      <c r="AE114" s="597"/>
      <c r="AF114" s="598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AA114/AG104</f>
        <v>0</v>
      </c>
      <c r="AV114" s="591"/>
      <c r="AW114" s="591"/>
      <c r="AX114" s="591"/>
      <c r="AY114" s="591"/>
      <c r="AZ114" s="591"/>
      <c r="BA114" s="591"/>
      <c r="BB114" s="797"/>
    </row>
    <row r="115" spans="1:54" s="161" customFormat="1" ht="19.5" hidden="1" customHeight="1" x14ac:dyDescent="0.2">
      <c r="A115" s="796"/>
      <c r="B115" s="594"/>
      <c r="C115" s="594"/>
      <c r="D115" s="594"/>
      <c r="E115" s="594"/>
      <c r="F115" s="594"/>
      <c r="G115" s="594"/>
      <c r="H115" s="594"/>
      <c r="I115" s="594"/>
      <c r="J115" s="594"/>
      <c r="K115" s="594"/>
      <c r="L115" s="594"/>
      <c r="M115" s="594"/>
      <c r="N115" s="594"/>
      <c r="O115" s="594"/>
      <c r="P115" s="594"/>
      <c r="Q115" s="594"/>
      <c r="R115" s="594"/>
      <c r="S115" s="594"/>
      <c r="T115" s="594"/>
      <c r="U115" s="594"/>
      <c r="V115" s="594"/>
      <c r="W115" s="594"/>
      <c r="X115" s="594"/>
      <c r="Y115" s="594"/>
      <c r="Z115" s="595"/>
      <c r="AA115" s="596"/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AA115/AG104</f>
        <v>0</v>
      </c>
      <c r="AV115" s="591"/>
      <c r="AW115" s="591"/>
      <c r="AX115" s="591"/>
      <c r="AY115" s="591"/>
      <c r="AZ115" s="591"/>
      <c r="BA115" s="591"/>
      <c r="BB115" s="797"/>
    </row>
    <row r="116" spans="1:54" ht="1.5" hidden="1" customHeight="1" x14ac:dyDescent="0.2">
      <c r="A116" s="796"/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5"/>
      <c r="AA116" s="596"/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AA116/AG104</f>
        <v>0</v>
      </c>
      <c r="AV116" s="591"/>
      <c r="AW116" s="591"/>
      <c r="AX116" s="591"/>
      <c r="AY116" s="591"/>
      <c r="AZ116" s="591"/>
      <c r="BA116" s="591"/>
      <c r="BB116" s="797"/>
    </row>
    <row r="117" spans="1:54" s="159" customFormat="1" ht="17.25" hidden="1" customHeight="1" x14ac:dyDescent="0.2">
      <c r="A117" s="796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AA117/AG104</f>
        <v>0</v>
      </c>
      <c r="AV117" s="591"/>
      <c r="AW117" s="591"/>
      <c r="AX117" s="591"/>
      <c r="AY117" s="591"/>
      <c r="AZ117" s="591"/>
      <c r="BA117" s="591"/>
      <c r="BB117" s="797"/>
    </row>
    <row r="118" spans="1:54" ht="20.25" hidden="1" customHeight="1" x14ac:dyDescent="0.2">
      <c r="A118" s="796"/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596"/>
      <c r="AB118" s="597"/>
      <c r="AC118" s="597"/>
      <c r="AD118" s="597"/>
      <c r="AE118" s="597"/>
      <c r="AF118" s="59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AA118/AG104</f>
        <v>0</v>
      </c>
      <c r="AV118" s="591"/>
      <c r="AW118" s="591"/>
      <c r="AX118" s="591"/>
      <c r="AY118" s="591"/>
      <c r="AZ118" s="591"/>
      <c r="BA118" s="591"/>
      <c r="BB118" s="797"/>
    </row>
    <row r="119" spans="1:54" ht="18.75" hidden="1" customHeight="1" x14ac:dyDescent="0.2">
      <c r="A119" s="796"/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596"/>
      <c r="AB119" s="597"/>
      <c r="AC119" s="597"/>
      <c r="AD119" s="597"/>
      <c r="AE119" s="597"/>
      <c r="AF119" s="59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AA119/AG104</f>
        <v>0</v>
      </c>
      <c r="AV119" s="591"/>
      <c r="AW119" s="591"/>
      <c r="AX119" s="591"/>
      <c r="AY119" s="591"/>
      <c r="AZ119" s="591"/>
      <c r="BA119" s="591"/>
      <c r="BB119" s="797"/>
    </row>
    <row r="120" spans="1:54" ht="37.5" hidden="1" customHeight="1" x14ac:dyDescent="0.2">
      <c r="A120" s="796"/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5"/>
      <c r="AA120" s="596"/>
      <c r="AB120" s="597"/>
      <c r="AC120" s="597"/>
      <c r="AD120" s="597"/>
      <c r="AE120" s="597"/>
      <c r="AF120" s="598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90">
        <f>AA120/AG104</f>
        <v>0</v>
      </c>
      <c r="AV120" s="591"/>
      <c r="AW120" s="591"/>
      <c r="AX120" s="591"/>
      <c r="AY120" s="591"/>
      <c r="AZ120" s="591"/>
      <c r="BA120" s="591"/>
      <c r="BB120" s="797"/>
    </row>
    <row r="121" spans="1:54" ht="28.5" hidden="1" customHeight="1" x14ac:dyDescent="0.2">
      <c r="A121" s="796"/>
      <c r="B121" s="594"/>
      <c r="C121" s="594"/>
      <c r="D121" s="594"/>
      <c r="E121" s="594"/>
      <c r="F121" s="594"/>
      <c r="G121" s="594"/>
      <c r="H121" s="594"/>
      <c r="I121" s="594"/>
      <c r="J121" s="594"/>
      <c r="K121" s="594"/>
      <c r="L121" s="594"/>
      <c r="M121" s="594"/>
      <c r="N121" s="594"/>
      <c r="O121" s="594"/>
      <c r="P121" s="594"/>
      <c r="Q121" s="594"/>
      <c r="R121" s="594"/>
      <c r="S121" s="594"/>
      <c r="T121" s="594"/>
      <c r="U121" s="594"/>
      <c r="V121" s="594"/>
      <c r="W121" s="594"/>
      <c r="X121" s="594"/>
      <c r="Y121" s="594"/>
      <c r="Z121" s="595"/>
      <c r="AA121" s="596"/>
      <c r="AB121" s="597"/>
      <c r="AC121" s="597"/>
      <c r="AD121" s="597"/>
      <c r="AE121" s="597"/>
      <c r="AF121" s="598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590">
        <f>AA121/AG104</f>
        <v>0</v>
      </c>
      <c r="AV121" s="591"/>
      <c r="AW121" s="591"/>
      <c r="AX121" s="591"/>
      <c r="AY121" s="591"/>
      <c r="AZ121" s="591"/>
      <c r="BA121" s="591"/>
      <c r="BB121" s="797"/>
    </row>
    <row r="122" spans="1:54" ht="18.75" customHeight="1" x14ac:dyDescent="0.2">
      <c r="A122" s="796" t="s">
        <v>90</v>
      </c>
      <c r="B122" s="594"/>
      <c r="C122" s="594"/>
      <c r="D122" s="594"/>
      <c r="E122" s="594"/>
      <c r="F122" s="594"/>
      <c r="G122" s="594"/>
      <c r="H122" s="594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4"/>
      <c r="Z122" s="595"/>
      <c r="AA122" s="596">
        <v>300</v>
      </c>
      <c r="AB122" s="597"/>
      <c r="AC122" s="597"/>
      <c r="AD122" s="597"/>
      <c r="AE122" s="597"/>
      <c r="AF122" s="598"/>
      <c r="AG122" s="572"/>
      <c r="AH122" s="573"/>
      <c r="AI122" s="573"/>
      <c r="AJ122" s="573"/>
      <c r="AK122" s="573"/>
      <c r="AL122" s="574"/>
      <c r="AM122" s="572"/>
      <c r="AN122" s="573"/>
      <c r="AO122" s="573"/>
      <c r="AP122" s="573"/>
      <c r="AQ122" s="573"/>
      <c r="AR122" s="573"/>
      <c r="AS122" s="573"/>
      <c r="AT122" s="574"/>
      <c r="AU122" s="590">
        <f>AA122/AG104</f>
        <v>8.3333333333333339</v>
      </c>
      <c r="AV122" s="591"/>
      <c r="AW122" s="591"/>
      <c r="AX122" s="591"/>
      <c r="AY122" s="591"/>
      <c r="AZ122" s="591"/>
      <c r="BA122" s="591"/>
      <c r="BB122" s="797"/>
    </row>
    <row r="123" spans="1:54" ht="18.75" customHeight="1" x14ac:dyDescent="0.2">
      <c r="A123" s="600" t="s">
        <v>139</v>
      </c>
      <c r="B123" s="600"/>
      <c r="C123" s="600"/>
      <c r="D123" s="600"/>
      <c r="E123" s="600"/>
      <c r="F123" s="600"/>
      <c r="G123" s="600"/>
      <c r="H123" s="600"/>
      <c r="I123" s="600"/>
      <c r="J123" s="600"/>
      <c r="K123" s="600"/>
      <c r="L123" s="600"/>
      <c r="M123" s="600"/>
      <c r="N123" s="600"/>
      <c r="O123" s="600"/>
      <c r="P123" s="600"/>
      <c r="Q123" s="600"/>
      <c r="R123" s="600"/>
      <c r="S123" s="600"/>
      <c r="T123" s="600"/>
      <c r="U123" s="600"/>
      <c r="V123" s="600"/>
      <c r="W123" s="600"/>
      <c r="X123" s="600"/>
      <c r="Y123" s="600"/>
      <c r="Z123" s="600"/>
      <c r="AA123" s="601">
        <v>250</v>
      </c>
      <c r="AB123" s="601"/>
      <c r="AC123" s="601"/>
      <c r="AD123" s="601"/>
      <c r="AE123" s="601"/>
      <c r="AF123" s="601"/>
      <c r="AG123" s="572"/>
      <c r="AH123" s="573"/>
      <c r="AI123" s="573"/>
      <c r="AJ123" s="573"/>
      <c r="AK123" s="573"/>
      <c r="AL123" s="574"/>
      <c r="AM123" s="572"/>
      <c r="AN123" s="573"/>
      <c r="AO123" s="573"/>
      <c r="AP123" s="573"/>
      <c r="AQ123" s="573"/>
      <c r="AR123" s="573"/>
      <c r="AS123" s="573"/>
      <c r="AT123" s="574"/>
      <c r="AU123" s="602">
        <f>AA123/AG104</f>
        <v>6.9444444444444446</v>
      </c>
      <c r="AV123" s="602"/>
      <c r="AW123" s="602"/>
      <c r="AX123" s="602"/>
      <c r="AY123" s="602"/>
      <c r="AZ123" s="602"/>
      <c r="BA123" s="602"/>
      <c r="BB123" s="602"/>
    </row>
    <row r="124" spans="1:54" ht="0.75" customHeight="1" thickBot="1" x14ac:dyDescent="0.25">
      <c r="A124" s="798"/>
      <c r="B124" s="798"/>
      <c r="C124" s="798"/>
      <c r="D124" s="798"/>
      <c r="E124" s="798"/>
      <c r="F124" s="798"/>
      <c r="G124" s="798"/>
      <c r="H124" s="798"/>
      <c r="I124" s="798"/>
      <c r="J124" s="798"/>
      <c r="K124" s="798"/>
      <c r="L124" s="798"/>
      <c r="M124" s="798"/>
      <c r="N124" s="798"/>
      <c r="O124" s="798"/>
      <c r="P124" s="798"/>
      <c r="Q124" s="798"/>
      <c r="R124" s="798"/>
      <c r="S124" s="798"/>
      <c r="T124" s="798"/>
      <c r="U124" s="798"/>
      <c r="V124" s="798"/>
      <c r="W124" s="798"/>
      <c r="X124" s="798"/>
      <c r="Y124" s="798"/>
      <c r="Z124" s="798"/>
      <c r="AA124" s="799"/>
      <c r="AB124" s="799"/>
      <c r="AC124" s="799"/>
      <c r="AD124" s="799"/>
      <c r="AE124" s="799"/>
      <c r="AF124" s="799"/>
      <c r="AG124" s="572"/>
      <c r="AH124" s="573"/>
      <c r="AI124" s="573"/>
      <c r="AJ124" s="573"/>
      <c r="AK124" s="573"/>
      <c r="AL124" s="574"/>
      <c r="AM124" s="572"/>
      <c r="AN124" s="573"/>
      <c r="AO124" s="573"/>
      <c r="AP124" s="573"/>
      <c r="AQ124" s="573"/>
      <c r="AR124" s="573"/>
      <c r="AS124" s="573"/>
      <c r="AT124" s="574"/>
      <c r="AU124" s="800">
        <f>AA124/AG104</f>
        <v>0</v>
      </c>
      <c r="AV124" s="800"/>
      <c r="AW124" s="800"/>
      <c r="AX124" s="800"/>
      <c r="AY124" s="800"/>
      <c r="AZ124" s="800"/>
      <c r="BA124" s="800"/>
      <c r="BB124" s="800"/>
    </row>
    <row r="125" spans="1:54" ht="16.5" customHeight="1" thickBot="1" x14ac:dyDescent="0.25">
      <c r="A125" s="545" t="s">
        <v>51</v>
      </c>
      <c r="B125" s="546"/>
      <c r="C125" s="546"/>
      <c r="D125" s="546"/>
      <c r="E125" s="546"/>
      <c r="F125" s="546"/>
      <c r="G125" s="546"/>
      <c r="H125" s="546"/>
      <c r="I125" s="546"/>
      <c r="J125" s="546"/>
      <c r="K125" s="546"/>
      <c r="L125" s="546"/>
      <c r="M125" s="546"/>
      <c r="N125" s="546"/>
      <c r="O125" s="546"/>
      <c r="P125" s="546"/>
      <c r="Q125" s="546"/>
      <c r="R125" s="546"/>
      <c r="S125" s="546"/>
      <c r="T125" s="546"/>
      <c r="U125" s="546"/>
      <c r="V125" s="546"/>
      <c r="W125" s="546"/>
      <c r="X125" s="546"/>
      <c r="Y125" s="546"/>
      <c r="Z125" s="547"/>
      <c r="AA125" s="582">
        <f>SUM(AA104:AF124)</f>
        <v>893</v>
      </c>
      <c r="AB125" s="583"/>
      <c r="AC125" s="583"/>
      <c r="AD125" s="583"/>
      <c r="AE125" s="583"/>
      <c r="AF125" s="583"/>
      <c r="AG125" s="532">
        <f>AG104</f>
        <v>36</v>
      </c>
      <c r="AH125" s="533"/>
      <c r="AI125" s="533"/>
      <c r="AJ125" s="533"/>
      <c r="AK125" s="533"/>
      <c r="AL125" s="534"/>
      <c r="AM125" s="551" t="s">
        <v>17</v>
      </c>
      <c r="AN125" s="552"/>
      <c r="AO125" s="552"/>
      <c r="AP125" s="552"/>
      <c r="AQ125" s="552"/>
      <c r="AR125" s="552"/>
      <c r="AS125" s="552"/>
      <c r="AT125" s="584"/>
      <c r="AU125" s="555">
        <f>SUM(AU104:BB124)</f>
        <v>24.805555555555557</v>
      </c>
      <c r="AV125" s="555"/>
      <c r="AW125" s="555"/>
      <c r="AX125" s="555"/>
      <c r="AY125" s="555"/>
      <c r="AZ125" s="555"/>
      <c r="BA125" s="555"/>
      <c r="BB125" s="556"/>
    </row>
    <row r="126" spans="1:54" ht="12.75" customHeight="1" x14ac:dyDescent="0.2"/>
    <row r="127" spans="1:54" s="161" customFormat="1" ht="15" customHeight="1" x14ac:dyDescent="0.2">
      <c r="A127" s="159" t="s">
        <v>59</v>
      </c>
      <c r="B127" s="159"/>
      <c r="C127" s="159" t="s">
        <v>60</v>
      </c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60"/>
      <c r="AY127" s="160"/>
      <c r="AZ127" s="160"/>
      <c r="BA127" s="160"/>
      <c r="BB127" s="160"/>
    </row>
    <row r="128" spans="1:54" ht="12" customHeight="1" thickBot="1" x14ac:dyDescent="0.25"/>
    <row r="129" spans="1:54" s="159" customFormat="1" ht="12" customHeight="1" x14ac:dyDescent="0.2">
      <c r="A129" s="585" t="s">
        <v>54</v>
      </c>
      <c r="B129" s="586"/>
      <c r="C129" s="586"/>
      <c r="D129" s="586"/>
      <c r="E129" s="586"/>
      <c r="F129" s="586"/>
      <c r="G129" s="586"/>
      <c r="H129" s="586"/>
      <c r="I129" s="586"/>
      <c r="J129" s="586"/>
      <c r="K129" s="586"/>
      <c r="L129" s="586"/>
      <c r="M129" s="586"/>
      <c r="N129" s="586"/>
      <c r="O129" s="586"/>
      <c r="P129" s="586"/>
      <c r="Q129" s="586"/>
      <c r="R129" s="586"/>
      <c r="S129" s="586"/>
      <c r="T129" s="586"/>
      <c r="U129" s="586"/>
      <c r="V129" s="586"/>
      <c r="W129" s="586"/>
      <c r="X129" s="586"/>
      <c r="Y129" s="586"/>
      <c r="Z129" s="587"/>
      <c r="AA129" s="536" t="s">
        <v>55</v>
      </c>
      <c r="AB129" s="537"/>
      <c r="AC129" s="537"/>
      <c r="AD129" s="537"/>
      <c r="AE129" s="537"/>
      <c r="AF129" s="538"/>
      <c r="AG129" s="536" t="s">
        <v>56</v>
      </c>
      <c r="AH129" s="537"/>
      <c r="AI129" s="537"/>
      <c r="AJ129" s="537"/>
      <c r="AK129" s="537"/>
      <c r="AL129" s="538"/>
      <c r="AM129" s="588" t="s">
        <v>57</v>
      </c>
      <c r="AN129" s="586"/>
      <c r="AO129" s="586"/>
      <c r="AP129" s="586"/>
      <c r="AQ129" s="586"/>
      <c r="AR129" s="586"/>
      <c r="AS129" s="586"/>
      <c r="AT129" s="587"/>
      <c r="AU129" s="588" t="s">
        <v>43</v>
      </c>
      <c r="AV129" s="586"/>
      <c r="AW129" s="586"/>
      <c r="AX129" s="586"/>
      <c r="AY129" s="586"/>
      <c r="AZ129" s="586"/>
      <c r="BA129" s="586"/>
      <c r="BB129" s="589"/>
    </row>
    <row r="130" spans="1:54" ht="11.25" customHeight="1" thickBot="1" x14ac:dyDescent="0.25">
      <c r="A130" s="564">
        <v>1</v>
      </c>
      <c r="B130" s="475"/>
      <c r="C130" s="475"/>
      <c r="D130" s="475"/>
      <c r="E130" s="475"/>
      <c r="F130" s="475"/>
      <c r="G130" s="475"/>
      <c r="H130" s="475"/>
      <c r="I130" s="475"/>
      <c r="J130" s="475"/>
      <c r="K130" s="475"/>
      <c r="L130" s="475"/>
      <c r="M130" s="475"/>
      <c r="N130" s="475"/>
      <c r="O130" s="475"/>
      <c r="P130" s="475"/>
      <c r="Q130" s="475"/>
      <c r="R130" s="475"/>
      <c r="S130" s="475"/>
      <c r="T130" s="475"/>
      <c r="U130" s="475"/>
      <c r="V130" s="475"/>
      <c r="W130" s="475"/>
      <c r="X130" s="475"/>
      <c r="Y130" s="475"/>
      <c r="Z130" s="476"/>
      <c r="AA130" s="474">
        <v>2</v>
      </c>
      <c r="AB130" s="475"/>
      <c r="AC130" s="475"/>
      <c r="AD130" s="475"/>
      <c r="AE130" s="475"/>
      <c r="AF130" s="476"/>
      <c r="AG130" s="474">
        <v>3</v>
      </c>
      <c r="AH130" s="475"/>
      <c r="AI130" s="475"/>
      <c r="AJ130" s="475"/>
      <c r="AK130" s="475"/>
      <c r="AL130" s="476"/>
      <c r="AM130" s="474">
        <v>4</v>
      </c>
      <c r="AN130" s="475"/>
      <c r="AO130" s="475"/>
      <c r="AP130" s="475"/>
      <c r="AQ130" s="475"/>
      <c r="AR130" s="475"/>
      <c r="AS130" s="475"/>
      <c r="AT130" s="476"/>
      <c r="AU130" s="474">
        <v>5</v>
      </c>
      <c r="AV130" s="475"/>
      <c r="AW130" s="475"/>
      <c r="AX130" s="475"/>
      <c r="AY130" s="475"/>
      <c r="AZ130" s="475"/>
      <c r="BA130" s="475"/>
      <c r="BB130" s="565"/>
    </row>
    <row r="131" spans="1:54" ht="31.5" hidden="1" customHeight="1" x14ac:dyDescent="0.2">
      <c r="A131" s="566"/>
      <c r="B131" s="567"/>
      <c r="C131" s="567"/>
      <c r="D131" s="567"/>
      <c r="E131" s="567"/>
      <c r="F131" s="567"/>
      <c r="G131" s="567"/>
      <c r="H131" s="567"/>
      <c r="I131" s="567"/>
      <c r="J131" s="567"/>
      <c r="K131" s="567"/>
      <c r="L131" s="567"/>
      <c r="M131" s="567"/>
      <c r="N131" s="567"/>
      <c r="O131" s="567"/>
      <c r="P131" s="567"/>
      <c r="Q131" s="567"/>
      <c r="R131" s="567"/>
      <c r="S131" s="567"/>
      <c r="T131" s="567"/>
      <c r="U131" s="567"/>
      <c r="V131" s="567"/>
      <c r="W131" s="567"/>
      <c r="X131" s="567"/>
      <c r="Y131" s="567"/>
      <c r="Z131" s="568"/>
      <c r="AA131" s="569">
        <v>0</v>
      </c>
      <c r="AB131" s="570"/>
      <c r="AC131" s="570"/>
      <c r="AD131" s="570"/>
      <c r="AE131" s="570"/>
      <c r="AF131" s="571"/>
      <c r="AG131" s="569">
        <f>U12</f>
        <v>36</v>
      </c>
      <c r="AH131" s="570"/>
      <c r="AI131" s="570"/>
      <c r="AJ131" s="570"/>
      <c r="AK131" s="570"/>
      <c r="AL131" s="571"/>
      <c r="AM131" s="569" t="s">
        <v>61</v>
      </c>
      <c r="AN131" s="570"/>
      <c r="AO131" s="570"/>
      <c r="AP131" s="570"/>
      <c r="AQ131" s="570"/>
      <c r="AR131" s="570"/>
      <c r="AS131" s="570"/>
      <c r="AT131" s="571"/>
      <c r="AU131" s="558">
        <f>AA131/AG131</f>
        <v>0</v>
      </c>
      <c r="AV131" s="559"/>
      <c r="AW131" s="559"/>
      <c r="AX131" s="559"/>
      <c r="AY131" s="559"/>
      <c r="AZ131" s="559"/>
      <c r="BA131" s="559"/>
      <c r="BB131" s="560"/>
    </row>
    <row r="132" spans="1:54" ht="4.5" hidden="1" customHeight="1" x14ac:dyDescent="0.2">
      <c r="A132" s="561"/>
      <c r="B132" s="562"/>
      <c r="C132" s="562"/>
      <c r="D132" s="562"/>
      <c r="E132" s="562"/>
      <c r="F132" s="562"/>
      <c r="G132" s="562"/>
      <c r="H132" s="562"/>
      <c r="I132" s="562"/>
      <c r="J132" s="562"/>
      <c r="K132" s="562"/>
      <c r="L132" s="562"/>
      <c r="M132" s="562"/>
      <c r="N132" s="562"/>
      <c r="O132" s="562"/>
      <c r="P132" s="562"/>
      <c r="Q132" s="562"/>
      <c r="R132" s="562"/>
      <c r="S132" s="562"/>
      <c r="T132" s="562"/>
      <c r="U132" s="562"/>
      <c r="V132" s="562"/>
      <c r="W132" s="562"/>
      <c r="X132" s="562"/>
      <c r="Y132" s="562"/>
      <c r="Z132" s="563"/>
      <c r="AA132" s="518"/>
      <c r="AB132" s="518"/>
      <c r="AC132" s="518"/>
      <c r="AD132" s="518"/>
      <c r="AE132" s="518"/>
      <c r="AF132" s="518"/>
      <c r="AG132" s="572"/>
      <c r="AH132" s="573"/>
      <c r="AI132" s="573"/>
      <c r="AJ132" s="573"/>
      <c r="AK132" s="573"/>
      <c r="AL132" s="574"/>
      <c r="AM132" s="572"/>
      <c r="AN132" s="573"/>
      <c r="AO132" s="573"/>
      <c r="AP132" s="573"/>
      <c r="AQ132" s="573"/>
      <c r="AR132" s="573"/>
      <c r="AS132" s="573"/>
      <c r="AT132" s="574"/>
      <c r="AU132" s="558">
        <f>AA132/AG131</f>
        <v>0</v>
      </c>
      <c r="AV132" s="559"/>
      <c r="AW132" s="559"/>
      <c r="AX132" s="559"/>
      <c r="AY132" s="559"/>
      <c r="AZ132" s="559"/>
      <c r="BA132" s="559"/>
      <c r="BB132" s="560"/>
    </row>
    <row r="133" spans="1:54" ht="21" customHeight="1" x14ac:dyDescent="0.2">
      <c r="A133" s="449"/>
      <c r="B133" s="450"/>
      <c r="C133" s="450"/>
      <c r="D133" s="450"/>
      <c r="E133" s="450"/>
      <c r="F133" s="450"/>
      <c r="G133" s="450"/>
      <c r="H133" s="450"/>
      <c r="I133" s="450"/>
      <c r="J133" s="450"/>
      <c r="K133" s="450"/>
      <c r="L133" s="450"/>
      <c r="M133" s="450"/>
      <c r="N133" s="450"/>
      <c r="O133" s="450"/>
      <c r="P133" s="450"/>
      <c r="Q133" s="450"/>
      <c r="R133" s="450"/>
      <c r="S133" s="450"/>
      <c r="T133" s="450"/>
      <c r="U133" s="450"/>
      <c r="V133" s="450"/>
      <c r="W133" s="450"/>
      <c r="X133" s="450"/>
      <c r="Y133" s="450"/>
      <c r="Z133" s="451"/>
      <c r="AA133" s="557"/>
      <c r="AB133" s="557"/>
      <c r="AC133" s="557"/>
      <c r="AD133" s="557"/>
      <c r="AE133" s="557"/>
      <c r="AF133" s="557"/>
      <c r="AG133" s="572"/>
      <c r="AH133" s="573"/>
      <c r="AI133" s="573"/>
      <c r="AJ133" s="573"/>
      <c r="AK133" s="573"/>
      <c r="AL133" s="574"/>
      <c r="AM133" s="572"/>
      <c r="AN133" s="573"/>
      <c r="AO133" s="573"/>
      <c r="AP133" s="573"/>
      <c r="AQ133" s="573"/>
      <c r="AR133" s="573"/>
      <c r="AS133" s="573"/>
      <c r="AT133" s="574"/>
      <c r="AU133" s="558">
        <f>AA133/AG131</f>
        <v>0</v>
      </c>
      <c r="AV133" s="559"/>
      <c r="AW133" s="559"/>
      <c r="AX133" s="559"/>
      <c r="AY133" s="559"/>
      <c r="AZ133" s="559"/>
      <c r="BA133" s="559"/>
      <c r="BB133" s="560"/>
    </row>
    <row r="134" spans="1:54" ht="21" customHeight="1" x14ac:dyDescent="0.2">
      <c r="A134" s="449"/>
      <c r="B134" s="450"/>
      <c r="C134" s="450"/>
      <c r="D134" s="450"/>
      <c r="E134" s="450"/>
      <c r="F134" s="450"/>
      <c r="G134" s="450"/>
      <c r="H134" s="450"/>
      <c r="I134" s="450"/>
      <c r="J134" s="450"/>
      <c r="K134" s="450"/>
      <c r="L134" s="450"/>
      <c r="M134" s="450"/>
      <c r="N134" s="450"/>
      <c r="O134" s="450"/>
      <c r="P134" s="450"/>
      <c r="Q134" s="450"/>
      <c r="R134" s="450"/>
      <c r="S134" s="450"/>
      <c r="T134" s="450"/>
      <c r="U134" s="450"/>
      <c r="V134" s="450"/>
      <c r="W134" s="450"/>
      <c r="X134" s="450"/>
      <c r="Y134" s="450"/>
      <c r="Z134" s="451"/>
      <c r="AA134" s="557"/>
      <c r="AB134" s="557"/>
      <c r="AC134" s="557"/>
      <c r="AD134" s="557"/>
      <c r="AE134" s="557"/>
      <c r="AF134" s="557"/>
      <c r="AG134" s="572"/>
      <c r="AH134" s="573"/>
      <c r="AI134" s="573"/>
      <c r="AJ134" s="573"/>
      <c r="AK134" s="573"/>
      <c r="AL134" s="574"/>
      <c r="AM134" s="572"/>
      <c r="AN134" s="573"/>
      <c r="AO134" s="573"/>
      <c r="AP134" s="573"/>
      <c r="AQ134" s="573"/>
      <c r="AR134" s="573"/>
      <c r="AS134" s="573"/>
      <c r="AT134" s="574"/>
      <c r="AU134" s="558">
        <f>AA134/AG131</f>
        <v>0</v>
      </c>
      <c r="AV134" s="559"/>
      <c r="AW134" s="559"/>
      <c r="AX134" s="559"/>
      <c r="AY134" s="559"/>
      <c r="AZ134" s="559"/>
      <c r="BA134" s="559"/>
      <c r="BB134" s="560"/>
    </row>
    <row r="135" spans="1:54" ht="6" hidden="1" customHeight="1" x14ac:dyDescent="0.2">
      <c r="A135" s="449"/>
      <c r="B135" s="450"/>
      <c r="C135" s="450"/>
      <c r="D135" s="450"/>
      <c r="E135" s="450"/>
      <c r="F135" s="450"/>
      <c r="G135" s="450"/>
      <c r="H135" s="450"/>
      <c r="I135" s="450"/>
      <c r="J135" s="450"/>
      <c r="K135" s="450"/>
      <c r="L135" s="450"/>
      <c r="M135" s="450"/>
      <c r="N135" s="450"/>
      <c r="O135" s="450"/>
      <c r="P135" s="450"/>
      <c r="Q135" s="450"/>
      <c r="R135" s="450"/>
      <c r="S135" s="450"/>
      <c r="T135" s="450"/>
      <c r="U135" s="450"/>
      <c r="V135" s="450"/>
      <c r="W135" s="450"/>
      <c r="X135" s="450"/>
      <c r="Y135" s="450"/>
      <c r="Z135" s="451"/>
      <c r="AA135" s="557"/>
      <c r="AB135" s="557"/>
      <c r="AC135" s="557"/>
      <c r="AD135" s="557"/>
      <c r="AE135" s="557"/>
      <c r="AF135" s="557"/>
      <c r="AG135" s="572"/>
      <c r="AH135" s="573"/>
      <c r="AI135" s="573"/>
      <c r="AJ135" s="573"/>
      <c r="AK135" s="573"/>
      <c r="AL135" s="574"/>
      <c r="AM135" s="572"/>
      <c r="AN135" s="573"/>
      <c r="AO135" s="573"/>
      <c r="AP135" s="573"/>
      <c r="AQ135" s="573"/>
      <c r="AR135" s="573"/>
      <c r="AS135" s="573"/>
      <c r="AT135" s="574"/>
      <c r="AU135" s="558">
        <f>AA135/AG131</f>
        <v>0</v>
      </c>
      <c r="AV135" s="559"/>
      <c r="AW135" s="559"/>
      <c r="AX135" s="559"/>
      <c r="AY135" s="559"/>
      <c r="AZ135" s="559"/>
      <c r="BA135" s="559"/>
      <c r="BB135" s="560"/>
    </row>
    <row r="136" spans="1:54" ht="0.75" customHeight="1" thickBot="1" x14ac:dyDescent="0.25">
      <c r="A136" s="575"/>
      <c r="B136" s="576"/>
      <c r="C136" s="576"/>
      <c r="D136" s="576"/>
      <c r="E136" s="576"/>
      <c r="F136" s="576"/>
      <c r="G136" s="576"/>
      <c r="H136" s="576"/>
      <c r="I136" s="576"/>
      <c r="J136" s="576"/>
      <c r="K136" s="576"/>
      <c r="L136" s="576"/>
      <c r="M136" s="576"/>
      <c r="N136" s="576"/>
      <c r="O136" s="576"/>
      <c r="P136" s="576"/>
      <c r="Q136" s="576"/>
      <c r="R136" s="576"/>
      <c r="S136" s="576"/>
      <c r="T136" s="576"/>
      <c r="U136" s="576"/>
      <c r="V136" s="576"/>
      <c r="W136" s="576"/>
      <c r="X136" s="576"/>
      <c r="Y136" s="576"/>
      <c r="Z136" s="577"/>
      <c r="AA136" s="578">
        <v>0</v>
      </c>
      <c r="AB136" s="578"/>
      <c r="AC136" s="578"/>
      <c r="AD136" s="578"/>
      <c r="AE136" s="578"/>
      <c r="AF136" s="578"/>
      <c r="AG136" s="572"/>
      <c r="AH136" s="573"/>
      <c r="AI136" s="573"/>
      <c r="AJ136" s="573"/>
      <c r="AK136" s="573"/>
      <c r="AL136" s="574"/>
      <c r="AM136" s="572"/>
      <c r="AN136" s="573"/>
      <c r="AO136" s="573"/>
      <c r="AP136" s="573"/>
      <c r="AQ136" s="573"/>
      <c r="AR136" s="573"/>
      <c r="AS136" s="573"/>
      <c r="AT136" s="574"/>
      <c r="AU136" s="579">
        <f>AA136/AG131</f>
        <v>0</v>
      </c>
      <c r="AV136" s="580"/>
      <c r="AW136" s="580"/>
      <c r="AX136" s="580"/>
      <c r="AY136" s="580"/>
      <c r="AZ136" s="580"/>
      <c r="BA136" s="580"/>
      <c r="BB136" s="581"/>
    </row>
    <row r="137" spans="1:54" ht="15" customHeight="1" thickBot="1" x14ac:dyDescent="0.25">
      <c r="A137" s="545" t="s">
        <v>51</v>
      </c>
      <c r="B137" s="546"/>
      <c r="C137" s="546"/>
      <c r="D137" s="546"/>
      <c r="E137" s="546"/>
      <c r="F137" s="546"/>
      <c r="G137" s="546"/>
      <c r="H137" s="546"/>
      <c r="I137" s="546"/>
      <c r="J137" s="546"/>
      <c r="K137" s="546"/>
      <c r="L137" s="546"/>
      <c r="M137" s="546"/>
      <c r="N137" s="546"/>
      <c r="O137" s="546"/>
      <c r="P137" s="546"/>
      <c r="Q137" s="546"/>
      <c r="R137" s="546"/>
      <c r="S137" s="546"/>
      <c r="T137" s="546"/>
      <c r="U137" s="546"/>
      <c r="V137" s="546"/>
      <c r="W137" s="546"/>
      <c r="X137" s="546"/>
      <c r="Y137" s="546"/>
      <c r="Z137" s="547"/>
      <c r="AA137" s="548">
        <f>SUM(AA131:AF134)</f>
        <v>0</v>
      </c>
      <c r="AB137" s="549"/>
      <c r="AC137" s="549"/>
      <c r="AD137" s="549"/>
      <c r="AE137" s="549"/>
      <c r="AF137" s="550"/>
      <c r="AG137" s="531">
        <f>AG131</f>
        <v>36</v>
      </c>
      <c r="AH137" s="533"/>
      <c r="AI137" s="533"/>
      <c r="AJ137" s="533"/>
      <c r="AK137" s="533"/>
      <c r="AL137" s="534"/>
      <c r="AM137" s="551" t="s">
        <v>17</v>
      </c>
      <c r="AN137" s="552"/>
      <c r="AO137" s="552"/>
      <c r="AP137" s="552"/>
      <c r="AQ137" s="552"/>
      <c r="AR137" s="552"/>
      <c r="AS137" s="552"/>
      <c r="AT137" s="553"/>
      <c r="AU137" s="554">
        <f>SUM(AU131:BB136)</f>
        <v>0</v>
      </c>
      <c r="AV137" s="555"/>
      <c r="AW137" s="555"/>
      <c r="AX137" s="555"/>
      <c r="AY137" s="555"/>
      <c r="AZ137" s="555"/>
      <c r="BA137" s="555"/>
      <c r="BB137" s="556"/>
    </row>
    <row r="138" spans="1:54" s="161" customFormat="1" ht="15" customHeight="1" x14ac:dyDescent="0.2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</row>
    <row r="139" spans="1:54" ht="27" customHeight="1" x14ac:dyDescent="0.2">
      <c r="A139" s="159" t="s">
        <v>62</v>
      </c>
      <c r="B139" s="159"/>
      <c r="C139" s="159" t="s">
        <v>63</v>
      </c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60"/>
      <c r="AY139" s="160"/>
      <c r="AZ139" s="160"/>
      <c r="BA139" s="160"/>
      <c r="BB139" s="160"/>
    </row>
    <row r="140" spans="1:54" ht="21.75" customHeight="1" thickBot="1" x14ac:dyDescent="0.25"/>
    <row r="141" spans="1:54" ht="63" customHeight="1" x14ac:dyDescent="0.2">
      <c r="A141" s="499" t="s">
        <v>54</v>
      </c>
      <c r="B141" s="500"/>
      <c r="C141" s="500"/>
      <c r="D141" s="500"/>
      <c r="E141" s="500"/>
      <c r="F141" s="500"/>
      <c r="G141" s="500"/>
      <c r="H141" s="801" t="s">
        <v>64</v>
      </c>
      <c r="I141" s="801"/>
      <c r="J141" s="801"/>
      <c r="K141" s="801"/>
      <c r="L141" s="801"/>
      <c r="M141" s="801" t="s">
        <v>94</v>
      </c>
      <c r="N141" s="801"/>
      <c r="O141" s="801"/>
      <c r="P141" s="801"/>
      <c r="Q141" s="801"/>
      <c r="R141" s="535" t="s">
        <v>82</v>
      </c>
      <c r="S141" s="535"/>
      <c r="T141" s="535"/>
      <c r="U141" s="535"/>
      <c r="V141" s="535" t="s">
        <v>65</v>
      </c>
      <c r="W141" s="535"/>
      <c r="X141" s="535"/>
      <c r="Y141" s="535"/>
      <c r="Z141" s="535" t="s">
        <v>66</v>
      </c>
      <c r="AA141" s="535"/>
      <c r="AB141" s="535"/>
      <c r="AC141" s="535"/>
      <c r="AD141" s="535" t="s">
        <v>67</v>
      </c>
      <c r="AE141" s="535"/>
      <c r="AF141" s="535"/>
      <c r="AG141" s="535"/>
      <c r="AH141" s="535"/>
      <c r="AI141" s="535"/>
      <c r="AJ141" s="535"/>
      <c r="AK141" s="535"/>
      <c r="AL141" s="535"/>
      <c r="AM141" s="535"/>
      <c r="AN141" s="535"/>
      <c r="AO141" s="535"/>
      <c r="AP141" s="535"/>
      <c r="AQ141" s="801" t="s">
        <v>112</v>
      </c>
      <c r="AR141" s="801"/>
      <c r="AS141" s="801"/>
      <c r="AT141" s="801"/>
      <c r="AU141" s="802" t="s">
        <v>206</v>
      </c>
      <c r="AV141" s="803"/>
      <c r="AW141" s="803"/>
      <c r="AX141" s="804"/>
      <c r="AY141" s="802" t="s">
        <v>87</v>
      </c>
      <c r="AZ141" s="803"/>
      <c r="BA141" s="803"/>
      <c r="BB141" s="804"/>
    </row>
    <row r="142" spans="1:54" ht="71.25" customHeight="1" thickBot="1" x14ac:dyDescent="0.25">
      <c r="A142" s="805"/>
      <c r="B142" s="806"/>
      <c r="C142" s="806"/>
      <c r="D142" s="806"/>
      <c r="E142" s="806"/>
      <c r="F142" s="806"/>
      <c r="G142" s="806"/>
      <c r="H142" s="801" t="s">
        <v>68</v>
      </c>
      <c r="I142" s="801"/>
      <c r="J142" s="801"/>
      <c r="K142" s="801"/>
      <c r="L142" s="801"/>
      <c r="M142" s="801" t="s">
        <v>68</v>
      </c>
      <c r="N142" s="801"/>
      <c r="O142" s="801"/>
      <c r="P142" s="801"/>
      <c r="Q142" s="801"/>
      <c r="R142" s="801"/>
      <c r="S142" s="801"/>
      <c r="T142" s="801"/>
      <c r="U142" s="801"/>
      <c r="V142" s="801"/>
      <c r="W142" s="801"/>
      <c r="X142" s="801"/>
      <c r="Y142" s="801"/>
      <c r="Z142" s="801"/>
      <c r="AA142" s="801"/>
      <c r="AB142" s="801"/>
      <c r="AC142" s="801"/>
      <c r="AD142" s="540" t="s">
        <v>68</v>
      </c>
      <c r="AE142" s="540"/>
      <c r="AF142" s="540"/>
      <c r="AG142" s="540"/>
      <c r="AH142" s="540"/>
      <c r="AI142" s="540"/>
      <c r="AJ142" s="541" t="s">
        <v>69</v>
      </c>
      <c r="AK142" s="542"/>
      <c r="AL142" s="542"/>
      <c r="AM142" s="542"/>
      <c r="AN142" s="542"/>
      <c r="AO142" s="542"/>
      <c r="AP142" s="543"/>
      <c r="AQ142" s="801" t="s">
        <v>68</v>
      </c>
      <c r="AR142" s="801"/>
      <c r="AS142" s="801"/>
      <c r="AT142" s="801"/>
      <c r="AU142" s="801" t="s">
        <v>68</v>
      </c>
      <c r="AV142" s="801"/>
      <c r="AW142" s="801"/>
      <c r="AX142" s="801"/>
      <c r="AY142" s="801" t="s">
        <v>68</v>
      </c>
      <c r="AZ142" s="801"/>
      <c r="BA142" s="801"/>
      <c r="BB142" s="801"/>
    </row>
    <row r="143" spans="1:54" ht="22.5" customHeight="1" thickBot="1" x14ac:dyDescent="0.25">
      <c r="A143" s="640">
        <v>1</v>
      </c>
      <c r="B143" s="641"/>
      <c r="C143" s="641"/>
      <c r="D143" s="641"/>
      <c r="E143" s="641"/>
      <c r="F143" s="641"/>
      <c r="G143" s="641"/>
      <c r="H143" s="641">
        <v>2</v>
      </c>
      <c r="I143" s="641"/>
      <c r="J143" s="641"/>
      <c r="K143" s="641"/>
      <c r="L143" s="641"/>
      <c r="M143" s="641">
        <v>3</v>
      </c>
      <c r="N143" s="641"/>
      <c r="O143" s="641"/>
      <c r="P143" s="641"/>
      <c r="Q143" s="641"/>
      <c r="R143" s="641">
        <v>4</v>
      </c>
      <c r="S143" s="641"/>
      <c r="T143" s="641"/>
      <c r="U143" s="641"/>
      <c r="V143" s="641">
        <v>5</v>
      </c>
      <c r="W143" s="641"/>
      <c r="X143" s="641"/>
      <c r="Y143" s="641"/>
      <c r="Z143" s="641">
        <v>6</v>
      </c>
      <c r="AA143" s="641"/>
      <c r="AB143" s="641"/>
      <c r="AC143" s="474"/>
      <c r="AD143" s="530">
        <v>7</v>
      </c>
      <c r="AE143" s="503"/>
      <c r="AF143" s="503"/>
      <c r="AG143" s="503"/>
      <c r="AH143" s="503"/>
      <c r="AI143" s="531"/>
      <c r="AJ143" s="532">
        <v>8</v>
      </c>
      <c r="AK143" s="533"/>
      <c r="AL143" s="533"/>
      <c r="AM143" s="533"/>
      <c r="AN143" s="533"/>
      <c r="AO143" s="533"/>
      <c r="AP143" s="534"/>
      <c r="AQ143" s="641">
        <v>9</v>
      </c>
      <c r="AR143" s="641"/>
      <c r="AS143" s="641"/>
      <c r="AT143" s="641"/>
      <c r="AU143" s="641">
        <v>10</v>
      </c>
      <c r="AV143" s="641"/>
      <c r="AW143" s="641"/>
      <c r="AX143" s="641"/>
      <c r="AY143" s="641">
        <v>11</v>
      </c>
      <c r="AZ143" s="641"/>
      <c r="BA143" s="641"/>
      <c r="BB143" s="641"/>
    </row>
    <row r="144" spans="1:54" ht="24.75" customHeight="1" x14ac:dyDescent="0.2">
      <c r="A144" s="618" t="s">
        <v>70</v>
      </c>
      <c r="B144" s="619"/>
      <c r="C144" s="619"/>
      <c r="D144" s="619"/>
      <c r="E144" s="619"/>
      <c r="F144" s="619"/>
      <c r="G144" s="619"/>
      <c r="H144" s="477">
        <f>AO88/V144</f>
        <v>28.160632499999998</v>
      </c>
      <c r="I144" s="477"/>
      <c r="J144" s="477"/>
      <c r="K144" s="477"/>
      <c r="L144" s="477"/>
      <c r="M144" s="477">
        <f>H144</f>
        <v>28.160632499999998</v>
      </c>
      <c r="N144" s="477"/>
      <c r="O144" s="477"/>
      <c r="P144" s="477"/>
      <c r="Q144" s="477"/>
      <c r="R144" s="508">
        <f>U12</f>
        <v>36</v>
      </c>
      <c r="S144" s="509"/>
      <c r="T144" s="509"/>
      <c r="U144" s="510"/>
      <c r="V144" s="807">
        <f>Y16</f>
        <v>10</v>
      </c>
      <c r="W144" s="807"/>
      <c r="X144" s="807"/>
      <c r="Y144" s="807"/>
      <c r="Z144" s="807">
        <f>U16</f>
        <v>1</v>
      </c>
      <c r="AA144" s="807"/>
      <c r="AB144" s="807"/>
      <c r="AC144" s="807"/>
      <c r="AD144" s="809" t="s">
        <v>71</v>
      </c>
      <c r="AE144" s="810"/>
      <c r="AF144" s="810"/>
      <c r="AG144" s="810"/>
      <c r="AH144" s="810"/>
      <c r="AI144" s="811"/>
      <c r="AJ144" s="812"/>
      <c r="AK144" s="813"/>
      <c r="AL144" s="813"/>
      <c r="AM144" s="813"/>
      <c r="AN144" s="813"/>
      <c r="AO144" s="813"/>
      <c r="AP144" s="814"/>
      <c r="AQ144" s="477">
        <f>H144*4</f>
        <v>112.64252999999999</v>
      </c>
      <c r="AR144" s="477"/>
      <c r="AS144" s="477"/>
      <c r="AT144" s="477"/>
      <c r="AU144" s="477">
        <f>M144*1</f>
        <v>28.160632499999998</v>
      </c>
      <c r="AV144" s="477"/>
      <c r="AW144" s="477"/>
      <c r="AX144" s="477"/>
      <c r="AY144" s="477">
        <f>H144*R144</f>
        <v>1013.7827699999999</v>
      </c>
      <c r="AZ144" s="477"/>
      <c r="BA144" s="477"/>
      <c r="BB144" s="477"/>
    </row>
    <row r="145" spans="1:78" ht="29.25" customHeight="1" x14ac:dyDescent="0.2">
      <c r="A145" s="527" t="s">
        <v>72</v>
      </c>
      <c r="B145" s="528"/>
      <c r="C145" s="528"/>
      <c r="D145" s="528"/>
      <c r="E145" s="528"/>
      <c r="F145" s="528"/>
      <c r="G145" s="528"/>
      <c r="H145" s="529">
        <f>AV98</f>
        <v>40.782278872853354</v>
      </c>
      <c r="I145" s="529"/>
      <c r="J145" s="529"/>
      <c r="K145" s="529"/>
      <c r="L145" s="529"/>
      <c r="M145" s="477">
        <f t="shared" ref="M145:M147" si="3">H145</f>
        <v>40.782278872853354</v>
      </c>
      <c r="N145" s="477"/>
      <c r="O145" s="477"/>
      <c r="P145" s="477"/>
      <c r="Q145" s="477"/>
      <c r="R145" s="511"/>
      <c r="S145" s="512"/>
      <c r="T145" s="512"/>
      <c r="U145" s="513"/>
      <c r="V145" s="518"/>
      <c r="W145" s="518"/>
      <c r="X145" s="518"/>
      <c r="Y145" s="518"/>
      <c r="Z145" s="518"/>
      <c r="AA145" s="518"/>
      <c r="AB145" s="518"/>
      <c r="AC145" s="518"/>
      <c r="AD145" s="477" t="s">
        <v>71</v>
      </c>
      <c r="AE145" s="477"/>
      <c r="AF145" s="477"/>
      <c r="AG145" s="477"/>
      <c r="AH145" s="477"/>
      <c r="AI145" s="477"/>
      <c r="AJ145" s="478"/>
      <c r="AK145" s="479"/>
      <c r="AL145" s="479"/>
      <c r="AM145" s="479"/>
      <c r="AN145" s="479"/>
      <c r="AO145" s="479"/>
      <c r="AP145" s="480"/>
      <c r="AQ145" s="477">
        <f>H145*4</f>
        <v>163.12911549141342</v>
      </c>
      <c r="AR145" s="477"/>
      <c r="AS145" s="477"/>
      <c r="AT145" s="477"/>
      <c r="AU145" s="477">
        <f>M145*1</f>
        <v>40.782278872853354</v>
      </c>
      <c r="AV145" s="477"/>
      <c r="AW145" s="477"/>
      <c r="AX145" s="477"/>
      <c r="AY145" s="477">
        <f>H145*R144</f>
        <v>1468.1620394227207</v>
      </c>
      <c r="AZ145" s="477"/>
      <c r="BA145" s="477"/>
      <c r="BB145" s="477"/>
    </row>
    <row r="146" spans="1:78" ht="15" customHeight="1" x14ac:dyDescent="0.2">
      <c r="A146" s="527" t="s">
        <v>73</v>
      </c>
      <c r="B146" s="528"/>
      <c r="C146" s="528"/>
      <c r="D146" s="528"/>
      <c r="E146" s="528"/>
      <c r="F146" s="528"/>
      <c r="G146" s="528"/>
      <c r="H146" s="529">
        <f>AU125</f>
        <v>24.805555555555557</v>
      </c>
      <c r="I146" s="529"/>
      <c r="J146" s="529"/>
      <c r="K146" s="529"/>
      <c r="L146" s="529"/>
      <c r="M146" s="477">
        <f t="shared" si="3"/>
        <v>24.805555555555557</v>
      </c>
      <c r="N146" s="477"/>
      <c r="O146" s="477"/>
      <c r="P146" s="477"/>
      <c r="Q146" s="477"/>
      <c r="R146" s="511"/>
      <c r="S146" s="512"/>
      <c r="T146" s="512"/>
      <c r="U146" s="513"/>
      <c r="V146" s="518"/>
      <c r="W146" s="518"/>
      <c r="X146" s="518"/>
      <c r="Y146" s="518"/>
      <c r="Z146" s="518"/>
      <c r="AA146" s="518"/>
      <c r="AB146" s="518"/>
      <c r="AC146" s="518"/>
      <c r="AD146" s="477" t="s">
        <v>71</v>
      </c>
      <c r="AE146" s="477"/>
      <c r="AF146" s="477"/>
      <c r="AG146" s="477"/>
      <c r="AH146" s="477"/>
      <c r="AI146" s="477"/>
      <c r="AJ146" s="478"/>
      <c r="AK146" s="479"/>
      <c r="AL146" s="479"/>
      <c r="AM146" s="479"/>
      <c r="AN146" s="479"/>
      <c r="AO146" s="479"/>
      <c r="AP146" s="480"/>
      <c r="AQ146" s="477">
        <f>H146*4</f>
        <v>99.222222222222229</v>
      </c>
      <c r="AR146" s="477"/>
      <c r="AS146" s="477"/>
      <c r="AT146" s="477"/>
      <c r="AU146" s="477">
        <f>M146*1</f>
        <v>24.805555555555557</v>
      </c>
      <c r="AV146" s="477"/>
      <c r="AW146" s="477"/>
      <c r="AX146" s="477"/>
      <c r="AY146" s="477">
        <f>H146*R144</f>
        <v>893</v>
      </c>
      <c r="AZ146" s="477"/>
      <c r="BA146" s="477"/>
      <c r="BB146" s="477"/>
    </row>
    <row r="147" spans="1:78" ht="26.25" customHeight="1" thickBot="1" x14ac:dyDescent="0.25">
      <c r="A147" s="815" t="s">
        <v>74</v>
      </c>
      <c r="B147" s="816"/>
      <c r="C147" s="816"/>
      <c r="D147" s="816"/>
      <c r="E147" s="816"/>
      <c r="F147" s="816"/>
      <c r="G147" s="816"/>
      <c r="H147" s="627">
        <f>AU137</f>
        <v>0</v>
      </c>
      <c r="I147" s="627"/>
      <c r="J147" s="627"/>
      <c r="K147" s="627"/>
      <c r="L147" s="627"/>
      <c r="M147" s="477">
        <f t="shared" si="3"/>
        <v>0</v>
      </c>
      <c r="N147" s="477"/>
      <c r="O147" s="477"/>
      <c r="P147" s="477"/>
      <c r="Q147" s="477"/>
      <c r="R147" s="514"/>
      <c r="S147" s="515"/>
      <c r="T147" s="515"/>
      <c r="U147" s="516"/>
      <c r="V147" s="808"/>
      <c r="W147" s="808"/>
      <c r="X147" s="808"/>
      <c r="Y147" s="808"/>
      <c r="Z147" s="808"/>
      <c r="AA147" s="808"/>
      <c r="AB147" s="808"/>
      <c r="AC147" s="808"/>
      <c r="AD147" s="477" t="s">
        <v>71</v>
      </c>
      <c r="AE147" s="477"/>
      <c r="AF147" s="477"/>
      <c r="AG147" s="477"/>
      <c r="AH147" s="477"/>
      <c r="AI147" s="477"/>
      <c r="AJ147" s="496" t="s">
        <v>17</v>
      </c>
      <c r="AK147" s="497"/>
      <c r="AL147" s="497"/>
      <c r="AM147" s="497"/>
      <c r="AN147" s="497"/>
      <c r="AO147" s="497"/>
      <c r="AP147" s="498"/>
      <c r="AQ147" s="477">
        <f>H147*4</f>
        <v>0</v>
      </c>
      <c r="AR147" s="477"/>
      <c r="AS147" s="477"/>
      <c r="AT147" s="477"/>
      <c r="AU147" s="477">
        <f>M147*1</f>
        <v>0</v>
      </c>
      <c r="AV147" s="477"/>
      <c r="AW147" s="477"/>
      <c r="AX147" s="477"/>
      <c r="AY147" s="483">
        <f>H147*R144</f>
        <v>0</v>
      </c>
      <c r="AZ147" s="483"/>
      <c r="BA147" s="483"/>
      <c r="BB147" s="483"/>
    </row>
    <row r="148" spans="1:78" ht="25.5" customHeight="1" x14ac:dyDescent="0.2">
      <c r="A148" s="485" t="s">
        <v>80</v>
      </c>
      <c r="B148" s="486"/>
      <c r="C148" s="486"/>
      <c r="D148" s="486"/>
      <c r="E148" s="486"/>
      <c r="F148" s="486"/>
      <c r="G148" s="487"/>
      <c r="H148" s="488">
        <f>SUM(H144:L147)</f>
        <v>93.748466928408916</v>
      </c>
      <c r="I148" s="488"/>
      <c r="J148" s="488"/>
      <c r="K148" s="488"/>
      <c r="L148" s="488"/>
      <c r="M148" s="488">
        <f>SUM(M144:Q147)</f>
        <v>93.748466928408916</v>
      </c>
      <c r="N148" s="488"/>
      <c r="O148" s="488"/>
      <c r="P148" s="488"/>
      <c r="Q148" s="488"/>
      <c r="R148" s="489">
        <f>R144</f>
        <v>36</v>
      </c>
      <c r="S148" s="489"/>
      <c r="T148" s="489"/>
      <c r="U148" s="489"/>
      <c r="V148" s="490">
        <f>V144</f>
        <v>10</v>
      </c>
      <c r="W148" s="490"/>
      <c r="X148" s="490"/>
      <c r="Y148" s="490"/>
      <c r="Z148" s="490">
        <f>Z144</f>
        <v>1</v>
      </c>
      <c r="AA148" s="490"/>
      <c r="AB148" s="490"/>
      <c r="AC148" s="490"/>
      <c r="AD148" s="488" t="s">
        <v>17</v>
      </c>
      <c r="AE148" s="488"/>
      <c r="AF148" s="488"/>
      <c r="AG148" s="488"/>
      <c r="AH148" s="488"/>
      <c r="AI148" s="488"/>
      <c r="AJ148" s="491" t="s">
        <v>17</v>
      </c>
      <c r="AK148" s="492"/>
      <c r="AL148" s="492"/>
      <c r="AM148" s="492"/>
      <c r="AN148" s="492"/>
      <c r="AO148" s="492"/>
      <c r="AP148" s="493"/>
      <c r="AQ148" s="702">
        <f>SUM(AQ144:AT147)</f>
        <v>374.99386771363567</v>
      </c>
      <c r="AR148" s="702"/>
      <c r="AS148" s="702"/>
      <c r="AT148" s="702"/>
      <c r="AU148" s="702">
        <f>SUM(AU144:AX147)</f>
        <v>93.748466928408916</v>
      </c>
      <c r="AV148" s="702"/>
      <c r="AW148" s="702"/>
      <c r="AX148" s="702"/>
      <c r="AY148" s="702">
        <f>SUM(AY144:BB147)</f>
        <v>3374.9448094227205</v>
      </c>
      <c r="AZ148" s="702"/>
      <c r="BA148" s="702"/>
      <c r="BB148" s="702"/>
    </row>
    <row r="149" spans="1:78" ht="30.75" customHeight="1" x14ac:dyDescent="0.2">
      <c r="A149" s="817" t="s">
        <v>75</v>
      </c>
      <c r="B149" s="456"/>
      <c r="C149" s="456"/>
      <c r="D149" s="456"/>
      <c r="E149" s="456"/>
      <c r="F149" s="456"/>
      <c r="G149" s="215">
        <v>0.28000000000000003</v>
      </c>
      <c r="H149" s="457">
        <f>H148*G149</f>
        <v>26.2495707399545</v>
      </c>
      <c r="I149" s="457"/>
      <c r="J149" s="457"/>
      <c r="K149" s="457"/>
      <c r="L149" s="457"/>
      <c r="M149" s="457">
        <f>M148*G149</f>
        <v>26.2495707399545</v>
      </c>
      <c r="N149" s="457"/>
      <c r="O149" s="457"/>
      <c r="P149" s="457"/>
      <c r="Q149" s="457"/>
      <c r="R149" s="818">
        <f>R144</f>
        <v>36</v>
      </c>
      <c r="S149" s="819"/>
      <c r="T149" s="819"/>
      <c r="U149" s="820"/>
      <c r="V149" s="821">
        <f>V144</f>
        <v>10</v>
      </c>
      <c r="W149" s="819"/>
      <c r="X149" s="819"/>
      <c r="Y149" s="820"/>
      <c r="Z149" s="821">
        <f>Z144</f>
        <v>1</v>
      </c>
      <c r="AA149" s="819"/>
      <c r="AB149" s="819"/>
      <c r="AC149" s="820"/>
      <c r="AD149" s="462" t="s">
        <v>17</v>
      </c>
      <c r="AE149" s="462"/>
      <c r="AF149" s="462"/>
      <c r="AG149" s="462"/>
      <c r="AH149" s="462"/>
      <c r="AI149" s="462"/>
      <c r="AJ149" s="462" t="s">
        <v>17</v>
      </c>
      <c r="AK149" s="462"/>
      <c r="AL149" s="462"/>
      <c r="AM149" s="462"/>
      <c r="AN149" s="462"/>
      <c r="AO149" s="462"/>
      <c r="AP149" s="462"/>
      <c r="AQ149" s="466">
        <f>AQ148*G149</f>
        <v>104.998282959818</v>
      </c>
      <c r="AR149" s="466"/>
      <c r="AS149" s="466"/>
      <c r="AT149" s="466"/>
      <c r="AU149" s="466">
        <f>AU148*G149</f>
        <v>26.2495707399545</v>
      </c>
      <c r="AV149" s="466"/>
      <c r="AW149" s="466"/>
      <c r="AX149" s="466"/>
      <c r="AY149" s="466">
        <f>AY148*G149</f>
        <v>944.98454663836185</v>
      </c>
      <c r="AZ149" s="466"/>
      <c r="BA149" s="466"/>
      <c r="BB149" s="466"/>
    </row>
    <row r="150" spans="1:78" ht="30.75" customHeight="1" thickBot="1" x14ac:dyDescent="0.25">
      <c r="A150" s="824" t="s">
        <v>81</v>
      </c>
      <c r="B150" s="469"/>
      <c r="C150" s="469"/>
      <c r="D150" s="469"/>
      <c r="E150" s="469"/>
      <c r="F150" s="469"/>
      <c r="G150" s="470"/>
      <c r="H150" s="464">
        <f>H148+H149</f>
        <v>119.99803766836342</v>
      </c>
      <c r="I150" s="464"/>
      <c r="J150" s="464"/>
      <c r="K150" s="464"/>
      <c r="L150" s="464"/>
      <c r="M150" s="471">
        <f>M148+M149</f>
        <v>119.99803766836342</v>
      </c>
      <c r="N150" s="472"/>
      <c r="O150" s="472"/>
      <c r="P150" s="472"/>
      <c r="Q150" s="473"/>
      <c r="R150" s="825">
        <f>R144</f>
        <v>36</v>
      </c>
      <c r="S150" s="826"/>
      <c r="T150" s="826"/>
      <c r="U150" s="827"/>
      <c r="V150" s="828">
        <f>V144</f>
        <v>10</v>
      </c>
      <c r="W150" s="829"/>
      <c r="X150" s="829"/>
      <c r="Y150" s="830"/>
      <c r="Z150" s="828">
        <f>Z144</f>
        <v>1</v>
      </c>
      <c r="AA150" s="829"/>
      <c r="AB150" s="829"/>
      <c r="AC150" s="830"/>
      <c r="AD150" s="463" t="s">
        <v>17</v>
      </c>
      <c r="AE150" s="463"/>
      <c r="AF150" s="463"/>
      <c r="AG150" s="463"/>
      <c r="AH150" s="463"/>
      <c r="AI150" s="463"/>
      <c r="AJ150" s="463" t="s">
        <v>17</v>
      </c>
      <c r="AK150" s="463"/>
      <c r="AL150" s="463"/>
      <c r="AM150" s="463"/>
      <c r="AN150" s="463"/>
      <c r="AO150" s="463"/>
      <c r="AP150" s="463"/>
      <c r="AQ150" s="466">
        <f>AQ148+AQ149-0.02</f>
        <v>479.97215067345371</v>
      </c>
      <c r="AR150" s="466"/>
      <c r="AS150" s="466"/>
      <c r="AT150" s="466"/>
      <c r="AU150" s="466">
        <f>AU148+AU149</f>
        <v>119.99803766836342</v>
      </c>
      <c r="AV150" s="466"/>
      <c r="AW150" s="466"/>
      <c r="AX150" s="466"/>
      <c r="AY150" s="823">
        <f>AY148+AY149</f>
        <v>4319.9293560610822</v>
      </c>
      <c r="AZ150" s="823"/>
      <c r="BA150" s="823"/>
      <c r="BB150" s="823"/>
      <c r="BE150" s="216"/>
      <c r="BF150" s="216"/>
    </row>
    <row r="151" spans="1:78" ht="16.5" customHeight="1" x14ac:dyDescent="0.2">
      <c r="BC151" s="432"/>
      <c r="BD151" s="432"/>
      <c r="BE151" s="216"/>
      <c r="BF151" s="216"/>
      <c r="BG151" s="216"/>
      <c r="BH151" s="216"/>
      <c r="BI151" s="216"/>
    </row>
    <row r="152" spans="1:78" ht="12" customHeight="1" x14ac:dyDescent="0.2">
      <c r="BC152" s="432"/>
      <c r="BD152" s="432"/>
      <c r="BE152" s="216"/>
      <c r="BF152" s="216"/>
    </row>
    <row r="153" spans="1:78" ht="14.25" customHeight="1" x14ac:dyDescent="0.25">
      <c r="B153" s="452" t="s">
        <v>221</v>
      </c>
      <c r="C153" s="452"/>
      <c r="D153" s="452"/>
      <c r="E153" s="452"/>
      <c r="F153" s="452"/>
      <c r="G153" s="452"/>
      <c r="H153" s="452"/>
      <c r="I153" s="452"/>
      <c r="J153" s="452"/>
      <c r="K153" s="452"/>
      <c r="L153" s="452"/>
      <c r="M153" s="452"/>
      <c r="N153" s="452"/>
      <c r="O153" s="452"/>
      <c r="P153" s="452"/>
      <c r="Q153" s="452"/>
      <c r="R153" s="452"/>
      <c r="S153" s="452"/>
      <c r="U153" s="164"/>
      <c r="V153" s="164"/>
      <c r="W153" s="164"/>
      <c r="X153" s="217"/>
      <c r="Y153" s="217"/>
      <c r="Z153" s="217"/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T153" s="100"/>
      <c r="AU153" s="218" t="s">
        <v>222</v>
      </c>
      <c r="AV153" s="218"/>
      <c r="AW153" s="218"/>
      <c r="AX153" s="218"/>
      <c r="AY153" s="218"/>
      <c r="AZ153" s="218"/>
      <c r="BC153" s="432"/>
      <c r="BD153" s="432"/>
      <c r="BE153" s="216"/>
      <c r="BF153" s="216"/>
    </row>
    <row r="154" spans="1:78" ht="8.25" customHeight="1" x14ac:dyDescent="0.2">
      <c r="B154" s="452" t="s">
        <v>78</v>
      </c>
      <c r="C154" s="452"/>
      <c r="D154" s="452"/>
      <c r="E154" s="452"/>
      <c r="F154" s="452"/>
      <c r="G154" s="452"/>
      <c r="H154" s="452"/>
      <c r="I154" s="452"/>
      <c r="J154" s="452"/>
      <c r="K154" s="452"/>
      <c r="L154" s="452"/>
      <c r="M154" s="452"/>
      <c r="N154" s="452"/>
      <c r="O154" s="452"/>
      <c r="P154" s="452"/>
      <c r="Q154" s="452"/>
      <c r="R154" s="452"/>
      <c r="S154" s="452"/>
      <c r="AM154" s="822" t="s">
        <v>311</v>
      </c>
      <c r="AN154" s="822"/>
      <c r="AO154" s="822"/>
      <c r="AP154" s="822"/>
      <c r="AQ154" s="822"/>
      <c r="AR154" s="822"/>
      <c r="AS154" s="822"/>
      <c r="AT154" s="822"/>
      <c r="AU154" s="822"/>
      <c r="AV154" s="822"/>
      <c r="AW154" s="822"/>
      <c r="AX154" s="822"/>
      <c r="AY154" s="822"/>
      <c r="AZ154" s="822"/>
      <c r="BA154" s="822"/>
      <c r="BB154" s="822"/>
      <c r="BC154" s="822"/>
    </row>
    <row r="155" spans="1:78" ht="19.5" customHeight="1" x14ac:dyDescent="0.2">
      <c r="B155" s="452"/>
      <c r="C155" s="452"/>
      <c r="D155" s="452"/>
      <c r="E155" s="452"/>
      <c r="F155" s="452"/>
      <c r="G155" s="452"/>
      <c r="H155" s="452"/>
      <c r="I155" s="452"/>
      <c r="J155" s="452"/>
      <c r="K155" s="452"/>
      <c r="L155" s="452"/>
      <c r="M155" s="452"/>
      <c r="N155" s="452"/>
      <c r="O155" s="452"/>
      <c r="P155" s="452"/>
      <c r="Q155" s="452"/>
      <c r="R155" s="452"/>
      <c r="S155" s="452"/>
      <c r="U155" s="164"/>
      <c r="V155" s="164"/>
      <c r="W155" s="164"/>
      <c r="X155" s="217"/>
      <c r="Y155" s="217"/>
      <c r="Z155" s="217"/>
      <c r="AA155" s="217"/>
      <c r="AB155" s="217"/>
      <c r="AC155" s="217"/>
      <c r="AD155" s="217"/>
      <c r="AE155" s="217"/>
      <c r="AF155" s="217"/>
      <c r="AG155" s="217"/>
      <c r="AH155" s="217"/>
      <c r="AI155" s="217"/>
      <c r="AJ155" s="217"/>
      <c r="AK155" s="217"/>
      <c r="AM155" s="822"/>
      <c r="AN155" s="822"/>
      <c r="AO155" s="822"/>
      <c r="AP155" s="822"/>
      <c r="AQ155" s="822"/>
      <c r="AR155" s="822"/>
      <c r="AS155" s="822"/>
      <c r="AT155" s="822"/>
      <c r="AU155" s="822"/>
      <c r="AV155" s="822"/>
      <c r="AW155" s="822"/>
      <c r="AX155" s="822"/>
      <c r="AY155" s="822"/>
      <c r="AZ155" s="822"/>
      <c r="BA155" s="822"/>
      <c r="BB155" s="822"/>
      <c r="BC155" s="822"/>
      <c r="BD155" s="432"/>
      <c r="BE155" s="432"/>
      <c r="BF155" s="432"/>
      <c r="BG155" s="432"/>
      <c r="BH155" s="432"/>
      <c r="BI155" s="432"/>
      <c r="BJ155" s="432"/>
      <c r="BK155" s="432"/>
      <c r="BL155" s="432"/>
      <c r="BM155" s="432"/>
      <c r="BN155" s="432"/>
      <c r="BO155" s="432"/>
      <c r="BP155" s="432"/>
      <c r="BQ155" s="432"/>
      <c r="BR155" s="432"/>
      <c r="BS155" s="432"/>
      <c r="BT155" s="432"/>
      <c r="BU155" s="432"/>
      <c r="BV155" s="432"/>
      <c r="BW155" s="432"/>
      <c r="BX155" s="432"/>
      <c r="BY155" s="432"/>
      <c r="BZ155" s="432"/>
    </row>
    <row r="156" spans="1:78" ht="15.75" customHeight="1" x14ac:dyDescent="0.2">
      <c r="BD156" s="432"/>
      <c r="BE156" s="432"/>
      <c r="BF156" s="432"/>
      <c r="BG156" s="433"/>
      <c r="BH156" s="433"/>
      <c r="BI156" s="433"/>
      <c r="BJ156" s="433"/>
      <c r="BK156" s="433"/>
      <c r="BL156" s="220"/>
      <c r="BM156" s="220"/>
      <c r="BN156" s="220"/>
      <c r="BO156" s="220"/>
      <c r="BP156" s="220"/>
      <c r="BQ156" s="220"/>
      <c r="BR156" s="220"/>
      <c r="BS156" s="220"/>
    </row>
    <row r="157" spans="1:78" ht="13.5" customHeight="1" x14ac:dyDescent="0.2">
      <c r="A157" s="219" t="s">
        <v>125</v>
      </c>
      <c r="B157" s="219"/>
      <c r="C157" s="219"/>
      <c r="D157" s="219"/>
      <c r="BD157" s="434"/>
      <c r="BE157" s="432"/>
      <c r="BF157" s="432"/>
      <c r="BG157" s="216"/>
      <c r="BH157" s="432"/>
      <c r="BI157" s="432"/>
      <c r="BJ157" s="432"/>
      <c r="BK157" s="432"/>
      <c r="BL157" s="432"/>
      <c r="BM157" s="432"/>
      <c r="BN157" s="432"/>
      <c r="BO157" s="432"/>
      <c r="BP157" s="432"/>
      <c r="BQ157" s="432"/>
      <c r="BR157" s="432"/>
      <c r="BS157" s="432"/>
    </row>
    <row r="158" spans="1:78" ht="16.5" hidden="1" customHeight="1" x14ac:dyDescent="0.2">
      <c r="A158" s="221"/>
      <c r="B158" s="221"/>
      <c r="C158" s="221"/>
      <c r="D158" s="221"/>
      <c r="E158" s="221"/>
      <c r="F158" s="221"/>
      <c r="G158" s="221">
        <v>120</v>
      </c>
      <c r="H158" s="221"/>
      <c r="I158" s="221"/>
      <c r="J158" s="221"/>
      <c r="K158" s="221"/>
      <c r="L158" s="221"/>
      <c r="M158" s="221"/>
      <c r="N158" s="221"/>
      <c r="BD158" s="432"/>
      <c r="BE158" s="432"/>
      <c r="BF158" s="432"/>
      <c r="BG158" s="216"/>
      <c r="BH158" s="435"/>
      <c r="BI158" s="435"/>
      <c r="BJ158" s="435"/>
      <c r="BK158" s="435"/>
      <c r="BL158" s="435"/>
      <c r="BM158" s="435"/>
      <c r="BN158" s="432"/>
      <c r="BO158" s="432"/>
      <c r="BP158" s="432"/>
      <c r="BQ158" s="432"/>
      <c r="BR158" s="432"/>
      <c r="BS158" s="432"/>
    </row>
    <row r="159" spans="1:78" ht="16.5" hidden="1" customHeight="1" x14ac:dyDescent="0.25">
      <c r="A159" s="222"/>
      <c r="B159" s="22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222"/>
      <c r="AF159" s="222"/>
      <c r="AG159" s="222"/>
      <c r="AH159" s="222"/>
      <c r="AI159" s="222"/>
      <c r="AJ159" s="222"/>
      <c r="AK159" s="222"/>
      <c r="AL159" s="222"/>
      <c r="AM159" s="222"/>
      <c r="AN159" s="222"/>
      <c r="AO159" s="222"/>
      <c r="AP159" s="222"/>
      <c r="AQ159" s="222"/>
      <c r="AR159" s="222"/>
      <c r="AS159" s="222"/>
      <c r="BD159" s="432"/>
      <c r="BE159" s="432"/>
      <c r="BF159" s="432"/>
      <c r="BG159" s="216"/>
      <c r="BH159" s="435"/>
      <c r="BI159" s="435"/>
      <c r="BJ159" s="435"/>
      <c r="BK159" s="435"/>
      <c r="BL159" s="435"/>
      <c r="BM159" s="435"/>
      <c r="BN159" s="435"/>
      <c r="BO159" s="435"/>
      <c r="BP159" s="435"/>
      <c r="BQ159" s="435"/>
      <c r="BR159" s="435"/>
      <c r="BS159" s="435"/>
    </row>
    <row r="160" spans="1:78" ht="8.25" hidden="1" customHeight="1" x14ac:dyDescent="0.2"/>
    <row r="161" spans="26:78" ht="8.25" hidden="1" customHeight="1" x14ac:dyDescent="0.2"/>
    <row r="162" spans="26:78" ht="8.25" hidden="1" customHeight="1" x14ac:dyDescent="0.2"/>
    <row r="163" spans="26:78" ht="0.75" hidden="1" customHeight="1" x14ac:dyDescent="0.25">
      <c r="Z163" s="223"/>
      <c r="AA163" s="223"/>
      <c r="AB163" s="223"/>
      <c r="AC163" s="223"/>
      <c r="AD163" s="223"/>
      <c r="AE163" s="223"/>
      <c r="AF163" s="223"/>
      <c r="AG163" s="223"/>
      <c r="BD163" s="822" t="s">
        <v>236</v>
      </c>
      <c r="BE163" s="822"/>
      <c r="BF163" s="822"/>
      <c r="BG163" s="822"/>
      <c r="BH163" s="822"/>
      <c r="BI163" s="822"/>
      <c r="BJ163" s="822"/>
      <c r="BK163" s="822"/>
      <c r="BL163" s="822"/>
      <c r="BM163" s="822"/>
      <c r="BN163" s="822"/>
      <c r="BO163" s="822"/>
      <c r="BP163" s="822"/>
      <c r="BQ163" s="822"/>
      <c r="BR163" s="822"/>
      <c r="BS163" s="822"/>
      <c r="BT163" s="822"/>
      <c r="BU163" s="822"/>
      <c r="BV163" s="822"/>
      <c r="BW163" s="822"/>
      <c r="BX163" s="822"/>
      <c r="BY163" s="822"/>
      <c r="BZ163" s="822"/>
    </row>
    <row r="164" spans="26:78" ht="17.25" hidden="1" customHeight="1" x14ac:dyDescent="0.2">
      <c r="BD164" s="432" t="s">
        <v>126</v>
      </c>
      <c r="BE164" s="432"/>
      <c r="BF164" s="432"/>
      <c r="BG164" s="433">
        <f>100*32</f>
        <v>3200</v>
      </c>
      <c r="BH164" s="433"/>
      <c r="BI164" s="433"/>
      <c r="BJ164" s="433"/>
      <c r="BK164" s="433"/>
      <c r="BL164" s="220" t="s">
        <v>127</v>
      </c>
      <c r="BM164" s="220"/>
      <c r="BN164" s="220"/>
      <c r="BO164" s="220"/>
      <c r="BP164" s="220"/>
      <c r="BQ164" s="220"/>
      <c r="BR164" s="220"/>
      <c r="BS164" s="220"/>
    </row>
    <row r="165" spans="26:78" ht="15.75" hidden="1" customHeight="1" x14ac:dyDescent="0.2">
      <c r="BD165" s="434">
        <v>0.6</v>
      </c>
      <c r="BE165" s="432"/>
      <c r="BF165" s="432"/>
      <c r="BG165" s="216">
        <f>BG164*BD165</f>
        <v>1920</v>
      </c>
      <c r="BH165" s="432" t="s">
        <v>128</v>
      </c>
      <c r="BI165" s="432"/>
      <c r="BJ165" s="432"/>
      <c r="BK165" s="432"/>
      <c r="BL165" s="432"/>
      <c r="BM165" s="432" t="s">
        <v>129</v>
      </c>
      <c r="BN165" s="432"/>
      <c r="BO165" s="432"/>
      <c r="BP165" s="432"/>
      <c r="BQ165" s="432"/>
      <c r="BR165" s="432"/>
      <c r="BS165" s="432"/>
    </row>
    <row r="166" spans="26:78" ht="18" hidden="1" customHeight="1" x14ac:dyDescent="0.2">
      <c r="BD166" s="432">
        <v>211</v>
      </c>
      <c r="BE166" s="432"/>
      <c r="BF166" s="432"/>
      <c r="BG166" s="216">
        <f>BG165-BG167</f>
        <v>1474.6543778801843</v>
      </c>
      <c r="BH166" s="435">
        <f>BG166*0.1</f>
        <v>147.46543778801842</v>
      </c>
      <c r="BI166" s="435"/>
      <c r="BJ166" s="435"/>
      <c r="BK166" s="435"/>
      <c r="BL166" s="435"/>
      <c r="BM166" s="435">
        <f>BG166-BH166</f>
        <v>1327.1889400921659</v>
      </c>
      <c r="BN166" s="432"/>
      <c r="BO166" s="432"/>
      <c r="BP166" s="432"/>
      <c r="BQ166" s="432"/>
      <c r="BR166" s="432"/>
      <c r="BS166" s="432"/>
    </row>
    <row r="167" spans="26:78" ht="18" hidden="1" customHeight="1" x14ac:dyDescent="0.2">
      <c r="BD167" s="432">
        <v>213</v>
      </c>
      <c r="BE167" s="432"/>
      <c r="BF167" s="432"/>
      <c r="BG167" s="216">
        <f>BG165*30.2/130.2</f>
        <v>445.34562211981569</v>
      </c>
      <c r="BH167" s="435">
        <f>BH166*30.2%</f>
        <v>44.534562211981559</v>
      </c>
      <c r="BI167" s="435"/>
      <c r="BJ167" s="435"/>
      <c r="BK167" s="435"/>
      <c r="BL167" s="435"/>
      <c r="BM167" s="435">
        <f>BM166*30.2%</f>
        <v>400.81105990783408</v>
      </c>
      <c r="BN167" s="435"/>
      <c r="BO167" s="435"/>
      <c r="BP167" s="435"/>
      <c r="BQ167" s="435"/>
      <c r="BR167" s="435"/>
      <c r="BS167" s="435"/>
    </row>
    <row r="168" spans="26:78" ht="8.25" hidden="1" customHeight="1" x14ac:dyDescent="0.2"/>
    <row r="169" spans="26:78" ht="8.25" hidden="1" customHeight="1" x14ac:dyDescent="0.2"/>
    <row r="170" spans="26:78" ht="7.5" hidden="1" customHeight="1" x14ac:dyDescent="0.2"/>
    <row r="171" spans="26:78" ht="14.25" hidden="1" customHeight="1" x14ac:dyDescent="0.25">
      <c r="BD171" s="822" t="s">
        <v>236</v>
      </c>
      <c r="BE171" s="822"/>
      <c r="BF171" s="822"/>
      <c r="BG171" s="822"/>
      <c r="BH171" s="822"/>
      <c r="BI171" s="822"/>
      <c r="BJ171" s="822"/>
      <c r="BK171" s="822"/>
      <c r="BL171" s="822"/>
      <c r="BM171" s="822"/>
      <c r="BN171" s="822"/>
      <c r="BO171" s="822"/>
      <c r="BP171" s="822"/>
      <c r="BQ171" s="822"/>
      <c r="BR171" s="822"/>
      <c r="BS171" s="822"/>
      <c r="BT171" s="822"/>
      <c r="BU171" s="822"/>
      <c r="BV171" s="822"/>
      <c r="BW171" s="822"/>
      <c r="BX171" s="822"/>
      <c r="BY171" s="822"/>
      <c r="BZ171" s="822"/>
    </row>
    <row r="172" spans="26:78" ht="17.25" hidden="1" customHeight="1" x14ac:dyDescent="0.2">
      <c r="BD172" s="432" t="s">
        <v>126</v>
      </c>
      <c r="BE172" s="432"/>
      <c r="BF172" s="432"/>
      <c r="BG172" s="433">
        <f>100*34</f>
        <v>3400</v>
      </c>
      <c r="BH172" s="433"/>
      <c r="BI172" s="433"/>
      <c r="BJ172" s="433"/>
      <c r="BK172" s="433"/>
      <c r="BL172" s="220" t="s">
        <v>127</v>
      </c>
      <c r="BM172" s="220"/>
      <c r="BN172" s="220"/>
      <c r="BO172" s="220"/>
      <c r="BP172" s="220"/>
      <c r="BQ172" s="220"/>
      <c r="BR172" s="220"/>
      <c r="BS172" s="220"/>
    </row>
    <row r="173" spans="26:78" ht="15" hidden="1" customHeight="1" x14ac:dyDescent="0.2">
      <c r="BD173" s="434">
        <v>0.6</v>
      </c>
      <c r="BE173" s="432"/>
      <c r="BF173" s="432"/>
      <c r="BG173" s="216">
        <f>BG172*BD173</f>
        <v>2040</v>
      </c>
      <c r="BH173" s="432" t="s">
        <v>128</v>
      </c>
      <c r="BI173" s="432"/>
      <c r="BJ173" s="432"/>
      <c r="BK173" s="432"/>
      <c r="BL173" s="432"/>
      <c r="BM173" s="432" t="s">
        <v>129</v>
      </c>
      <c r="BN173" s="432"/>
      <c r="BO173" s="432"/>
      <c r="BP173" s="432"/>
      <c r="BQ173" s="432"/>
      <c r="BR173" s="432"/>
      <c r="BS173" s="432"/>
    </row>
    <row r="174" spans="26:78" ht="18" hidden="1" customHeight="1" x14ac:dyDescent="0.2">
      <c r="BD174" s="432">
        <v>211</v>
      </c>
      <c r="BE174" s="432"/>
      <c r="BF174" s="432"/>
      <c r="BG174" s="216">
        <f>BG173-BG175</f>
        <v>1566.8202764976959</v>
      </c>
      <c r="BH174" s="435">
        <f>BG174*0.1</f>
        <v>156.68202764976959</v>
      </c>
      <c r="BI174" s="435"/>
      <c r="BJ174" s="435"/>
      <c r="BK174" s="435"/>
      <c r="BL174" s="435"/>
      <c r="BM174" s="433">
        <f>BG174-BH174</f>
        <v>1410.1382488479262</v>
      </c>
      <c r="BN174" s="887"/>
      <c r="BO174" s="887"/>
      <c r="BP174" s="887"/>
      <c r="BQ174" s="887"/>
      <c r="BR174" s="887"/>
      <c r="BS174" s="887"/>
    </row>
    <row r="175" spans="26:78" ht="16.5" hidden="1" customHeight="1" x14ac:dyDescent="0.2">
      <c r="BD175" s="432">
        <v>213</v>
      </c>
      <c r="BE175" s="432"/>
      <c r="BF175" s="432"/>
      <c r="BG175" s="216">
        <f>BG173*30.2/130.2</f>
        <v>473.17972350230417</v>
      </c>
      <c r="BH175" s="435">
        <f>BH174*30.2%</f>
        <v>47.317972350230413</v>
      </c>
      <c r="BI175" s="435"/>
      <c r="BJ175" s="435"/>
      <c r="BK175" s="435"/>
      <c r="BL175" s="435"/>
      <c r="BM175" s="435">
        <f>BM174*30.2%</f>
        <v>425.86175115207368</v>
      </c>
      <c r="BN175" s="435"/>
      <c r="BO175" s="435"/>
      <c r="BP175" s="435"/>
      <c r="BQ175" s="435"/>
      <c r="BR175" s="435"/>
      <c r="BS175" s="435"/>
    </row>
    <row r="176" spans="26:78" ht="8.25" hidden="1" customHeight="1" x14ac:dyDescent="0.2"/>
    <row r="177" spans="56:79" ht="8.25" hidden="1" customHeight="1" x14ac:dyDescent="0.2"/>
    <row r="178" spans="56:79" ht="18.75" hidden="1" customHeight="1" x14ac:dyDescent="0.25">
      <c r="BD178" s="822" t="s">
        <v>237</v>
      </c>
      <c r="BE178" s="822"/>
      <c r="BF178" s="822"/>
      <c r="BG178" s="822"/>
      <c r="BH178" s="822"/>
      <c r="BI178" s="822"/>
      <c r="BJ178" s="822"/>
      <c r="BK178" s="822"/>
      <c r="BL178" s="822"/>
      <c r="BM178" s="822"/>
      <c r="BN178" s="822"/>
      <c r="BO178" s="822"/>
      <c r="BP178" s="822"/>
      <c r="BQ178" s="822"/>
      <c r="BR178" s="822"/>
      <c r="BS178" s="822"/>
      <c r="BT178" s="822"/>
      <c r="BU178" s="822"/>
      <c r="BV178" s="822"/>
      <c r="BW178" s="822"/>
      <c r="BX178" s="822"/>
      <c r="BY178" s="822"/>
      <c r="BZ178" s="822"/>
    </row>
    <row r="179" spans="56:79" ht="15" hidden="1" customHeight="1" x14ac:dyDescent="0.2">
      <c r="BD179" s="432" t="s">
        <v>126</v>
      </c>
      <c r="BE179" s="432"/>
      <c r="BF179" s="432"/>
      <c r="BG179" s="433">
        <f>100*39</f>
        <v>3900</v>
      </c>
      <c r="BH179" s="433"/>
      <c r="BI179" s="433"/>
      <c r="BJ179" s="433"/>
      <c r="BK179" s="433"/>
      <c r="BL179" s="220" t="s">
        <v>127</v>
      </c>
      <c r="BM179" s="220"/>
      <c r="BN179" s="220"/>
      <c r="BO179" s="220"/>
      <c r="BP179" s="220"/>
      <c r="BQ179" s="220"/>
      <c r="BR179" s="220"/>
      <c r="BS179" s="220"/>
    </row>
    <row r="180" spans="56:79" ht="15" hidden="1" customHeight="1" x14ac:dyDescent="0.2">
      <c r="BD180" s="434">
        <v>0.6</v>
      </c>
      <c r="BE180" s="432"/>
      <c r="BF180" s="432"/>
      <c r="BG180" s="216">
        <f>BG179*BD180</f>
        <v>2340</v>
      </c>
      <c r="BH180" s="432" t="s">
        <v>128</v>
      </c>
      <c r="BI180" s="432"/>
      <c r="BJ180" s="432"/>
      <c r="BK180" s="432"/>
      <c r="BL180" s="432"/>
      <c r="BM180" s="432" t="s">
        <v>129</v>
      </c>
      <c r="BN180" s="432"/>
      <c r="BO180" s="432"/>
      <c r="BP180" s="432"/>
      <c r="BQ180" s="432"/>
      <c r="BR180" s="432"/>
      <c r="BS180" s="432"/>
    </row>
    <row r="181" spans="56:79" ht="12.75" hidden="1" customHeight="1" x14ac:dyDescent="0.2">
      <c r="BD181" s="432">
        <v>211</v>
      </c>
      <c r="BE181" s="432"/>
      <c r="BF181" s="432"/>
      <c r="BG181" s="216">
        <f>BG180-BG182</f>
        <v>1797.2350230414745</v>
      </c>
      <c r="BH181" s="435">
        <f>BG181*0.1</f>
        <v>179.72350230414747</v>
      </c>
      <c r="BI181" s="435"/>
      <c r="BJ181" s="435"/>
      <c r="BK181" s="435"/>
      <c r="BL181" s="435"/>
      <c r="BM181" s="435">
        <f>BG181-BH181</f>
        <v>1617.5115207373269</v>
      </c>
      <c r="BN181" s="432"/>
      <c r="BO181" s="432"/>
      <c r="BP181" s="432"/>
      <c r="BQ181" s="432"/>
      <c r="BR181" s="432"/>
      <c r="BS181" s="432"/>
    </row>
    <row r="182" spans="56:79" ht="17.25" hidden="1" customHeight="1" x14ac:dyDescent="0.2">
      <c r="BD182" s="432">
        <v>213</v>
      </c>
      <c r="BE182" s="432"/>
      <c r="BF182" s="432"/>
      <c r="BG182" s="216">
        <f>BG180*30.2/130.2</f>
        <v>542.76497695852538</v>
      </c>
      <c r="BH182" s="435">
        <f>BH181*30.2%</f>
        <v>54.276497695852534</v>
      </c>
      <c r="BI182" s="435"/>
      <c r="BJ182" s="435"/>
      <c r="BK182" s="435"/>
      <c r="BL182" s="435"/>
      <c r="BM182" s="435">
        <f>BM181*30.2%</f>
        <v>488.48847926267274</v>
      </c>
      <c r="BN182" s="435"/>
      <c r="BO182" s="435"/>
      <c r="BP182" s="435"/>
      <c r="BQ182" s="435"/>
      <c r="BR182" s="435"/>
      <c r="BS182" s="435"/>
    </row>
    <row r="183" spans="56:79" ht="8.25" hidden="1" customHeight="1" x14ac:dyDescent="0.2"/>
    <row r="184" spans="56:79" ht="8.25" hidden="1" customHeight="1" x14ac:dyDescent="0.2"/>
    <row r="185" spans="56:79" ht="8.25" hidden="1" customHeight="1" x14ac:dyDescent="0.2"/>
    <row r="186" spans="56:79" ht="0.75" hidden="1" customHeight="1" x14ac:dyDescent="0.2"/>
    <row r="187" spans="56:79" ht="8.25" hidden="1" customHeight="1" x14ac:dyDescent="0.2">
      <c r="BE187" s="432" t="s">
        <v>134</v>
      </c>
      <c r="BF187" s="432"/>
      <c r="BG187" s="432"/>
      <c r="BH187" s="432"/>
      <c r="BI187" s="432"/>
      <c r="BJ187" s="432"/>
      <c r="BK187" s="432"/>
      <c r="BL187" s="432"/>
      <c r="BM187" s="432"/>
      <c r="BN187" s="432"/>
      <c r="BO187" s="432"/>
      <c r="BP187" s="432"/>
      <c r="BQ187" s="432"/>
      <c r="BR187" s="432"/>
      <c r="BS187" s="432"/>
      <c r="BT187" s="432"/>
      <c r="BU187" s="432"/>
      <c r="BV187" s="432"/>
      <c r="BW187" s="432"/>
      <c r="BX187" s="432"/>
      <c r="BY187" s="432"/>
      <c r="BZ187" s="432"/>
      <c r="CA187" s="432"/>
    </row>
    <row r="188" spans="56:79" ht="17.25" hidden="1" customHeight="1" x14ac:dyDescent="0.2">
      <c r="BE188" s="432" t="s">
        <v>126</v>
      </c>
      <c r="BF188" s="432"/>
      <c r="BG188" s="432"/>
      <c r="BH188" s="433">
        <f>49*80</f>
        <v>3920</v>
      </c>
      <c r="BI188" s="433"/>
      <c r="BJ188" s="433"/>
      <c r="BK188" s="433"/>
      <c r="BL188" s="433"/>
      <c r="BM188" s="220" t="s">
        <v>127</v>
      </c>
      <c r="BN188" s="220"/>
      <c r="BO188" s="220"/>
      <c r="BP188" s="220"/>
      <c r="BQ188" s="220"/>
      <c r="BR188" s="220"/>
      <c r="BS188" s="220"/>
      <c r="BT188" s="220"/>
    </row>
    <row r="189" spans="56:79" ht="22.5" hidden="1" customHeight="1" x14ac:dyDescent="0.2">
      <c r="BE189" s="434">
        <v>0.6</v>
      </c>
      <c r="BF189" s="432"/>
      <c r="BG189" s="432"/>
      <c r="BH189" s="216">
        <f>BH188*BE189</f>
        <v>2352</v>
      </c>
      <c r="BI189" s="432" t="s">
        <v>128</v>
      </c>
      <c r="BJ189" s="432"/>
      <c r="BK189" s="432"/>
      <c r="BL189" s="432"/>
      <c r="BM189" s="432"/>
      <c r="BN189" s="432" t="s">
        <v>129</v>
      </c>
      <c r="BO189" s="432"/>
      <c r="BP189" s="432"/>
      <c r="BQ189" s="432"/>
      <c r="BR189" s="432"/>
      <c r="BS189" s="432"/>
      <c r="BT189" s="432"/>
    </row>
    <row r="190" spans="56:79" ht="18.75" hidden="1" customHeight="1" x14ac:dyDescent="0.2">
      <c r="BE190" s="432">
        <v>211</v>
      </c>
      <c r="BF190" s="432"/>
      <c r="BG190" s="432"/>
      <c r="BH190" s="216">
        <f>BH189-BH191</f>
        <v>1806.4516129032259</v>
      </c>
      <c r="BI190" s="435">
        <f>BH190*0</f>
        <v>0</v>
      </c>
      <c r="BJ190" s="435"/>
      <c r="BK190" s="435"/>
      <c r="BL190" s="435"/>
      <c r="BM190" s="435"/>
      <c r="BN190" s="435">
        <f>BH190-BI190</f>
        <v>1806.4516129032259</v>
      </c>
      <c r="BO190" s="432"/>
      <c r="BP190" s="432"/>
      <c r="BQ190" s="432"/>
      <c r="BR190" s="432"/>
      <c r="BS190" s="432"/>
      <c r="BT190" s="432"/>
    </row>
    <row r="191" spans="56:79" ht="18.75" hidden="1" customHeight="1" x14ac:dyDescent="0.2">
      <c r="BE191" s="432">
        <v>213</v>
      </c>
      <c r="BF191" s="432"/>
      <c r="BG191" s="432"/>
      <c r="BH191" s="216">
        <f>BH189*30.2/130.2</f>
        <v>545.54838709677415</v>
      </c>
      <c r="BI191" s="435">
        <f>BI190*30.2%</f>
        <v>0</v>
      </c>
      <c r="BJ191" s="435"/>
      <c r="BK191" s="435"/>
      <c r="BL191" s="435"/>
      <c r="BM191" s="435"/>
      <c r="BN191" s="435">
        <f>BN190*30.2%</f>
        <v>545.54838709677415</v>
      </c>
      <c r="BO191" s="435"/>
      <c r="BP191" s="435"/>
      <c r="BQ191" s="435"/>
      <c r="BR191" s="435"/>
      <c r="BS191" s="435"/>
      <c r="BT191" s="435"/>
    </row>
    <row r="192" spans="56:79" ht="18.75" hidden="1" customHeight="1" x14ac:dyDescent="0.25">
      <c r="BD192" s="822" t="s">
        <v>246</v>
      </c>
      <c r="BE192" s="822"/>
      <c r="BF192" s="822"/>
      <c r="BG192" s="822"/>
      <c r="BH192" s="822"/>
      <c r="BI192" s="822"/>
      <c r="BJ192" s="822"/>
      <c r="BK192" s="822"/>
      <c r="BL192" s="822"/>
      <c r="BM192" s="822"/>
      <c r="BN192" s="822"/>
      <c r="BO192" s="822"/>
      <c r="BP192" s="822"/>
      <c r="BQ192" s="822"/>
      <c r="BR192" s="822"/>
      <c r="BS192" s="822"/>
      <c r="BT192" s="822"/>
      <c r="BU192" s="822"/>
      <c r="BV192" s="822"/>
      <c r="BW192" s="822"/>
      <c r="BX192" s="822"/>
      <c r="BY192" s="822"/>
      <c r="BZ192" s="822"/>
    </row>
    <row r="193" spans="56:78" ht="15" hidden="1" customHeight="1" x14ac:dyDescent="0.2">
      <c r="BD193" s="432" t="s">
        <v>126</v>
      </c>
      <c r="BE193" s="432"/>
      <c r="BF193" s="432"/>
      <c r="BG193" s="433">
        <f>100*52</f>
        <v>5200</v>
      </c>
      <c r="BH193" s="433"/>
      <c r="BI193" s="433"/>
      <c r="BJ193" s="433"/>
      <c r="BK193" s="433"/>
      <c r="BL193" s="220" t="s">
        <v>127</v>
      </c>
      <c r="BM193" s="220"/>
      <c r="BN193" s="220"/>
      <c r="BO193" s="220"/>
      <c r="BP193" s="220"/>
      <c r="BQ193" s="220"/>
      <c r="BR193" s="220"/>
      <c r="BS193" s="220"/>
    </row>
    <row r="194" spans="56:78" ht="15" hidden="1" customHeight="1" x14ac:dyDescent="0.2">
      <c r="BD194" s="434">
        <v>0.6</v>
      </c>
      <c r="BE194" s="432"/>
      <c r="BF194" s="432"/>
      <c r="BG194" s="216">
        <f>BG193*BD194</f>
        <v>3120</v>
      </c>
      <c r="BH194" s="432" t="s">
        <v>128</v>
      </c>
      <c r="BI194" s="432"/>
      <c r="BJ194" s="432"/>
      <c r="BK194" s="432"/>
      <c r="BL194" s="432"/>
      <c r="BM194" s="432" t="s">
        <v>129</v>
      </c>
      <c r="BN194" s="432"/>
      <c r="BO194" s="432"/>
      <c r="BP194" s="432"/>
      <c r="BQ194" s="432"/>
      <c r="BR194" s="432"/>
      <c r="BS194" s="432"/>
    </row>
    <row r="195" spans="56:78" ht="12.75" hidden="1" customHeight="1" x14ac:dyDescent="0.2">
      <c r="BD195" s="432">
        <v>211</v>
      </c>
      <c r="BE195" s="432"/>
      <c r="BF195" s="432"/>
      <c r="BG195" s="216">
        <f>BG194-BG196</f>
        <v>2396.3133640552996</v>
      </c>
      <c r="BH195" s="435">
        <f>BG195*0.1</f>
        <v>239.63133640552996</v>
      </c>
      <c r="BI195" s="435"/>
      <c r="BJ195" s="435"/>
      <c r="BK195" s="435"/>
      <c r="BL195" s="435"/>
      <c r="BM195" s="435">
        <f>BG195-BH195</f>
        <v>2156.6820276497697</v>
      </c>
      <c r="BN195" s="432"/>
      <c r="BO195" s="432"/>
      <c r="BP195" s="432"/>
      <c r="BQ195" s="432"/>
      <c r="BR195" s="432"/>
      <c r="BS195" s="432"/>
    </row>
    <row r="196" spans="56:78" ht="17.25" hidden="1" customHeight="1" x14ac:dyDescent="0.2">
      <c r="BD196" s="432">
        <v>213</v>
      </c>
      <c r="BE196" s="432"/>
      <c r="BF196" s="432"/>
      <c r="BG196" s="216">
        <f>BG194*30.2/130.2</f>
        <v>723.68663594470047</v>
      </c>
      <c r="BH196" s="435">
        <f>BH195*30.2%</f>
        <v>72.36866359447005</v>
      </c>
      <c r="BI196" s="435"/>
      <c r="BJ196" s="435"/>
      <c r="BK196" s="435"/>
      <c r="BL196" s="435"/>
      <c r="BM196" s="435">
        <f>BM195*30.2%</f>
        <v>651.31797235023043</v>
      </c>
      <c r="BN196" s="435"/>
      <c r="BO196" s="435"/>
      <c r="BP196" s="435"/>
      <c r="BQ196" s="435"/>
      <c r="BR196" s="435"/>
      <c r="BS196" s="435"/>
    </row>
    <row r="197" spans="56:78" ht="8.25" hidden="1" customHeight="1" x14ac:dyDescent="0.2"/>
    <row r="198" spans="56:78" ht="8.25" hidden="1" customHeight="1" x14ac:dyDescent="0.2"/>
    <row r="199" spans="56:78" ht="8.25" hidden="1" customHeight="1" x14ac:dyDescent="0.2"/>
    <row r="200" spans="56:78" ht="12.75" hidden="1" customHeight="1" x14ac:dyDescent="0.2">
      <c r="BD200" s="432" t="s">
        <v>170</v>
      </c>
      <c r="BE200" s="432"/>
      <c r="BF200" s="432"/>
      <c r="BG200" s="432"/>
      <c r="BH200" s="432"/>
      <c r="BI200" s="432"/>
      <c r="BJ200" s="432"/>
      <c r="BK200" s="432"/>
      <c r="BL200" s="432"/>
      <c r="BM200" s="432"/>
      <c r="BN200" s="432"/>
      <c r="BO200" s="432"/>
      <c r="BP200" s="432"/>
      <c r="BQ200" s="432"/>
      <c r="BR200" s="432"/>
      <c r="BS200" s="432"/>
      <c r="BT200" s="432"/>
      <c r="BU200" s="432"/>
      <c r="BV200" s="432"/>
      <c r="BW200" s="432"/>
      <c r="BX200" s="432"/>
      <c r="BY200" s="432"/>
      <c r="BZ200" s="432"/>
    </row>
    <row r="201" spans="56:78" ht="15" hidden="1" customHeight="1" x14ac:dyDescent="0.2">
      <c r="BD201" s="432" t="s">
        <v>126</v>
      </c>
      <c r="BE201" s="432"/>
      <c r="BF201" s="432"/>
      <c r="BG201" s="433">
        <f>1*100</f>
        <v>100</v>
      </c>
      <c r="BH201" s="433"/>
      <c r="BI201" s="433"/>
      <c r="BJ201" s="433"/>
      <c r="BK201" s="433"/>
      <c r="BL201" s="220" t="s">
        <v>127</v>
      </c>
      <c r="BM201" s="220"/>
      <c r="BN201" s="220"/>
      <c r="BO201" s="220"/>
      <c r="BP201" s="220"/>
      <c r="BQ201" s="220"/>
      <c r="BR201" s="220"/>
      <c r="BS201" s="220"/>
    </row>
    <row r="202" spans="56:78" ht="15" hidden="1" customHeight="1" x14ac:dyDescent="0.2">
      <c r="BD202" s="434">
        <v>0.6</v>
      </c>
      <c r="BE202" s="432"/>
      <c r="BF202" s="432"/>
      <c r="BG202" s="216">
        <f>BG201*BD202</f>
        <v>60</v>
      </c>
      <c r="BH202" s="432" t="s">
        <v>128</v>
      </c>
      <c r="BI202" s="432"/>
      <c r="BJ202" s="432"/>
      <c r="BK202" s="432"/>
      <c r="BL202" s="432"/>
      <c r="BM202" s="432" t="s">
        <v>129</v>
      </c>
      <c r="BN202" s="432"/>
      <c r="BO202" s="432"/>
      <c r="BP202" s="432"/>
      <c r="BQ202" s="432"/>
      <c r="BR202" s="432"/>
      <c r="BS202" s="432"/>
    </row>
    <row r="203" spans="56:78" ht="12" hidden="1" customHeight="1" x14ac:dyDescent="0.2">
      <c r="BD203" s="432">
        <v>211</v>
      </c>
      <c r="BE203" s="432"/>
      <c r="BF203" s="432"/>
      <c r="BG203" s="216">
        <f>BG202-BG204</f>
        <v>46.082949308755758</v>
      </c>
      <c r="BH203" s="435">
        <f>BG203*0</f>
        <v>0</v>
      </c>
      <c r="BI203" s="435"/>
      <c r="BJ203" s="435"/>
      <c r="BK203" s="435"/>
      <c r="BL203" s="435"/>
      <c r="BM203" s="435">
        <f>BG203-BH203</f>
        <v>46.082949308755758</v>
      </c>
      <c r="BN203" s="432"/>
      <c r="BO203" s="432"/>
      <c r="BP203" s="432"/>
      <c r="BQ203" s="432"/>
      <c r="BR203" s="432"/>
      <c r="BS203" s="432"/>
    </row>
    <row r="204" spans="56:78" ht="12.75" hidden="1" customHeight="1" x14ac:dyDescent="0.2">
      <c r="BD204" s="432">
        <v>213</v>
      </c>
      <c r="BE204" s="432"/>
      <c r="BF204" s="432"/>
      <c r="BG204" s="216">
        <f>BG202*30.2/130.2</f>
        <v>13.91705069124424</v>
      </c>
      <c r="BH204" s="435">
        <f>BH203*30.2%</f>
        <v>0</v>
      </c>
      <c r="BI204" s="435"/>
      <c r="BJ204" s="435"/>
      <c r="BK204" s="435"/>
      <c r="BL204" s="435"/>
      <c r="BM204" s="435">
        <f>BM203*30.2%</f>
        <v>13.917050691244238</v>
      </c>
      <c r="BN204" s="435"/>
      <c r="BO204" s="435"/>
      <c r="BP204" s="435"/>
      <c r="BQ204" s="435"/>
      <c r="BR204" s="435"/>
      <c r="BS204" s="435"/>
    </row>
    <row r="205" spans="56:78" ht="15" hidden="1" customHeight="1" x14ac:dyDescent="0.2"/>
    <row r="206" spans="56:78" ht="8.25" hidden="1" customHeight="1" x14ac:dyDescent="0.2"/>
    <row r="207" spans="56:78" ht="1.5" hidden="1" customHeight="1" x14ac:dyDescent="0.2">
      <c r="BD207" s="432" t="s">
        <v>176</v>
      </c>
      <c r="BE207" s="432"/>
      <c r="BF207" s="432"/>
      <c r="BG207" s="432"/>
      <c r="BH207" s="432"/>
      <c r="BI207" s="432"/>
      <c r="BJ207" s="432"/>
      <c r="BK207" s="432"/>
      <c r="BL207" s="432"/>
      <c r="BM207" s="432"/>
      <c r="BN207" s="432"/>
      <c r="BO207" s="432"/>
      <c r="BP207" s="432"/>
      <c r="BQ207" s="432"/>
      <c r="BR207" s="432"/>
      <c r="BS207" s="432"/>
      <c r="BT207" s="432"/>
      <c r="BU207" s="432"/>
      <c r="BV207" s="432"/>
      <c r="BW207" s="432"/>
      <c r="BX207" s="432"/>
      <c r="BY207" s="432"/>
      <c r="BZ207" s="432"/>
    </row>
    <row r="208" spans="56:78" ht="12" hidden="1" customHeight="1" x14ac:dyDescent="0.2">
      <c r="BD208" s="432" t="s">
        <v>126</v>
      </c>
      <c r="BE208" s="432"/>
      <c r="BF208" s="432"/>
      <c r="BG208" s="433">
        <f>4*100</f>
        <v>400</v>
      </c>
      <c r="BH208" s="433"/>
      <c r="BI208" s="433"/>
      <c r="BJ208" s="433"/>
      <c r="BK208" s="433"/>
      <c r="BL208" s="220" t="s">
        <v>127</v>
      </c>
      <c r="BM208" s="220"/>
      <c r="BN208" s="220"/>
      <c r="BO208" s="220"/>
      <c r="BP208" s="220"/>
      <c r="BQ208" s="220"/>
      <c r="BR208" s="220"/>
      <c r="BS208" s="220"/>
    </row>
    <row r="209" spans="56:78" ht="16.5" hidden="1" customHeight="1" x14ac:dyDescent="0.2">
      <c r="BD209" s="434">
        <v>0.6</v>
      </c>
      <c r="BE209" s="432"/>
      <c r="BF209" s="432"/>
      <c r="BG209" s="216">
        <f>BG208*BD209</f>
        <v>240</v>
      </c>
      <c r="BH209" s="432" t="s">
        <v>128</v>
      </c>
      <c r="BI209" s="432"/>
      <c r="BJ209" s="432"/>
      <c r="BK209" s="432"/>
      <c r="BL209" s="432"/>
      <c r="BM209" s="432" t="s">
        <v>129</v>
      </c>
      <c r="BN209" s="432"/>
      <c r="BO209" s="432"/>
      <c r="BP209" s="432"/>
      <c r="BQ209" s="432"/>
      <c r="BR209" s="432"/>
      <c r="BS209" s="432"/>
    </row>
    <row r="210" spans="56:78" ht="15" hidden="1" customHeight="1" x14ac:dyDescent="0.2">
      <c r="BD210" s="432">
        <v>211</v>
      </c>
      <c r="BE210" s="432"/>
      <c r="BF210" s="432"/>
      <c r="BG210" s="216">
        <f>BG209-BG211</f>
        <v>184.33179723502303</v>
      </c>
      <c r="BH210" s="435">
        <f>BG210*0</f>
        <v>0</v>
      </c>
      <c r="BI210" s="435"/>
      <c r="BJ210" s="435"/>
      <c r="BK210" s="435"/>
      <c r="BL210" s="435"/>
      <c r="BM210" s="435">
        <f>BG210-BH210</f>
        <v>184.33179723502303</v>
      </c>
      <c r="BN210" s="432"/>
      <c r="BO210" s="432"/>
      <c r="BP210" s="432"/>
      <c r="BQ210" s="432"/>
      <c r="BR210" s="432"/>
      <c r="BS210" s="432"/>
    </row>
    <row r="211" spans="56:78" ht="16.5" hidden="1" customHeight="1" x14ac:dyDescent="0.2">
      <c r="BD211" s="432">
        <v>213</v>
      </c>
      <c r="BE211" s="432"/>
      <c r="BF211" s="432"/>
      <c r="BG211" s="216">
        <f>BG209*30.2/130.2</f>
        <v>55.668202764976961</v>
      </c>
      <c r="BH211" s="435">
        <f>BH210*30.2%</f>
        <v>0</v>
      </c>
      <c r="BI211" s="435"/>
      <c r="BJ211" s="435"/>
      <c r="BK211" s="435"/>
      <c r="BL211" s="435"/>
      <c r="BM211" s="435">
        <f>BM210*30.2%</f>
        <v>55.668202764976954</v>
      </c>
      <c r="BN211" s="435"/>
      <c r="BO211" s="435"/>
      <c r="BP211" s="435"/>
      <c r="BQ211" s="435"/>
      <c r="BR211" s="435"/>
      <c r="BS211" s="435"/>
    </row>
    <row r="212" spans="56:78" ht="8.25" hidden="1" customHeight="1" x14ac:dyDescent="0.2"/>
    <row r="213" spans="56:78" ht="8.25" hidden="1" customHeight="1" x14ac:dyDescent="0.2"/>
    <row r="214" spans="56:78" ht="8.25" hidden="1" customHeight="1" x14ac:dyDescent="0.2"/>
    <row r="215" spans="56:78" ht="17.25" hidden="1" customHeight="1" x14ac:dyDescent="0.2">
      <c r="BD215" s="432" t="s">
        <v>184</v>
      </c>
      <c r="BE215" s="432"/>
      <c r="BF215" s="432"/>
      <c r="BG215" s="432"/>
      <c r="BH215" s="432"/>
      <c r="BI215" s="432"/>
      <c r="BJ215" s="432"/>
      <c r="BK215" s="432"/>
      <c r="BL215" s="432"/>
      <c r="BM215" s="432"/>
      <c r="BN215" s="432"/>
      <c r="BO215" s="432"/>
      <c r="BP215" s="432"/>
      <c r="BQ215" s="432"/>
      <c r="BR215" s="432"/>
      <c r="BS215" s="432"/>
      <c r="BT215" s="432"/>
      <c r="BU215" s="432"/>
      <c r="BV215" s="432"/>
      <c r="BW215" s="432"/>
      <c r="BX215" s="432"/>
      <c r="BY215" s="432"/>
      <c r="BZ215" s="432"/>
    </row>
    <row r="216" spans="56:78" ht="27" hidden="1" customHeight="1" x14ac:dyDescent="0.2">
      <c r="BD216" s="432" t="s">
        <v>126</v>
      </c>
      <c r="BE216" s="432"/>
      <c r="BF216" s="432"/>
      <c r="BG216" s="433">
        <f>0*17</f>
        <v>0</v>
      </c>
      <c r="BH216" s="433"/>
      <c r="BI216" s="433"/>
      <c r="BJ216" s="433"/>
      <c r="BK216" s="433"/>
      <c r="BL216" s="220" t="s">
        <v>127</v>
      </c>
      <c r="BM216" s="220"/>
      <c r="BN216" s="220"/>
      <c r="BO216" s="220"/>
      <c r="BP216" s="220"/>
      <c r="BQ216" s="220"/>
      <c r="BR216" s="220"/>
      <c r="BS216" s="220"/>
    </row>
    <row r="217" spans="56:78" ht="17.25" hidden="1" customHeight="1" x14ac:dyDescent="0.2">
      <c r="BD217" s="434">
        <v>0.6</v>
      </c>
      <c r="BE217" s="432"/>
      <c r="BF217" s="432"/>
      <c r="BG217" s="216">
        <f>BG216*BD217</f>
        <v>0</v>
      </c>
      <c r="BH217" s="432" t="s">
        <v>128</v>
      </c>
      <c r="BI217" s="432"/>
      <c r="BJ217" s="432"/>
      <c r="BK217" s="432"/>
      <c r="BL217" s="432"/>
      <c r="BM217" s="432" t="s">
        <v>129</v>
      </c>
      <c r="BN217" s="432"/>
      <c r="BO217" s="432"/>
      <c r="BP217" s="432"/>
      <c r="BQ217" s="432"/>
      <c r="BR217" s="432"/>
      <c r="BS217" s="432"/>
    </row>
    <row r="218" spans="56:78" ht="18" hidden="1" customHeight="1" x14ac:dyDescent="0.2">
      <c r="BD218" s="432">
        <v>211</v>
      </c>
      <c r="BE218" s="432"/>
      <c r="BF218" s="432"/>
      <c r="BG218" s="216">
        <f>BG217-BG219</f>
        <v>0</v>
      </c>
      <c r="BH218" s="435">
        <f>BG218*0.1</f>
        <v>0</v>
      </c>
      <c r="BI218" s="435"/>
      <c r="BJ218" s="435"/>
      <c r="BK218" s="435"/>
      <c r="BL218" s="435"/>
      <c r="BM218" s="435">
        <f>BG218-BH218</f>
        <v>0</v>
      </c>
      <c r="BN218" s="432"/>
      <c r="BO218" s="432"/>
      <c r="BP218" s="432"/>
      <c r="BQ218" s="432"/>
      <c r="BR218" s="432"/>
      <c r="BS218" s="432"/>
    </row>
    <row r="219" spans="56:78" ht="18" hidden="1" customHeight="1" x14ac:dyDescent="0.2">
      <c r="BD219" s="432">
        <v>213</v>
      </c>
      <c r="BE219" s="432"/>
      <c r="BF219" s="432"/>
      <c r="BG219" s="216">
        <f>BG217*30.2/130.2</f>
        <v>0</v>
      </c>
      <c r="BH219" s="435">
        <f>BH218*30.2%</f>
        <v>0</v>
      </c>
      <c r="BI219" s="435"/>
      <c r="BJ219" s="435"/>
      <c r="BK219" s="435"/>
      <c r="BL219" s="435"/>
      <c r="BM219" s="435">
        <f>BM218*30.2%</f>
        <v>0</v>
      </c>
      <c r="BN219" s="435"/>
      <c r="BO219" s="435"/>
      <c r="BP219" s="435"/>
      <c r="BQ219" s="435"/>
      <c r="BR219" s="435"/>
      <c r="BS219" s="435"/>
    </row>
    <row r="220" spans="56:78" ht="8.25" hidden="1" customHeight="1" x14ac:dyDescent="0.2"/>
    <row r="221" spans="56:78" ht="8.25" hidden="1" customHeight="1" x14ac:dyDescent="0.2"/>
    <row r="222" spans="56:78" ht="8.25" hidden="1" customHeight="1" x14ac:dyDescent="0.2"/>
    <row r="223" spans="56:78" ht="17.25" hidden="1" customHeight="1" x14ac:dyDescent="0.25">
      <c r="BD223" s="822" t="s">
        <v>274</v>
      </c>
      <c r="BE223" s="822"/>
      <c r="BF223" s="822"/>
      <c r="BG223" s="822"/>
      <c r="BH223" s="822"/>
      <c r="BI223" s="822"/>
      <c r="BJ223" s="822"/>
      <c r="BK223" s="822"/>
      <c r="BL223" s="822"/>
      <c r="BM223" s="822"/>
      <c r="BN223" s="822"/>
      <c r="BO223" s="822"/>
      <c r="BP223" s="822"/>
      <c r="BQ223" s="822"/>
      <c r="BR223" s="822"/>
      <c r="BS223" s="822"/>
      <c r="BT223" s="822"/>
      <c r="BU223" s="822"/>
      <c r="BV223" s="822"/>
      <c r="BW223" s="822"/>
      <c r="BX223" s="822"/>
      <c r="BY223" s="822"/>
      <c r="BZ223" s="822"/>
    </row>
    <row r="224" spans="56:78" ht="14.25" hidden="1" customHeight="1" x14ac:dyDescent="0.2">
      <c r="BD224" s="432" t="s">
        <v>126</v>
      </c>
      <c r="BE224" s="432"/>
      <c r="BF224" s="432"/>
      <c r="BG224" s="433">
        <f>100*17</f>
        <v>1700</v>
      </c>
      <c r="BH224" s="433"/>
      <c r="BI224" s="433"/>
      <c r="BJ224" s="433"/>
      <c r="BK224" s="433"/>
      <c r="BL224" s="220" t="s">
        <v>127</v>
      </c>
      <c r="BM224" s="220"/>
      <c r="BN224" s="220"/>
      <c r="BO224" s="220"/>
      <c r="BP224" s="220"/>
      <c r="BQ224" s="220"/>
      <c r="BR224" s="220"/>
      <c r="BS224" s="220"/>
    </row>
    <row r="225" spans="56:78" ht="17.25" hidden="1" customHeight="1" x14ac:dyDescent="0.2">
      <c r="BD225" s="434">
        <v>0.6</v>
      </c>
      <c r="BE225" s="432"/>
      <c r="BF225" s="432"/>
      <c r="BG225" s="216">
        <f>BG224*BD225</f>
        <v>1020</v>
      </c>
      <c r="BH225" s="432" t="s">
        <v>128</v>
      </c>
      <c r="BI225" s="432"/>
      <c r="BJ225" s="432"/>
      <c r="BK225" s="432"/>
      <c r="BL225" s="432"/>
      <c r="BM225" s="432" t="s">
        <v>129</v>
      </c>
      <c r="BN225" s="432"/>
      <c r="BO225" s="432"/>
      <c r="BP225" s="432"/>
      <c r="BQ225" s="432"/>
      <c r="BR225" s="432"/>
      <c r="BS225" s="432"/>
    </row>
    <row r="226" spans="56:78" ht="18" hidden="1" customHeight="1" x14ac:dyDescent="0.2">
      <c r="BD226" s="432">
        <v>211</v>
      </c>
      <c r="BE226" s="432"/>
      <c r="BF226" s="432"/>
      <c r="BG226" s="216">
        <f>BG225-BG227</f>
        <v>783.41013824884794</v>
      </c>
      <c r="BH226" s="435">
        <f>BG226*0.1</f>
        <v>78.341013824884797</v>
      </c>
      <c r="BI226" s="435"/>
      <c r="BJ226" s="435"/>
      <c r="BK226" s="435"/>
      <c r="BL226" s="435"/>
      <c r="BM226" s="435">
        <f>BG226-BH226</f>
        <v>705.0691244239631</v>
      </c>
      <c r="BN226" s="432"/>
      <c r="BO226" s="432"/>
      <c r="BP226" s="432"/>
      <c r="BQ226" s="432"/>
      <c r="BR226" s="432"/>
      <c r="BS226" s="432"/>
    </row>
    <row r="227" spans="56:78" ht="18" hidden="1" customHeight="1" x14ac:dyDescent="0.2">
      <c r="BD227" s="432">
        <v>213</v>
      </c>
      <c r="BE227" s="432"/>
      <c r="BF227" s="432"/>
      <c r="BG227" s="216">
        <f>BG225*30.2/130.2</f>
        <v>236.58986175115209</v>
      </c>
      <c r="BH227" s="435">
        <f>BH226*30.2%</f>
        <v>23.658986175115206</v>
      </c>
      <c r="BI227" s="435"/>
      <c r="BJ227" s="435"/>
      <c r="BK227" s="435"/>
      <c r="BL227" s="435"/>
      <c r="BM227" s="435">
        <f>BM226*30.2%</f>
        <v>212.93087557603684</v>
      </c>
      <c r="BN227" s="435"/>
      <c r="BO227" s="435"/>
      <c r="BP227" s="435"/>
      <c r="BQ227" s="435"/>
      <c r="BR227" s="435"/>
      <c r="BS227" s="435"/>
    </row>
    <row r="228" spans="56:78" ht="0.75" hidden="1" customHeight="1" x14ac:dyDescent="0.2"/>
    <row r="229" spans="56:78" ht="14.25" hidden="1" customHeight="1" x14ac:dyDescent="0.2"/>
    <row r="230" spans="56:78" ht="8.25" hidden="1" customHeight="1" x14ac:dyDescent="0.2"/>
    <row r="231" spans="56:78" ht="12.75" hidden="1" customHeight="1" x14ac:dyDescent="0.25">
      <c r="BD231" s="822" t="s">
        <v>281</v>
      </c>
      <c r="BE231" s="822"/>
      <c r="BF231" s="822"/>
      <c r="BG231" s="822"/>
      <c r="BH231" s="822"/>
      <c r="BI231" s="822"/>
      <c r="BJ231" s="822"/>
      <c r="BK231" s="822"/>
      <c r="BL231" s="822"/>
      <c r="BM231" s="822"/>
      <c r="BN231" s="822"/>
      <c r="BO231" s="822"/>
      <c r="BP231" s="822"/>
      <c r="BQ231" s="822"/>
      <c r="BR231" s="822"/>
      <c r="BS231" s="822"/>
      <c r="BT231" s="822"/>
      <c r="BU231" s="822"/>
      <c r="BV231" s="822"/>
      <c r="BW231" s="822"/>
      <c r="BX231" s="822"/>
      <c r="BY231" s="822"/>
      <c r="BZ231" s="822"/>
    </row>
    <row r="232" spans="56:78" ht="12.75" hidden="1" customHeight="1" x14ac:dyDescent="0.2">
      <c r="BD232" s="432" t="s">
        <v>126</v>
      </c>
      <c r="BE232" s="432"/>
      <c r="BF232" s="432"/>
      <c r="BG232" s="433">
        <f>100*17</f>
        <v>1700</v>
      </c>
      <c r="BH232" s="433"/>
      <c r="BI232" s="433"/>
      <c r="BJ232" s="433"/>
      <c r="BK232" s="433"/>
      <c r="BL232" s="220" t="s">
        <v>127</v>
      </c>
      <c r="BM232" s="220"/>
      <c r="BN232" s="220"/>
      <c r="BO232" s="220"/>
      <c r="BP232" s="220"/>
      <c r="BQ232" s="220"/>
      <c r="BR232" s="220"/>
      <c r="BS232" s="220"/>
    </row>
    <row r="233" spans="56:78" ht="12.75" hidden="1" customHeight="1" x14ac:dyDescent="0.2">
      <c r="BD233" s="434">
        <v>0.6</v>
      </c>
      <c r="BE233" s="432"/>
      <c r="BF233" s="432"/>
      <c r="BG233" s="216">
        <f>BG232*BD233</f>
        <v>1020</v>
      </c>
      <c r="BH233" s="432" t="s">
        <v>128</v>
      </c>
      <c r="BI233" s="432"/>
      <c r="BJ233" s="432"/>
      <c r="BK233" s="432"/>
      <c r="BL233" s="432"/>
      <c r="BM233" s="432" t="s">
        <v>129</v>
      </c>
      <c r="BN233" s="432"/>
      <c r="BO233" s="432"/>
      <c r="BP233" s="432"/>
      <c r="BQ233" s="432"/>
      <c r="BR233" s="432"/>
      <c r="BS233" s="432"/>
    </row>
    <row r="234" spans="56:78" ht="12.75" hidden="1" customHeight="1" x14ac:dyDescent="0.2">
      <c r="BD234" s="432">
        <v>211</v>
      </c>
      <c r="BE234" s="432"/>
      <c r="BF234" s="432"/>
      <c r="BG234" s="216">
        <f>BG233-BG235</f>
        <v>783.41013824884794</v>
      </c>
      <c r="BH234" s="435">
        <f>BG234*0.1</f>
        <v>78.341013824884797</v>
      </c>
      <c r="BI234" s="435"/>
      <c r="BJ234" s="435"/>
      <c r="BK234" s="435"/>
      <c r="BL234" s="435"/>
      <c r="BM234" s="435">
        <f>BG234-BH234</f>
        <v>705.0691244239631</v>
      </c>
      <c r="BN234" s="432"/>
      <c r="BO234" s="432"/>
      <c r="BP234" s="432"/>
      <c r="BQ234" s="432"/>
      <c r="BR234" s="432"/>
      <c r="BS234" s="432"/>
    </row>
    <row r="235" spans="56:78" ht="12.75" hidden="1" customHeight="1" x14ac:dyDescent="0.2">
      <c r="BD235" s="432">
        <v>213</v>
      </c>
      <c r="BE235" s="432"/>
      <c r="BF235" s="432"/>
      <c r="BG235" s="216">
        <f>BG233*30.2/130.2</f>
        <v>236.58986175115209</v>
      </c>
      <c r="BH235" s="435">
        <f>BH234*30.2%</f>
        <v>23.658986175115206</v>
      </c>
      <c r="BI235" s="435"/>
      <c r="BJ235" s="435"/>
      <c r="BK235" s="435"/>
      <c r="BL235" s="435"/>
      <c r="BM235" s="435">
        <f>BM234*30.2%</f>
        <v>212.93087557603684</v>
      </c>
      <c r="BN235" s="435"/>
      <c r="BO235" s="435"/>
      <c r="BP235" s="435"/>
      <c r="BQ235" s="435"/>
      <c r="BR235" s="435"/>
      <c r="BS235" s="435"/>
    </row>
    <row r="236" spans="56:78" ht="12.75" hidden="1" customHeight="1" x14ac:dyDescent="0.2"/>
    <row r="237" spans="56:78" ht="12.75" hidden="1" customHeight="1" x14ac:dyDescent="0.2"/>
    <row r="238" spans="56:78" ht="8.25" hidden="1" customHeight="1" x14ac:dyDescent="0.2"/>
    <row r="239" spans="56:78" ht="15" hidden="1" customHeight="1" x14ac:dyDescent="0.25">
      <c r="BD239" s="822" t="s">
        <v>288</v>
      </c>
      <c r="BE239" s="822"/>
      <c r="BF239" s="822"/>
      <c r="BG239" s="822"/>
      <c r="BH239" s="822"/>
      <c r="BI239" s="822"/>
      <c r="BJ239" s="822"/>
      <c r="BK239" s="822"/>
      <c r="BL239" s="822"/>
      <c r="BM239" s="822"/>
      <c r="BN239" s="822"/>
      <c r="BO239" s="822"/>
      <c r="BP239" s="822"/>
      <c r="BQ239" s="822"/>
      <c r="BR239" s="822"/>
      <c r="BS239" s="822"/>
      <c r="BT239" s="822"/>
      <c r="BU239" s="822"/>
      <c r="BV239" s="822"/>
      <c r="BW239" s="822"/>
      <c r="BX239" s="822"/>
      <c r="BY239" s="822"/>
      <c r="BZ239" s="822"/>
    </row>
    <row r="240" spans="56:78" ht="15" hidden="1" customHeight="1" x14ac:dyDescent="0.2">
      <c r="BD240" s="432" t="s">
        <v>126</v>
      </c>
      <c r="BE240" s="432"/>
      <c r="BF240" s="432"/>
      <c r="BG240" s="433">
        <f>100*18</f>
        <v>1800</v>
      </c>
      <c r="BH240" s="433"/>
      <c r="BI240" s="433"/>
      <c r="BJ240" s="433"/>
      <c r="BK240" s="433"/>
      <c r="BL240" s="220" t="s">
        <v>127</v>
      </c>
      <c r="BM240" s="220"/>
      <c r="BN240" s="220"/>
      <c r="BO240" s="220"/>
      <c r="BP240" s="220"/>
      <c r="BQ240" s="220"/>
      <c r="BR240" s="220"/>
      <c r="BS240" s="220"/>
    </row>
    <row r="241" spans="56:78" ht="15" hidden="1" customHeight="1" x14ac:dyDescent="0.2">
      <c r="BD241" s="434">
        <v>0.6</v>
      </c>
      <c r="BE241" s="432"/>
      <c r="BF241" s="432"/>
      <c r="BG241" s="216">
        <f>BG240*BD241</f>
        <v>1080</v>
      </c>
      <c r="BH241" s="432" t="s">
        <v>128</v>
      </c>
      <c r="BI241" s="432"/>
      <c r="BJ241" s="432"/>
      <c r="BK241" s="432"/>
      <c r="BL241" s="432"/>
      <c r="BM241" s="432" t="s">
        <v>129</v>
      </c>
      <c r="BN241" s="432"/>
      <c r="BO241" s="432"/>
      <c r="BP241" s="432"/>
      <c r="BQ241" s="432"/>
      <c r="BR241" s="432"/>
      <c r="BS241" s="432"/>
    </row>
    <row r="242" spans="56:78" ht="15" hidden="1" customHeight="1" x14ac:dyDescent="0.2">
      <c r="BD242" s="432">
        <v>211</v>
      </c>
      <c r="BE242" s="432"/>
      <c r="BF242" s="432"/>
      <c r="BG242" s="216">
        <f>BG241-BG243</f>
        <v>829.49308755760364</v>
      </c>
      <c r="BH242" s="435">
        <f>BG242*0.1</f>
        <v>82.94930875576037</v>
      </c>
      <c r="BI242" s="435"/>
      <c r="BJ242" s="435"/>
      <c r="BK242" s="435"/>
      <c r="BL242" s="435"/>
      <c r="BM242" s="435">
        <f>BG242-BH242</f>
        <v>746.54377880184325</v>
      </c>
      <c r="BN242" s="432"/>
      <c r="BO242" s="432"/>
      <c r="BP242" s="432"/>
      <c r="BQ242" s="432"/>
      <c r="BR242" s="432"/>
      <c r="BS242" s="432"/>
    </row>
    <row r="243" spans="56:78" ht="15" hidden="1" customHeight="1" x14ac:dyDescent="0.2">
      <c r="BD243" s="432">
        <v>213</v>
      </c>
      <c r="BE243" s="432"/>
      <c r="BF243" s="432"/>
      <c r="BG243" s="216">
        <f>BG241*30.2/130.2</f>
        <v>250.50691244239633</v>
      </c>
      <c r="BH243" s="435">
        <f>BH242*30.2%</f>
        <v>25.05069124423963</v>
      </c>
      <c r="BI243" s="435"/>
      <c r="BJ243" s="435"/>
      <c r="BK243" s="435"/>
      <c r="BL243" s="435"/>
      <c r="BM243" s="435">
        <f>BM242*30.2%</f>
        <v>225.45622119815664</v>
      </c>
      <c r="BN243" s="435"/>
      <c r="BO243" s="435"/>
      <c r="BP243" s="435"/>
      <c r="BQ243" s="435"/>
      <c r="BR243" s="435"/>
      <c r="BS243" s="435"/>
    </row>
    <row r="244" spans="56:78" ht="15" hidden="1" customHeight="1" x14ac:dyDescent="0.2"/>
    <row r="245" spans="56:78" ht="15" hidden="1" customHeight="1" x14ac:dyDescent="0.2"/>
    <row r="246" spans="56:78" ht="8.25" hidden="1" customHeight="1" x14ac:dyDescent="0.2"/>
    <row r="247" spans="56:78" ht="15.95" hidden="1" customHeight="1" x14ac:dyDescent="0.25">
      <c r="BD247" s="822" t="s">
        <v>295</v>
      </c>
      <c r="BE247" s="822"/>
      <c r="BF247" s="822"/>
      <c r="BG247" s="822"/>
      <c r="BH247" s="822"/>
      <c r="BI247" s="822"/>
      <c r="BJ247" s="822"/>
      <c r="BK247" s="822"/>
      <c r="BL247" s="822"/>
      <c r="BM247" s="822"/>
      <c r="BN247" s="822"/>
      <c r="BO247" s="822"/>
      <c r="BP247" s="822"/>
      <c r="BQ247" s="822"/>
      <c r="BR247" s="822"/>
      <c r="BS247" s="822"/>
      <c r="BT247" s="822"/>
      <c r="BU247" s="822"/>
      <c r="BV247" s="822"/>
      <c r="BW247" s="822"/>
      <c r="BX247" s="822"/>
      <c r="BY247" s="822"/>
      <c r="BZ247" s="822"/>
    </row>
    <row r="248" spans="56:78" ht="15.95" hidden="1" customHeight="1" x14ac:dyDescent="0.2">
      <c r="BD248" s="432" t="s">
        <v>126</v>
      </c>
      <c r="BE248" s="432"/>
      <c r="BF248" s="432"/>
      <c r="BG248" s="433">
        <f>100*60</f>
        <v>6000</v>
      </c>
      <c r="BH248" s="433"/>
      <c r="BI248" s="433"/>
      <c r="BJ248" s="433"/>
      <c r="BK248" s="433"/>
      <c r="BL248" s="220" t="s">
        <v>127</v>
      </c>
      <c r="BM248" s="220"/>
      <c r="BN248" s="220"/>
      <c r="BO248" s="220"/>
      <c r="BP248" s="220"/>
      <c r="BQ248" s="220"/>
      <c r="BR248" s="220"/>
      <c r="BS248" s="220"/>
    </row>
    <row r="249" spans="56:78" ht="15.95" hidden="1" customHeight="1" x14ac:dyDescent="0.2">
      <c r="BD249" s="434">
        <v>0.6</v>
      </c>
      <c r="BE249" s="432"/>
      <c r="BF249" s="432"/>
      <c r="BG249" s="216">
        <f>BG248*BD249</f>
        <v>3600</v>
      </c>
      <c r="BH249" s="432" t="s">
        <v>128</v>
      </c>
      <c r="BI249" s="432"/>
      <c r="BJ249" s="432"/>
      <c r="BK249" s="432"/>
      <c r="BL249" s="432"/>
      <c r="BM249" s="432" t="s">
        <v>129</v>
      </c>
      <c r="BN249" s="432"/>
      <c r="BO249" s="432"/>
      <c r="BP249" s="432"/>
      <c r="BQ249" s="432"/>
      <c r="BR249" s="432"/>
      <c r="BS249" s="432"/>
    </row>
    <row r="250" spans="56:78" ht="15.95" hidden="1" customHeight="1" x14ac:dyDescent="0.2">
      <c r="BD250" s="432">
        <v>211</v>
      </c>
      <c r="BE250" s="432"/>
      <c r="BF250" s="432"/>
      <c r="BG250" s="216">
        <f>BG249-BG251</f>
        <v>2764.9769585253457</v>
      </c>
      <c r="BH250" s="435">
        <f>BG250*0.1</f>
        <v>276.4976958525346</v>
      </c>
      <c r="BI250" s="435"/>
      <c r="BJ250" s="435"/>
      <c r="BK250" s="435"/>
      <c r="BL250" s="435"/>
      <c r="BM250" s="435">
        <f>BG250-BH250</f>
        <v>2488.4792626728113</v>
      </c>
      <c r="BN250" s="432"/>
      <c r="BO250" s="432"/>
      <c r="BP250" s="432"/>
      <c r="BQ250" s="432"/>
      <c r="BR250" s="432"/>
      <c r="BS250" s="432"/>
    </row>
    <row r="251" spans="56:78" ht="15.95" hidden="1" customHeight="1" x14ac:dyDescent="0.2">
      <c r="BD251" s="432">
        <v>213</v>
      </c>
      <c r="BE251" s="432"/>
      <c r="BF251" s="432"/>
      <c r="BG251" s="216">
        <f>BG249*30.2/130.2</f>
        <v>835.02304147465441</v>
      </c>
      <c r="BH251" s="435">
        <f>BH250*30.2%</f>
        <v>83.502304147465452</v>
      </c>
      <c r="BI251" s="435"/>
      <c r="BJ251" s="435"/>
      <c r="BK251" s="435"/>
      <c r="BL251" s="435"/>
      <c r="BM251" s="435">
        <f>BM250*30.2%</f>
        <v>751.52073732718895</v>
      </c>
      <c r="BN251" s="435"/>
      <c r="BO251" s="435"/>
      <c r="BP251" s="435"/>
      <c r="BQ251" s="435"/>
      <c r="BR251" s="435"/>
      <c r="BS251" s="435"/>
    </row>
    <row r="252" spans="56:78" ht="15.95" hidden="1" customHeight="1" x14ac:dyDescent="0.2"/>
    <row r="253" spans="56:78" ht="15.95" hidden="1" customHeight="1" x14ac:dyDescent="0.2"/>
    <row r="254" spans="56:78" ht="12" hidden="1" x14ac:dyDescent="0.2"/>
    <row r="255" spans="56:78" ht="15.75" x14ac:dyDescent="0.25">
      <c r="BD255" s="822" t="s">
        <v>345</v>
      </c>
      <c r="BE255" s="822"/>
      <c r="BF255" s="822"/>
      <c r="BG255" s="822"/>
      <c r="BH255" s="822"/>
      <c r="BI255" s="822"/>
      <c r="BJ255" s="822"/>
      <c r="BK255" s="822"/>
      <c r="BL255" s="822"/>
      <c r="BM255" s="822"/>
      <c r="BN255" s="822"/>
      <c r="BO255" s="822"/>
      <c r="BP255" s="822"/>
      <c r="BQ255" s="822"/>
      <c r="BR255" s="822"/>
      <c r="BS255" s="822"/>
      <c r="BT255" s="822"/>
      <c r="BU255" s="822"/>
      <c r="BV255" s="822"/>
      <c r="BW255" s="822"/>
      <c r="BX255" s="822"/>
      <c r="BY255" s="822"/>
      <c r="BZ255" s="822"/>
    </row>
    <row r="256" spans="56:78" ht="12" x14ac:dyDescent="0.2">
      <c r="BD256" s="432" t="s">
        <v>126</v>
      </c>
      <c r="BE256" s="432"/>
      <c r="BF256" s="432"/>
      <c r="BG256" s="433">
        <f>120*19</f>
        <v>2280</v>
      </c>
      <c r="BH256" s="433"/>
      <c r="BI256" s="433"/>
      <c r="BJ256" s="433"/>
      <c r="BK256" s="433"/>
      <c r="BL256" s="228" t="s">
        <v>127</v>
      </c>
      <c r="BM256" s="228"/>
      <c r="BN256" s="228"/>
      <c r="BO256" s="228"/>
      <c r="BP256" s="228"/>
      <c r="BQ256" s="228"/>
      <c r="BR256" s="228"/>
      <c r="BS256" s="228"/>
    </row>
    <row r="257" spans="56:106" ht="12" x14ac:dyDescent="0.2">
      <c r="BD257" s="434">
        <v>0.6</v>
      </c>
      <c r="BE257" s="432"/>
      <c r="BF257" s="432"/>
      <c r="BG257" s="216">
        <f>BG256*BD257</f>
        <v>1368</v>
      </c>
      <c r="BH257" s="432" t="s">
        <v>128</v>
      </c>
      <c r="BI257" s="432"/>
      <c r="BJ257" s="432"/>
      <c r="BK257" s="432"/>
      <c r="BL257" s="432"/>
      <c r="BM257" s="432" t="s">
        <v>129</v>
      </c>
      <c r="BN257" s="432"/>
      <c r="BO257" s="432"/>
      <c r="BP257" s="432"/>
      <c r="BQ257" s="432"/>
      <c r="BR257" s="432"/>
      <c r="BS257" s="432"/>
    </row>
    <row r="258" spans="56:106" ht="12" x14ac:dyDescent="0.2">
      <c r="BD258" s="432">
        <v>211</v>
      </c>
      <c r="BE258" s="432"/>
      <c r="BF258" s="432"/>
      <c r="BG258" s="216">
        <f>BG257-BG259</f>
        <v>1050.6912442396313</v>
      </c>
      <c r="BH258" s="436">
        <f>BG258*0.1</f>
        <v>105.06912442396313</v>
      </c>
      <c r="BI258" s="436"/>
      <c r="BJ258" s="436"/>
      <c r="BK258" s="436"/>
      <c r="BL258" s="436"/>
      <c r="BM258" s="435">
        <f>BG258-BH258</f>
        <v>945.62211981566816</v>
      </c>
      <c r="BN258" s="432"/>
      <c r="BO258" s="432"/>
      <c r="BP258" s="432"/>
      <c r="BQ258" s="432"/>
      <c r="BR258" s="432"/>
      <c r="BS258" s="432"/>
    </row>
    <row r="259" spans="56:106" ht="12" x14ac:dyDescent="0.2">
      <c r="BD259" s="432">
        <v>213</v>
      </c>
      <c r="BE259" s="432"/>
      <c r="BF259" s="432"/>
      <c r="BG259" s="216">
        <f>BG257*30.2/130.2</f>
        <v>317.30875576036868</v>
      </c>
      <c r="BH259" s="435">
        <f>BH258*30.2%</f>
        <v>31.730875576036865</v>
      </c>
      <c r="BI259" s="435"/>
      <c r="BJ259" s="435"/>
      <c r="BK259" s="435"/>
      <c r="BL259" s="435"/>
      <c r="BM259" s="435">
        <f>BM258*30.2%</f>
        <v>285.57788018433178</v>
      </c>
      <c r="BN259" s="435"/>
      <c r="BO259" s="435"/>
      <c r="BP259" s="435"/>
      <c r="BQ259" s="435"/>
      <c r="BR259" s="435"/>
      <c r="BS259" s="435"/>
    </row>
    <row r="260" spans="56:106" ht="12" x14ac:dyDescent="0.2"/>
    <row r="261" spans="56:106" ht="12" x14ac:dyDescent="0.2"/>
    <row r="262" spans="56:106" ht="15.75" x14ac:dyDescent="0.25">
      <c r="BD262" s="822" t="s">
        <v>364</v>
      </c>
      <c r="BE262" s="822"/>
      <c r="BF262" s="822"/>
      <c r="BG262" s="822"/>
      <c r="BH262" s="822"/>
      <c r="BI262" s="822"/>
      <c r="BJ262" s="822"/>
      <c r="BK262" s="822"/>
      <c r="BL262" s="822"/>
      <c r="BM262" s="822"/>
      <c r="BN262" s="822"/>
      <c r="BO262" s="822"/>
      <c r="BP262" s="822"/>
      <c r="BQ262" s="822"/>
      <c r="BR262" s="822"/>
      <c r="BS262" s="822"/>
      <c r="BT262" s="822"/>
      <c r="BU262" s="822"/>
      <c r="BV262" s="822"/>
      <c r="BW262" s="822"/>
      <c r="BX262" s="822"/>
      <c r="BY262" s="822"/>
      <c r="BZ262" s="822"/>
      <c r="CM262" s="881" t="s">
        <v>365</v>
      </c>
      <c r="CN262" s="882"/>
      <c r="CO262" s="882"/>
      <c r="CP262" s="882"/>
      <c r="CQ262" s="882"/>
      <c r="CR262" s="882"/>
      <c r="CV262" s="881" t="s">
        <v>366</v>
      </c>
      <c r="CW262" s="441"/>
      <c r="CX262" s="441"/>
      <c r="CY262" s="441"/>
      <c r="CZ262" s="441"/>
      <c r="DA262" s="441"/>
      <c r="DB262" s="441"/>
    </row>
    <row r="263" spans="56:106" ht="15" x14ac:dyDescent="0.25">
      <c r="BD263" s="878" t="s">
        <v>126</v>
      </c>
      <c r="BE263" s="878"/>
      <c r="BF263" s="878"/>
      <c r="BG263" s="883">
        <f>120*17</f>
        <v>2040</v>
      </c>
      <c r="BH263" s="883"/>
      <c r="BI263" s="883"/>
      <c r="BJ263" s="883"/>
      <c r="BK263" s="883"/>
      <c r="BL263" s="233" t="s">
        <v>127</v>
      </c>
      <c r="BM263" s="233"/>
      <c r="BN263" s="233"/>
      <c r="BO263" s="233"/>
      <c r="BP263" s="233"/>
      <c r="BQ263" s="233"/>
      <c r="BR263" s="233"/>
      <c r="BS263" s="233"/>
      <c r="BT263" s="100"/>
      <c r="BU263" s="100"/>
      <c r="BV263" s="100"/>
      <c r="BW263" s="100"/>
      <c r="BX263" s="100"/>
      <c r="BY263" s="100"/>
      <c r="BZ263" s="100"/>
      <c r="CA263" s="100"/>
    </row>
    <row r="264" spans="56:106" ht="15.75" x14ac:dyDescent="0.25">
      <c r="BD264" s="884">
        <v>0.6</v>
      </c>
      <c r="BE264" s="878"/>
      <c r="BF264" s="878"/>
      <c r="BG264" s="234">
        <f>BG263*BD264</f>
        <v>1224</v>
      </c>
      <c r="BH264" s="878" t="s">
        <v>128</v>
      </c>
      <c r="BI264" s="878"/>
      <c r="BJ264" s="878"/>
      <c r="BK264" s="878"/>
      <c r="BL264" s="878"/>
      <c r="BM264" s="878" t="s">
        <v>129</v>
      </c>
      <c r="BN264" s="878"/>
      <c r="BO264" s="878"/>
      <c r="BP264" s="878"/>
      <c r="BQ264" s="878"/>
      <c r="BR264" s="878"/>
      <c r="BS264" s="878"/>
      <c r="BT264" s="100"/>
      <c r="BU264" s="100"/>
      <c r="BV264" s="100"/>
      <c r="BW264" s="100"/>
      <c r="BX264" s="100"/>
      <c r="BY264" s="100"/>
      <c r="BZ264" s="100"/>
      <c r="CA264" s="100"/>
      <c r="CM264" s="885">
        <f>BH265*15/20</f>
        <v>141.01382488479263</v>
      </c>
      <c r="CN264" s="886"/>
      <c r="CO264" s="886"/>
      <c r="CP264" s="886"/>
      <c r="CQ264" s="886"/>
      <c r="CR264" s="886"/>
      <c r="CV264" s="885">
        <f>BH265*5/20+0.01</f>
        <v>47.014608294930873</v>
      </c>
      <c r="CW264" s="886"/>
      <c r="CX264" s="886"/>
      <c r="CY264" s="886"/>
      <c r="CZ264" s="886"/>
      <c r="DA264" s="886"/>
      <c r="DB264" s="886"/>
    </row>
    <row r="265" spans="56:106" ht="15" x14ac:dyDescent="0.25">
      <c r="BD265" s="878">
        <v>211</v>
      </c>
      <c r="BE265" s="878"/>
      <c r="BF265" s="878"/>
      <c r="BG265" s="234">
        <f>BG264-BG266</f>
        <v>940.09216589861751</v>
      </c>
      <c r="BH265" s="879">
        <f>BG265*0.2</f>
        <v>188.0184331797235</v>
      </c>
      <c r="BI265" s="879"/>
      <c r="BJ265" s="879"/>
      <c r="BK265" s="879"/>
      <c r="BL265" s="879"/>
      <c r="BM265" s="880">
        <f>BG265-BH265</f>
        <v>752.07373271889401</v>
      </c>
      <c r="BN265" s="878"/>
      <c r="BO265" s="878"/>
      <c r="BP265" s="878"/>
      <c r="BQ265" s="878"/>
      <c r="BR265" s="878"/>
      <c r="BS265" s="878"/>
      <c r="BT265" s="100"/>
      <c r="BU265" s="100"/>
      <c r="BV265" s="100"/>
      <c r="BW265" s="100"/>
      <c r="BX265" s="100"/>
      <c r="BY265" s="100"/>
      <c r="BZ265" s="100"/>
      <c r="CA265" s="100"/>
    </row>
    <row r="266" spans="56:106" ht="15" x14ac:dyDescent="0.25">
      <c r="BD266" s="878">
        <v>213</v>
      </c>
      <c r="BE266" s="878"/>
      <c r="BF266" s="878"/>
      <c r="BG266" s="234">
        <f>BG264*30.2/130.2</f>
        <v>283.90783410138249</v>
      </c>
      <c r="BH266" s="880">
        <f>BH265*30.2%</f>
        <v>56.781566820276495</v>
      </c>
      <c r="BI266" s="880"/>
      <c r="BJ266" s="880"/>
      <c r="BK266" s="880"/>
      <c r="BL266" s="880"/>
      <c r="BM266" s="880">
        <f>BM265*30.2%</f>
        <v>227.12626728110598</v>
      </c>
      <c r="BN266" s="880"/>
      <c r="BO266" s="880"/>
      <c r="BP266" s="880"/>
      <c r="BQ266" s="880"/>
      <c r="BR266" s="880"/>
      <c r="BS266" s="880"/>
      <c r="BT266" s="100"/>
      <c r="BU266" s="100"/>
      <c r="BV266" s="100"/>
      <c r="BW266" s="100"/>
      <c r="BX266" s="100"/>
      <c r="BY266" s="100"/>
      <c r="BZ266" s="100"/>
      <c r="CA266" s="100"/>
    </row>
    <row r="270" spans="56:106" ht="15.75" x14ac:dyDescent="0.25">
      <c r="BD270" s="822" t="s">
        <v>381</v>
      </c>
      <c r="BE270" s="822"/>
      <c r="BF270" s="822"/>
      <c r="BG270" s="822"/>
      <c r="BH270" s="822"/>
      <c r="BI270" s="822"/>
      <c r="BJ270" s="822"/>
      <c r="BK270" s="822"/>
      <c r="BL270" s="822"/>
      <c r="BM270" s="822"/>
      <c r="BN270" s="822"/>
      <c r="BO270" s="822"/>
      <c r="BP270" s="822"/>
      <c r="BQ270" s="822"/>
      <c r="BR270" s="822"/>
      <c r="BS270" s="822"/>
      <c r="BT270" s="822"/>
      <c r="BU270" s="822"/>
      <c r="BV270" s="822"/>
      <c r="BW270" s="822"/>
      <c r="BX270" s="822"/>
      <c r="BY270" s="822"/>
      <c r="BZ270" s="822"/>
      <c r="CM270" s="881" t="s">
        <v>365</v>
      </c>
      <c r="CN270" s="882"/>
      <c r="CO270" s="882"/>
      <c r="CP270" s="882"/>
      <c r="CQ270" s="882"/>
      <c r="CR270" s="882"/>
      <c r="CV270" s="881" t="s">
        <v>366</v>
      </c>
      <c r="CW270" s="441"/>
      <c r="CX270" s="441"/>
      <c r="CY270" s="441"/>
      <c r="CZ270" s="441"/>
      <c r="DA270" s="441"/>
      <c r="DB270" s="441"/>
    </row>
    <row r="271" spans="56:106" ht="15" x14ac:dyDescent="0.25">
      <c r="BD271" s="878" t="s">
        <v>126</v>
      </c>
      <c r="BE271" s="878"/>
      <c r="BF271" s="878"/>
      <c r="BG271" s="883">
        <f>120*24</f>
        <v>2880</v>
      </c>
      <c r="BH271" s="883"/>
      <c r="BI271" s="883"/>
      <c r="BJ271" s="883"/>
      <c r="BK271" s="883"/>
      <c r="BL271" s="233" t="s">
        <v>127</v>
      </c>
      <c r="BM271" s="233"/>
      <c r="BN271" s="233"/>
      <c r="BO271" s="233"/>
      <c r="BP271" s="233"/>
      <c r="BQ271" s="233"/>
      <c r="BR271" s="233"/>
      <c r="BS271" s="233"/>
      <c r="BT271" s="100"/>
      <c r="BU271" s="100"/>
      <c r="BV271" s="100"/>
      <c r="BW271" s="100"/>
      <c r="BX271" s="100"/>
      <c r="BY271" s="100"/>
      <c r="BZ271" s="100"/>
      <c r="CA271" s="100"/>
    </row>
    <row r="272" spans="56:106" ht="15.75" x14ac:dyDescent="0.25">
      <c r="BD272" s="884">
        <v>0.6</v>
      </c>
      <c r="BE272" s="878"/>
      <c r="BF272" s="878"/>
      <c r="BG272" s="234">
        <f>BG271*BD272</f>
        <v>1728</v>
      </c>
      <c r="BH272" s="878" t="s">
        <v>128</v>
      </c>
      <c r="BI272" s="878"/>
      <c r="BJ272" s="878"/>
      <c r="BK272" s="878"/>
      <c r="BL272" s="878"/>
      <c r="BM272" s="878" t="s">
        <v>129</v>
      </c>
      <c r="BN272" s="878"/>
      <c r="BO272" s="878"/>
      <c r="BP272" s="878"/>
      <c r="BQ272" s="878"/>
      <c r="BR272" s="878"/>
      <c r="BS272" s="878"/>
      <c r="BT272" s="100"/>
      <c r="BU272" s="100"/>
      <c r="BV272" s="100"/>
      <c r="BW272" s="100"/>
      <c r="BX272" s="100"/>
      <c r="BY272" s="100"/>
      <c r="BZ272" s="100"/>
      <c r="CA272" s="100"/>
      <c r="CM272" s="885">
        <f>BH273*15/20-0.01</f>
        <v>199.06834101382489</v>
      </c>
      <c r="CN272" s="886"/>
      <c r="CO272" s="886"/>
      <c r="CP272" s="886"/>
      <c r="CQ272" s="886"/>
      <c r="CR272" s="886"/>
      <c r="CV272" s="885">
        <f>BH273*5/20+0.01</f>
        <v>66.369447004608304</v>
      </c>
      <c r="CW272" s="886"/>
      <c r="CX272" s="886"/>
      <c r="CY272" s="886"/>
      <c r="CZ272" s="886"/>
      <c r="DA272" s="886"/>
      <c r="DB272" s="886"/>
    </row>
    <row r="273" spans="56:106" ht="15" x14ac:dyDescent="0.25">
      <c r="BD273" s="878">
        <v>211</v>
      </c>
      <c r="BE273" s="878"/>
      <c r="BF273" s="878"/>
      <c r="BG273" s="234">
        <f>BG272-BG274</f>
        <v>1327.1889400921659</v>
      </c>
      <c r="BH273" s="879">
        <f>BG273*0.2</f>
        <v>265.4377880184332</v>
      </c>
      <c r="BI273" s="879"/>
      <c r="BJ273" s="879"/>
      <c r="BK273" s="879"/>
      <c r="BL273" s="879"/>
      <c r="BM273" s="880">
        <f>BG273-BH273</f>
        <v>1061.7511520737328</v>
      </c>
      <c r="BN273" s="878"/>
      <c r="BO273" s="878"/>
      <c r="BP273" s="878"/>
      <c r="BQ273" s="878"/>
      <c r="BR273" s="878"/>
      <c r="BS273" s="878"/>
      <c r="BT273" s="100"/>
      <c r="BU273" s="100"/>
      <c r="BV273" s="100"/>
      <c r="BW273" s="100"/>
      <c r="BX273" s="100"/>
      <c r="BY273" s="100"/>
      <c r="BZ273" s="100"/>
      <c r="CA273" s="100"/>
    </row>
    <row r="274" spans="56:106" ht="15" x14ac:dyDescent="0.25">
      <c r="BD274" s="878">
        <v>213</v>
      </c>
      <c r="BE274" s="878"/>
      <c r="BF274" s="878"/>
      <c r="BG274" s="234">
        <f>BG272*30.2/130.2</f>
        <v>400.81105990783414</v>
      </c>
      <c r="BH274" s="880">
        <f>BH273*30.2%</f>
        <v>80.162211981566827</v>
      </c>
      <c r="BI274" s="880"/>
      <c r="BJ274" s="880"/>
      <c r="BK274" s="880"/>
      <c r="BL274" s="880"/>
      <c r="BM274" s="880">
        <f>BM273*30.2%</f>
        <v>320.64884792626731</v>
      </c>
      <c r="BN274" s="880"/>
      <c r="BO274" s="880"/>
      <c r="BP274" s="880"/>
      <c r="BQ274" s="880"/>
      <c r="BR274" s="880"/>
      <c r="BS274" s="880"/>
      <c r="BT274" s="100"/>
      <c r="BU274" s="100"/>
      <c r="BV274" s="100"/>
      <c r="BW274" s="100"/>
      <c r="BX274" s="100"/>
      <c r="BY274" s="100"/>
      <c r="BZ274" s="100"/>
      <c r="CA274" s="100"/>
      <c r="CR274" s="236"/>
    </row>
    <row r="278" spans="56:106" ht="15.75" x14ac:dyDescent="0.25">
      <c r="BD278" s="822" t="s">
        <v>397</v>
      </c>
      <c r="BE278" s="822"/>
      <c r="BF278" s="822"/>
      <c r="BG278" s="822"/>
      <c r="BH278" s="822"/>
      <c r="BI278" s="822"/>
      <c r="BJ278" s="822"/>
      <c r="BK278" s="822"/>
      <c r="BL278" s="822"/>
      <c r="BM278" s="822"/>
      <c r="BN278" s="822"/>
      <c r="BO278" s="822"/>
      <c r="BP278" s="822"/>
      <c r="BQ278" s="822"/>
      <c r="BR278" s="822"/>
      <c r="BS278" s="822"/>
      <c r="BT278" s="822"/>
      <c r="BU278" s="822"/>
      <c r="BV278" s="822"/>
      <c r="BW278" s="822"/>
      <c r="BX278" s="822"/>
      <c r="BY278" s="822"/>
      <c r="BZ278" s="822"/>
      <c r="CM278" s="881" t="s">
        <v>365</v>
      </c>
      <c r="CN278" s="882"/>
      <c r="CO278" s="882"/>
      <c r="CP278" s="882"/>
      <c r="CQ278" s="882"/>
      <c r="CR278" s="882"/>
      <c r="CV278" s="881" t="s">
        <v>366</v>
      </c>
      <c r="CW278" s="441"/>
      <c r="CX278" s="441"/>
      <c r="CY278" s="441"/>
      <c r="CZ278" s="441"/>
      <c r="DA278" s="441"/>
      <c r="DB278" s="441"/>
    </row>
    <row r="279" spans="56:106" ht="15" x14ac:dyDescent="0.25">
      <c r="BD279" s="878" t="s">
        <v>126</v>
      </c>
      <c r="BE279" s="878"/>
      <c r="BF279" s="878"/>
      <c r="BG279" s="883">
        <f>120*10</f>
        <v>1200</v>
      </c>
      <c r="BH279" s="883"/>
      <c r="BI279" s="883"/>
      <c r="BJ279" s="883"/>
      <c r="BK279" s="883"/>
      <c r="BL279" s="233" t="s">
        <v>127</v>
      </c>
      <c r="BM279" s="233"/>
      <c r="BN279" s="233"/>
      <c r="BO279" s="233"/>
      <c r="BP279" s="233"/>
      <c r="BQ279" s="233"/>
      <c r="BR279" s="233"/>
      <c r="BS279" s="233"/>
      <c r="BT279" s="100"/>
      <c r="BU279" s="100"/>
      <c r="BV279" s="100"/>
      <c r="BW279" s="100"/>
      <c r="BX279" s="100"/>
      <c r="BY279" s="100"/>
      <c r="BZ279" s="100"/>
      <c r="CA279" s="100"/>
    </row>
    <row r="280" spans="56:106" ht="15.75" x14ac:dyDescent="0.25">
      <c r="BD280" s="884">
        <v>0.6</v>
      </c>
      <c r="BE280" s="878"/>
      <c r="BF280" s="878"/>
      <c r="BG280" s="234">
        <f>BG279*BD280</f>
        <v>720</v>
      </c>
      <c r="BH280" s="878" t="s">
        <v>128</v>
      </c>
      <c r="BI280" s="878"/>
      <c r="BJ280" s="878"/>
      <c r="BK280" s="878"/>
      <c r="BL280" s="878"/>
      <c r="BM280" s="878" t="s">
        <v>129</v>
      </c>
      <c r="BN280" s="878"/>
      <c r="BO280" s="878"/>
      <c r="BP280" s="878"/>
      <c r="BQ280" s="878"/>
      <c r="BR280" s="878"/>
      <c r="BS280" s="878"/>
      <c r="BT280" s="100"/>
      <c r="BU280" s="100"/>
      <c r="BV280" s="100"/>
      <c r="BW280" s="100"/>
      <c r="BX280" s="100"/>
      <c r="BY280" s="100"/>
      <c r="BZ280" s="100"/>
      <c r="CA280" s="100"/>
      <c r="CM280" s="885">
        <f>BH281*15/20-0.01</f>
        <v>82.939308755760365</v>
      </c>
      <c r="CN280" s="886"/>
      <c r="CO280" s="886"/>
      <c r="CP280" s="886"/>
      <c r="CQ280" s="886"/>
      <c r="CR280" s="886"/>
      <c r="CV280" s="885">
        <f>BH281*5/20+0.01</f>
        <v>27.659769585253457</v>
      </c>
      <c r="CW280" s="886"/>
      <c r="CX280" s="886"/>
      <c r="CY280" s="886"/>
      <c r="CZ280" s="886"/>
      <c r="DA280" s="886"/>
      <c r="DB280" s="886"/>
    </row>
    <row r="281" spans="56:106" ht="15" x14ac:dyDescent="0.25">
      <c r="BD281" s="878">
        <v>211</v>
      </c>
      <c r="BE281" s="878"/>
      <c r="BF281" s="878"/>
      <c r="BG281" s="234">
        <f>BG280-BG282</f>
        <v>552.9953917050691</v>
      </c>
      <c r="BH281" s="879">
        <f>BG281*0.2</f>
        <v>110.59907834101382</v>
      </c>
      <c r="BI281" s="879"/>
      <c r="BJ281" s="879"/>
      <c r="BK281" s="879"/>
      <c r="BL281" s="879"/>
      <c r="BM281" s="880">
        <f>BG281-BH281</f>
        <v>442.39631336405529</v>
      </c>
      <c r="BN281" s="878"/>
      <c r="BO281" s="878"/>
      <c r="BP281" s="878"/>
      <c r="BQ281" s="878"/>
      <c r="BR281" s="878"/>
      <c r="BS281" s="878"/>
      <c r="BT281" s="100"/>
      <c r="BU281" s="100"/>
      <c r="BV281" s="100"/>
      <c r="BW281" s="100"/>
      <c r="BX281" s="100"/>
      <c r="BY281" s="100"/>
      <c r="BZ281" s="100"/>
      <c r="CA281" s="100"/>
    </row>
    <row r="282" spans="56:106" ht="15" x14ac:dyDescent="0.25">
      <c r="BD282" s="878">
        <v>213</v>
      </c>
      <c r="BE282" s="878"/>
      <c r="BF282" s="878"/>
      <c r="BG282" s="234">
        <f>BG280*30.2/130.2</f>
        <v>167.0046082949309</v>
      </c>
      <c r="BH282" s="880">
        <f>BH281*30.2%</f>
        <v>33.400921658986171</v>
      </c>
      <c r="BI282" s="880"/>
      <c r="BJ282" s="880"/>
      <c r="BK282" s="880"/>
      <c r="BL282" s="880"/>
      <c r="BM282" s="880">
        <f>BM281*30.2%</f>
        <v>133.60368663594468</v>
      </c>
      <c r="BN282" s="880"/>
      <c r="BO282" s="880"/>
      <c r="BP282" s="880"/>
      <c r="BQ282" s="880"/>
      <c r="BR282" s="880"/>
      <c r="BS282" s="880"/>
      <c r="BT282" s="100"/>
      <c r="BU282" s="100"/>
      <c r="BV282" s="100"/>
      <c r="BW282" s="100"/>
      <c r="BX282" s="100"/>
      <c r="BY282" s="100"/>
      <c r="BZ282" s="100"/>
      <c r="CA282" s="100"/>
      <c r="CR282" s="236"/>
    </row>
    <row r="286" spans="56:106" ht="15.75" x14ac:dyDescent="0.25">
      <c r="BD286" s="822" t="s">
        <v>407</v>
      </c>
      <c r="BE286" s="822"/>
      <c r="BF286" s="822"/>
      <c r="BG286" s="822"/>
      <c r="BH286" s="822"/>
      <c r="BI286" s="822"/>
      <c r="BJ286" s="822"/>
      <c r="BK286" s="822"/>
      <c r="BL286" s="822"/>
      <c r="BM286" s="822"/>
      <c r="BN286" s="822"/>
      <c r="BO286" s="822"/>
      <c r="BP286" s="822"/>
      <c r="BQ286" s="822"/>
      <c r="BR286" s="822"/>
      <c r="BS286" s="822"/>
      <c r="BT286" s="822"/>
      <c r="BU286" s="822"/>
      <c r="BV286" s="822"/>
      <c r="BW286" s="822"/>
      <c r="BX286" s="822"/>
      <c r="BY286" s="822"/>
      <c r="BZ286" s="822"/>
      <c r="CM286" s="881" t="s">
        <v>365</v>
      </c>
      <c r="CN286" s="882"/>
      <c r="CO286" s="882"/>
      <c r="CP286" s="882"/>
      <c r="CQ286" s="882"/>
      <c r="CR286" s="882"/>
      <c r="CV286" s="881" t="s">
        <v>366</v>
      </c>
      <c r="CW286" s="441"/>
      <c r="CX286" s="441"/>
      <c r="CY286" s="441"/>
      <c r="CZ286" s="441"/>
      <c r="DA286" s="441"/>
      <c r="DB286" s="441"/>
    </row>
    <row r="287" spans="56:106" ht="15" x14ac:dyDescent="0.25">
      <c r="BD287" s="878" t="s">
        <v>126</v>
      </c>
      <c r="BE287" s="878"/>
      <c r="BF287" s="878"/>
      <c r="BG287" s="883">
        <f>120*3</f>
        <v>360</v>
      </c>
      <c r="BH287" s="883"/>
      <c r="BI287" s="883"/>
      <c r="BJ287" s="883"/>
      <c r="BK287" s="883"/>
      <c r="BL287" s="233" t="s">
        <v>127</v>
      </c>
      <c r="BM287" s="233"/>
      <c r="BN287" s="233"/>
      <c r="BO287" s="233"/>
      <c r="BP287" s="233"/>
      <c r="BQ287" s="233"/>
      <c r="BR287" s="233"/>
      <c r="BS287" s="233"/>
      <c r="BT287" s="100"/>
      <c r="BU287" s="100"/>
      <c r="BV287" s="100"/>
      <c r="BW287" s="100"/>
      <c r="BX287" s="100"/>
      <c r="BY287" s="100"/>
      <c r="BZ287" s="100"/>
      <c r="CA287" s="100"/>
    </row>
    <row r="288" spans="56:106" ht="15.75" x14ac:dyDescent="0.25">
      <c r="BD288" s="884">
        <v>0.6</v>
      </c>
      <c r="BE288" s="878"/>
      <c r="BF288" s="878"/>
      <c r="BG288" s="234">
        <f>BG287*BD288</f>
        <v>216</v>
      </c>
      <c r="BH288" s="878" t="s">
        <v>128</v>
      </c>
      <c r="BI288" s="878"/>
      <c r="BJ288" s="878"/>
      <c r="BK288" s="878"/>
      <c r="BL288" s="878"/>
      <c r="BM288" s="878" t="s">
        <v>129</v>
      </c>
      <c r="BN288" s="878"/>
      <c r="BO288" s="878"/>
      <c r="BP288" s="878"/>
      <c r="BQ288" s="878"/>
      <c r="BR288" s="878"/>
      <c r="BS288" s="878"/>
      <c r="BT288" s="100"/>
      <c r="BU288" s="100"/>
      <c r="BV288" s="100"/>
      <c r="BW288" s="100"/>
      <c r="BX288" s="100"/>
      <c r="BY288" s="100"/>
      <c r="BZ288" s="100"/>
      <c r="CA288" s="100"/>
      <c r="CM288" s="885">
        <f>BH289*15/20</f>
        <v>24.88479262672811</v>
      </c>
      <c r="CN288" s="886"/>
      <c r="CO288" s="886"/>
      <c r="CP288" s="886"/>
      <c r="CQ288" s="886"/>
      <c r="CR288" s="886"/>
      <c r="CV288" s="885">
        <f>BH289*5/20+0.01</f>
        <v>8.3049308755760372</v>
      </c>
      <c r="CW288" s="886"/>
      <c r="CX288" s="886"/>
      <c r="CY288" s="886"/>
      <c r="CZ288" s="886"/>
      <c r="DA288" s="886"/>
      <c r="DB288" s="886"/>
    </row>
    <row r="289" spans="56:96" ht="15" x14ac:dyDescent="0.25">
      <c r="BD289" s="878">
        <v>211</v>
      </c>
      <c r="BE289" s="878"/>
      <c r="BF289" s="878"/>
      <c r="BG289" s="234">
        <f>BG288-BG290</f>
        <v>165.89861751152074</v>
      </c>
      <c r="BH289" s="879">
        <f>BG289*0.2</f>
        <v>33.179723502304149</v>
      </c>
      <c r="BI289" s="879"/>
      <c r="BJ289" s="879"/>
      <c r="BK289" s="879"/>
      <c r="BL289" s="879"/>
      <c r="BM289" s="880">
        <f>BG289-BH289</f>
        <v>132.7188940092166</v>
      </c>
      <c r="BN289" s="878"/>
      <c r="BO289" s="878"/>
      <c r="BP289" s="878"/>
      <c r="BQ289" s="878"/>
      <c r="BR289" s="878"/>
      <c r="BS289" s="878"/>
      <c r="BT289" s="100"/>
      <c r="BU289" s="100"/>
      <c r="BV289" s="100"/>
      <c r="BW289" s="100"/>
      <c r="BX289" s="100"/>
      <c r="BY289" s="100"/>
      <c r="BZ289" s="100"/>
      <c r="CA289" s="100"/>
    </row>
    <row r="290" spans="56:96" ht="15" x14ac:dyDescent="0.25">
      <c r="BD290" s="878">
        <v>213</v>
      </c>
      <c r="BE290" s="878"/>
      <c r="BF290" s="878"/>
      <c r="BG290" s="234">
        <f>BG288*30.2/130.2</f>
        <v>50.101382488479267</v>
      </c>
      <c r="BH290" s="880">
        <f>BH289*30.2%</f>
        <v>10.020276497695853</v>
      </c>
      <c r="BI290" s="880"/>
      <c r="BJ290" s="880"/>
      <c r="BK290" s="880"/>
      <c r="BL290" s="880"/>
      <c r="BM290" s="880">
        <f>BM289*30.2%</f>
        <v>40.081105990783414</v>
      </c>
      <c r="BN290" s="880"/>
      <c r="BO290" s="880"/>
      <c r="BP290" s="880"/>
      <c r="BQ290" s="880"/>
      <c r="BR290" s="880"/>
      <c r="BS290" s="880"/>
      <c r="BT290" s="100"/>
      <c r="BU290" s="100"/>
      <c r="BV290" s="100"/>
      <c r="BW290" s="100"/>
      <c r="BX290" s="100"/>
      <c r="BY290" s="100"/>
      <c r="BZ290" s="100"/>
      <c r="CA290" s="100"/>
      <c r="CR290" s="236"/>
    </row>
    <row r="298" spans="56:96" ht="15" x14ac:dyDescent="0.25">
      <c r="BG298" s="253">
        <f>BH258+CV264+CV272+CV280+CV288</f>
        <v>254.41788018433181</v>
      </c>
    </row>
  </sheetData>
  <mergeCells count="640">
    <mergeCell ref="BD273:BF273"/>
    <mergeCell ref="BH273:BL273"/>
    <mergeCell ref="BM273:BS273"/>
    <mergeCell ref="BD274:BF274"/>
    <mergeCell ref="BH274:BL274"/>
    <mergeCell ref="BM274:BS274"/>
    <mergeCell ref="BD270:BZ270"/>
    <mergeCell ref="CM270:CR270"/>
    <mergeCell ref="CV270:DB270"/>
    <mergeCell ref="BD271:BF271"/>
    <mergeCell ref="BG271:BK271"/>
    <mergeCell ref="BD272:BF272"/>
    <mergeCell ref="BH272:BL272"/>
    <mergeCell ref="BM272:BS272"/>
    <mergeCell ref="CM272:CR272"/>
    <mergeCell ref="CV272:DB272"/>
    <mergeCell ref="BD266:BF266"/>
    <mergeCell ref="BH266:BL266"/>
    <mergeCell ref="BM266:BS266"/>
    <mergeCell ref="CM262:CR262"/>
    <mergeCell ref="CM264:CR264"/>
    <mergeCell ref="CV262:DB262"/>
    <mergeCell ref="CV264:DB264"/>
    <mergeCell ref="BD262:BZ262"/>
    <mergeCell ref="BD263:BF263"/>
    <mergeCell ref="BG263:BK263"/>
    <mergeCell ref="BD264:BF264"/>
    <mergeCell ref="BH264:BL264"/>
    <mergeCell ref="BM264:BS264"/>
    <mergeCell ref="BD265:BF265"/>
    <mergeCell ref="BH265:BL265"/>
    <mergeCell ref="BM265:BS265"/>
    <mergeCell ref="BD259:BF259"/>
    <mergeCell ref="BH259:BL259"/>
    <mergeCell ref="BM259:BS259"/>
    <mergeCell ref="BD255:BZ255"/>
    <mergeCell ref="BD256:BF256"/>
    <mergeCell ref="BG256:BK256"/>
    <mergeCell ref="BD257:BF257"/>
    <mergeCell ref="BH257:BL257"/>
    <mergeCell ref="BM257:BS257"/>
    <mergeCell ref="BD258:BF258"/>
    <mergeCell ref="BH258:BL258"/>
    <mergeCell ref="BM258:BS258"/>
    <mergeCell ref="BD235:BF235"/>
    <mergeCell ref="BH235:BL235"/>
    <mergeCell ref="BM235:BS235"/>
    <mergeCell ref="BD231:BZ231"/>
    <mergeCell ref="BD232:BF232"/>
    <mergeCell ref="BG232:BK232"/>
    <mergeCell ref="BD233:BF233"/>
    <mergeCell ref="BH233:BL233"/>
    <mergeCell ref="BM233:BS233"/>
    <mergeCell ref="BD234:BF234"/>
    <mergeCell ref="BH234:BL234"/>
    <mergeCell ref="BM234:BS234"/>
    <mergeCell ref="BD227:BF227"/>
    <mergeCell ref="BH227:BL227"/>
    <mergeCell ref="BM227:BS227"/>
    <mergeCell ref="BD223:BZ223"/>
    <mergeCell ref="BD224:BF224"/>
    <mergeCell ref="BG224:BK224"/>
    <mergeCell ref="BD225:BF225"/>
    <mergeCell ref="BH225:BL225"/>
    <mergeCell ref="BM225:BS225"/>
    <mergeCell ref="BD226:BF226"/>
    <mergeCell ref="BH226:BL226"/>
    <mergeCell ref="BM226:BS226"/>
    <mergeCell ref="BD219:BF219"/>
    <mergeCell ref="BH219:BL219"/>
    <mergeCell ref="BM219:BS219"/>
    <mergeCell ref="BD215:BZ215"/>
    <mergeCell ref="BD216:BF216"/>
    <mergeCell ref="BG216:BK216"/>
    <mergeCell ref="BD217:BF217"/>
    <mergeCell ref="BH217:BL217"/>
    <mergeCell ref="BM217:BS217"/>
    <mergeCell ref="BD218:BF218"/>
    <mergeCell ref="BH218:BL218"/>
    <mergeCell ref="BM218:BS218"/>
    <mergeCell ref="BD204:BF204"/>
    <mergeCell ref="BH204:BL204"/>
    <mergeCell ref="BM204:BS204"/>
    <mergeCell ref="BD200:BZ200"/>
    <mergeCell ref="BD201:BF201"/>
    <mergeCell ref="BG201:BK201"/>
    <mergeCell ref="BD202:BF202"/>
    <mergeCell ref="BH202:BL202"/>
    <mergeCell ref="BM202:BS202"/>
    <mergeCell ref="BD203:BF203"/>
    <mergeCell ref="BH203:BL203"/>
    <mergeCell ref="BM203:BS203"/>
    <mergeCell ref="BD196:BF196"/>
    <mergeCell ref="BH196:BL196"/>
    <mergeCell ref="BM196:BS196"/>
    <mergeCell ref="BD192:BZ192"/>
    <mergeCell ref="BD193:BF193"/>
    <mergeCell ref="BG193:BK193"/>
    <mergeCell ref="BD194:BF194"/>
    <mergeCell ref="BH194:BL194"/>
    <mergeCell ref="BM194:BS194"/>
    <mergeCell ref="BD195:BF195"/>
    <mergeCell ref="BH195:BL195"/>
    <mergeCell ref="BM195:BS195"/>
    <mergeCell ref="BD175:BF175"/>
    <mergeCell ref="BH175:BL175"/>
    <mergeCell ref="BM175:BS175"/>
    <mergeCell ref="BD171:BZ171"/>
    <mergeCell ref="BD172:BF172"/>
    <mergeCell ref="BG172:BK172"/>
    <mergeCell ref="BD173:BF173"/>
    <mergeCell ref="BH173:BL173"/>
    <mergeCell ref="BM173:BS173"/>
    <mergeCell ref="BD174:BF174"/>
    <mergeCell ref="BH174:BL174"/>
    <mergeCell ref="BM174:BS174"/>
    <mergeCell ref="BD167:BF167"/>
    <mergeCell ref="BH167:BL167"/>
    <mergeCell ref="BM167:BS167"/>
    <mergeCell ref="BD163:BZ163"/>
    <mergeCell ref="BD164:BF164"/>
    <mergeCell ref="BG164:BK164"/>
    <mergeCell ref="BD165:BF165"/>
    <mergeCell ref="BH165:BL165"/>
    <mergeCell ref="BM165:BS165"/>
    <mergeCell ref="BD166:BF166"/>
    <mergeCell ref="BH166:BL166"/>
    <mergeCell ref="BM166:BS166"/>
    <mergeCell ref="B154:S155"/>
    <mergeCell ref="AM154:BC155"/>
    <mergeCell ref="AD150:AI150"/>
    <mergeCell ref="AJ150:AP150"/>
    <mergeCell ref="AQ150:AT150"/>
    <mergeCell ref="AU150:AX150"/>
    <mergeCell ref="AY150:BB150"/>
    <mergeCell ref="BC151:BD151"/>
    <mergeCell ref="A150:G150"/>
    <mergeCell ref="H150:L150"/>
    <mergeCell ref="M150:Q150"/>
    <mergeCell ref="R150:U150"/>
    <mergeCell ref="V150:Y150"/>
    <mergeCell ref="Z150:AC150"/>
    <mergeCell ref="BC152:BD152"/>
    <mergeCell ref="B153:S153"/>
    <mergeCell ref="BC153:BD153"/>
    <mergeCell ref="BD155:BZ155"/>
    <mergeCell ref="AY148:BB148"/>
    <mergeCell ref="A149:F149"/>
    <mergeCell ref="H149:L149"/>
    <mergeCell ref="M149:Q149"/>
    <mergeCell ref="R149:U149"/>
    <mergeCell ref="V149:Y149"/>
    <mergeCell ref="Z149:AC149"/>
    <mergeCell ref="AD149:AI149"/>
    <mergeCell ref="AJ149:AP149"/>
    <mergeCell ref="AQ149:AT149"/>
    <mergeCell ref="AU149:AX149"/>
    <mergeCell ref="AY149:BB149"/>
    <mergeCell ref="M146:Q146"/>
    <mergeCell ref="AD146:AI146"/>
    <mergeCell ref="AJ146:AP146"/>
    <mergeCell ref="AQ146:AT146"/>
    <mergeCell ref="AU146:AX146"/>
    <mergeCell ref="AY146:BB146"/>
    <mergeCell ref="AU147:AX147"/>
    <mergeCell ref="AY147:BB147"/>
    <mergeCell ref="A148:G148"/>
    <mergeCell ref="H148:L148"/>
    <mergeCell ref="M148:Q148"/>
    <mergeCell ref="R148:U148"/>
    <mergeCell ref="V148:Y148"/>
    <mergeCell ref="Z148:AC148"/>
    <mergeCell ref="AD148:AI148"/>
    <mergeCell ref="AJ148:AP148"/>
    <mergeCell ref="A147:G147"/>
    <mergeCell ref="H147:L147"/>
    <mergeCell ref="M147:Q147"/>
    <mergeCell ref="AD147:AI147"/>
    <mergeCell ref="AJ147:AP147"/>
    <mergeCell ref="AQ147:AT147"/>
    <mergeCell ref="AQ148:AT148"/>
    <mergeCell ref="AU148:AX148"/>
    <mergeCell ref="A141:G142"/>
    <mergeCell ref="AU143:AX143"/>
    <mergeCell ref="AY143:BB143"/>
    <mergeCell ref="A144:G144"/>
    <mergeCell ref="H144:L144"/>
    <mergeCell ref="M144:Q144"/>
    <mergeCell ref="R144:U147"/>
    <mergeCell ref="V144:Y147"/>
    <mergeCell ref="Z144:AC147"/>
    <mergeCell ref="AD144:AI144"/>
    <mergeCell ref="AJ144:AP144"/>
    <mergeCell ref="AQ144:AT144"/>
    <mergeCell ref="AU144:AX144"/>
    <mergeCell ref="AY144:BB144"/>
    <mergeCell ref="A145:G145"/>
    <mergeCell ref="H145:L145"/>
    <mergeCell ref="M145:Q145"/>
    <mergeCell ref="AD145:AI145"/>
    <mergeCell ref="AJ145:AP145"/>
    <mergeCell ref="AQ145:AT145"/>
    <mergeCell ref="AU145:AX145"/>
    <mergeCell ref="AY145:BB145"/>
    <mergeCell ref="A146:G146"/>
    <mergeCell ref="H146:L146"/>
    <mergeCell ref="A143:G143"/>
    <mergeCell ref="H143:L143"/>
    <mergeCell ref="M143:Q143"/>
    <mergeCell ref="R143:U143"/>
    <mergeCell ref="V143:Y143"/>
    <mergeCell ref="Z143:AC143"/>
    <mergeCell ref="AD143:AI143"/>
    <mergeCell ref="AJ143:AP143"/>
    <mergeCell ref="AQ143:AT143"/>
    <mergeCell ref="AD141:AP141"/>
    <mergeCell ref="AQ141:AT141"/>
    <mergeCell ref="AU141:AX141"/>
    <mergeCell ref="AY141:BB141"/>
    <mergeCell ref="H142:L142"/>
    <mergeCell ref="M142:Q142"/>
    <mergeCell ref="AD142:AI142"/>
    <mergeCell ref="AJ142:AP142"/>
    <mergeCell ref="AQ142:AT142"/>
    <mergeCell ref="AU142:AX142"/>
    <mergeCell ref="H141:L141"/>
    <mergeCell ref="M141:Q141"/>
    <mergeCell ref="R141:U142"/>
    <mergeCell ref="V141:Y142"/>
    <mergeCell ref="Z141:AC142"/>
    <mergeCell ref="AY142:BB142"/>
    <mergeCell ref="A137:Z137"/>
    <mergeCell ref="AA137:AF137"/>
    <mergeCell ref="AG137:AL137"/>
    <mergeCell ref="AM137:AT137"/>
    <mergeCell ref="AU137:BB137"/>
    <mergeCell ref="A134:Z134"/>
    <mergeCell ref="AA134:AF134"/>
    <mergeCell ref="AU134:BB134"/>
    <mergeCell ref="A135:Z135"/>
    <mergeCell ref="AA135:AF135"/>
    <mergeCell ref="AU135:BB135"/>
    <mergeCell ref="A132:Z132"/>
    <mergeCell ref="AA132:AF132"/>
    <mergeCell ref="AU132:BB132"/>
    <mergeCell ref="A133:Z133"/>
    <mergeCell ref="AA133:AF133"/>
    <mergeCell ref="AU133:BB133"/>
    <mergeCell ref="A130:Z130"/>
    <mergeCell ref="AA130:AF130"/>
    <mergeCell ref="AG130:AL130"/>
    <mergeCell ref="AM130:AT130"/>
    <mergeCell ref="AU130:BB130"/>
    <mergeCell ref="A131:Z131"/>
    <mergeCell ref="AA131:AF131"/>
    <mergeCell ref="AG131:AL136"/>
    <mergeCell ref="AM131:AT136"/>
    <mergeCell ref="AU131:BB131"/>
    <mergeCell ref="A136:Z136"/>
    <mergeCell ref="AA136:AF136"/>
    <mergeCell ref="AU136:BB136"/>
    <mergeCell ref="A125:Z125"/>
    <mergeCell ref="AA125:AF125"/>
    <mergeCell ref="AG125:AL125"/>
    <mergeCell ref="AM125:AT125"/>
    <mergeCell ref="AU125:BB125"/>
    <mergeCell ref="A129:Z129"/>
    <mergeCell ref="AA129:AF129"/>
    <mergeCell ref="AG129:AL129"/>
    <mergeCell ref="AM129:AT129"/>
    <mergeCell ref="AU129:BB129"/>
    <mergeCell ref="A123:Z123"/>
    <mergeCell ref="AA123:AF123"/>
    <mergeCell ref="AU123:BB123"/>
    <mergeCell ref="A124:Z124"/>
    <mergeCell ref="AA124:AF124"/>
    <mergeCell ref="AU124:BB124"/>
    <mergeCell ref="A121:Z121"/>
    <mergeCell ref="AA121:AF121"/>
    <mergeCell ref="AU121:BB121"/>
    <mergeCell ref="A122:Z122"/>
    <mergeCell ref="AA122:AF122"/>
    <mergeCell ref="AU122:BB122"/>
    <mergeCell ref="A119:Z119"/>
    <mergeCell ref="AA119:AF119"/>
    <mergeCell ref="AU119:BB119"/>
    <mergeCell ref="A120:Z120"/>
    <mergeCell ref="AA120:AF120"/>
    <mergeCell ref="AU120:BB120"/>
    <mergeCell ref="A117:Z117"/>
    <mergeCell ref="AA117:AF117"/>
    <mergeCell ref="AU117:BB117"/>
    <mergeCell ref="A118:Z118"/>
    <mergeCell ref="AA118:AF118"/>
    <mergeCell ref="AU118:BB118"/>
    <mergeCell ref="AU110:BB110"/>
    <mergeCell ref="A115:Z115"/>
    <mergeCell ref="AA115:AF115"/>
    <mergeCell ref="AU115:BB115"/>
    <mergeCell ref="A116:Z116"/>
    <mergeCell ref="AA116:AF116"/>
    <mergeCell ref="AU116:BB116"/>
    <mergeCell ref="A113:Z113"/>
    <mergeCell ref="AA113:AF113"/>
    <mergeCell ref="AU113:BB113"/>
    <mergeCell ref="A114:Z114"/>
    <mergeCell ref="AA114:AF114"/>
    <mergeCell ref="AU114:BB114"/>
    <mergeCell ref="A108:Z108"/>
    <mergeCell ref="AA108:AF108"/>
    <mergeCell ref="AU108:BB108"/>
    <mergeCell ref="A104:Z104"/>
    <mergeCell ref="AA104:AF104"/>
    <mergeCell ref="AG104:AL124"/>
    <mergeCell ref="AM104:AT124"/>
    <mergeCell ref="AU104:BB104"/>
    <mergeCell ref="A105:Z105"/>
    <mergeCell ref="AA105:AF105"/>
    <mergeCell ref="AU105:BB105"/>
    <mergeCell ref="A106:Z106"/>
    <mergeCell ref="AA106:AF106"/>
    <mergeCell ref="A111:Z111"/>
    <mergeCell ref="AA111:AF111"/>
    <mergeCell ref="AU111:BB111"/>
    <mergeCell ref="A112:Z112"/>
    <mergeCell ref="AA112:AF112"/>
    <mergeCell ref="AU112:BB112"/>
    <mergeCell ref="A109:Z109"/>
    <mergeCell ref="AA109:AF109"/>
    <mergeCell ref="AU109:BB109"/>
    <mergeCell ref="A110:Z110"/>
    <mergeCell ref="AA110:AF110"/>
    <mergeCell ref="A103:Z103"/>
    <mergeCell ref="AA103:AF103"/>
    <mergeCell ref="AG103:AL103"/>
    <mergeCell ref="AM103:AT103"/>
    <mergeCell ref="AU103:BB103"/>
    <mergeCell ref="AU106:BB106"/>
    <mergeCell ref="A107:Z107"/>
    <mergeCell ref="AA107:AF107"/>
    <mergeCell ref="AU107:BB107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O84:AR84"/>
    <mergeCell ref="AS84:AW84"/>
    <mergeCell ref="AX84:BB84"/>
    <mergeCell ref="A86:N86"/>
    <mergeCell ref="O86:AN86"/>
    <mergeCell ref="AO86:AU86"/>
    <mergeCell ref="AV86:BB86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X78:BB82"/>
    <mergeCell ref="H79:M79"/>
    <mergeCell ref="N79:P79"/>
    <mergeCell ref="R79:V79"/>
    <mergeCell ref="I81:K81"/>
    <mergeCell ref="M81:O81"/>
    <mergeCell ref="Q81:S81"/>
    <mergeCell ref="AS83:AW83"/>
    <mergeCell ref="AX83:BB83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AX73:BB77"/>
    <mergeCell ref="H74:M74"/>
    <mergeCell ref="N74:P74"/>
    <mergeCell ref="R74:V74"/>
    <mergeCell ref="I76:K76"/>
    <mergeCell ref="AH68:AM72"/>
    <mergeCell ref="AN68:AR72"/>
    <mergeCell ref="AS68:AW72"/>
    <mergeCell ref="AX68:BB72"/>
    <mergeCell ref="H69:M69"/>
    <mergeCell ref="N69:P69"/>
    <mergeCell ref="R69:V69"/>
    <mergeCell ref="I71:K71"/>
    <mergeCell ref="M71:O71"/>
    <mergeCell ref="Q71:S71"/>
    <mergeCell ref="M76:O76"/>
    <mergeCell ref="Q76:S76"/>
    <mergeCell ref="U76:W76"/>
    <mergeCell ref="Z76:AB76"/>
    <mergeCell ref="A68:G72"/>
    <mergeCell ref="AC68:AG72"/>
    <mergeCell ref="U71:W71"/>
    <mergeCell ref="Z71:AB71"/>
    <mergeCell ref="A63:G67"/>
    <mergeCell ref="AC63:AG67"/>
    <mergeCell ref="AH73:AM77"/>
    <mergeCell ref="AN73:AR77"/>
    <mergeCell ref="AS73:AW77"/>
    <mergeCell ref="AH63:AM67"/>
    <mergeCell ref="AN63:AR67"/>
    <mergeCell ref="AS63:AW67"/>
    <mergeCell ref="AX63:BB67"/>
    <mergeCell ref="H64:M64"/>
    <mergeCell ref="N64:P64"/>
    <mergeCell ref="R64:V64"/>
    <mergeCell ref="I66:K66"/>
    <mergeCell ref="R59:V59"/>
    <mergeCell ref="I61:K61"/>
    <mergeCell ref="M61:O61"/>
    <mergeCell ref="Q61:S61"/>
    <mergeCell ref="U61:W61"/>
    <mergeCell ref="Z61:AB61"/>
    <mergeCell ref="M66:O66"/>
    <mergeCell ref="Q66:S66"/>
    <mergeCell ref="U66:W66"/>
    <mergeCell ref="Z66:AB66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H51:K51"/>
    <mergeCell ref="AS51:AW51"/>
    <mergeCell ref="AX51:BB51"/>
    <mergeCell ref="AO52:AR52"/>
    <mergeCell ref="AS52:AW52"/>
    <mergeCell ref="AX52:BB52"/>
    <mergeCell ref="AX37:BB39"/>
    <mergeCell ref="A40:BB4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37:G39"/>
    <mergeCell ref="H37:AB39"/>
    <mergeCell ref="AC37:AG39"/>
    <mergeCell ref="AH37:AM39"/>
    <mergeCell ref="AN37:AR39"/>
    <mergeCell ref="AS37:AW39"/>
    <mergeCell ref="AO35:AR35"/>
    <mergeCell ref="AS35:AW35"/>
    <mergeCell ref="AX35:BB35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AX19:BB19"/>
    <mergeCell ref="A20:G22"/>
    <mergeCell ref="H20:AB22"/>
    <mergeCell ref="AC20:AG22"/>
    <mergeCell ref="AH20:AM22"/>
    <mergeCell ref="AN20:AR22"/>
    <mergeCell ref="AS20:AW22"/>
    <mergeCell ref="AX20:BB22"/>
    <mergeCell ref="H34:M34"/>
    <mergeCell ref="AS34:AW34"/>
    <mergeCell ref="AX34:BB34"/>
    <mergeCell ref="A12:S12"/>
    <mergeCell ref="U12:W12"/>
    <mergeCell ref="A14:S14"/>
    <mergeCell ref="U14:W14"/>
    <mergeCell ref="A16:S16"/>
    <mergeCell ref="U16:W16"/>
    <mergeCell ref="A7:BA7"/>
    <mergeCell ref="A8:BA8"/>
    <mergeCell ref="C10:E10"/>
    <mergeCell ref="G10:L10"/>
    <mergeCell ref="N10:Q10"/>
    <mergeCell ref="AH10:AI10"/>
    <mergeCell ref="AJ10:AL10"/>
    <mergeCell ref="AN10:AT10"/>
    <mergeCell ref="AV10:AY10"/>
    <mergeCell ref="Y16:AA16"/>
    <mergeCell ref="BD156:BF156"/>
    <mergeCell ref="BG156:BK156"/>
    <mergeCell ref="BD157:BF157"/>
    <mergeCell ref="BH157:BL157"/>
    <mergeCell ref="BM157:BS157"/>
    <mergeCell ref="BD158:BF158"/>
    <mergeCell ref="BH158:BL158"/>
    <mergeCell ref="BM158:BS158"/>
    <mergeCell ref="BD159:BF159"/>
    <mergeCell ref="BH159:BL159"/>
    <mergeCell ref="BM159:BS159"/>
    <mergeCell ref="BD182:BF182"/>
    <mergeCell ref="BH182:BL182"/>
    <mergeCell ref="BM182:BS182"/>
    <mergeCell ref="BD178:BZ178"/>
    <mergeCell ref="BD179:BF179"/>
    <mergeCell ref="BG179:BK179"/>
    <mergeCell ref="BD180:BF180"/>
    <mergeCell ref="BH180:BL180"/>
    <mergeCell ref="BM180:BS180"/>
    <mergeCell ref="BD181:BF181"/>
    <mergeCell ref="BH181:BL181"/>
    <mergeCell ref="BM181:BS181"/>
    <mergeCell ref="BE191:BG191"/>
    <mergeCell ref="BI191:BM191"/>
    <mergeCell ref="BN191:BT191"/>
    <mergeCell ref="BE187:CA187"/>
    <mergeCell ref="BE188:BG188"/>
    <mergeCell ref="BH188:BL188"/>
    <mergeCell ref="BE189:BG189"/>
    <mergeCell ref="BI189:BM189"/>
    <mergeCell ref="BN189:BT189"/>
    <mergeCell ref="BE190:BG190"/>
    <mergeCell ref="BI190:BM190"/>
    <mergeCell ref="BN190:BT190"/>
    <mergeCell ref="BD211:BF211"/>
    <mergeCell ref="BH211:BL211"/>
    <mergeCell ref="BM211:BS211"/>
    <mergeCell ref="BD207:BZ207"/>
    <mergeCell ref="BD208:BF208"/>
    <mergeCell ref="BG208:BK208"/>
    <mergeCell ref="BD209:BF209"/>
    <mergeCell ref="BH209:BL209"/>
    <mergeCell ref="BM209:BS209"/>
    <mergeCell ref="BD210:BF210"/>
    <mergeCell ref="BH210:BL210"/>
    <mergeCell ref="BM210:BS210"/>
    <mergeCell ref="BD243:BF243"/>
    <mergeCell ref="BH243:BL243"/>
    <mergeCell ref="BM243:BS243"/>
    <mergeCell ref="BD239:BZ239"/>
    <mergeCell ref="BD240:BF240"/>
    <mergeCell ref="BG240:BK240"/>
    <mergeCell ref="BD241:BF241"/>
    <mergeCell ref="BH241:BL241"/>
    <mergeCell ref="BM241:BS241"/>
    <mergeCell ref="BD242:BF242"/>
    <mergeCell ref="BH242:BL242"/>
    <mergeCell ref="BM242:BS242"/>
    <mergeCell ref="BD251:BF251"/>
    <mergeCell ref="BH251:BL251"/>
    <mergeCell ref="BM251:BS251"/>
    <mergeCell ref="BD247:BZ247"/>
    <mergeCell ref="BD248:BF248"/>
    <mergeCell ref="BG248:BK248"/>
    <mergeCell ref="BD249:BF249"/>
    <mergeCell ref="BH249:BL249"/>
    <mergeCell ref="BM249:BS249"/>
    <mergeCell ref="BD250:BF250"/>
    <mergeCell ref="BH250:BL250"/>
    <mergeCell ref="BM250:BS250"/>
    <mergeCell ref="BD281:BF281"/>
    <mergeCell ref="BH281:BL281"/>
    <mergeCell ref="BM281:BS281"/>
    <mergeCell ref="BD282:BF282"/>
    <mergeCell ref="BH282:BL282"/>
    <mergeCell ref="BM282:BS282"/>
    <mergeCell ref="BD278:BZ278"/>
    <mergeCell ref="CM278:CR278"/>
    <mergeCell ref="CV278:DB278"/>
    <mergeCell ref="BD279:BF279"/>
    <mergeCell ref="BG279:BK279"/>
    <mergeCell ref="BD280:BF280"/>
    <mergeCell ref="BH280:BL280"/>
    <mergeCell ref="BM280:BS280"/>
    <mergeCell ref="CM280:CR280"/>
    <mergeCell ref="CV280:DB280"/>
    <mergeCell ref="BD289:BF289"/>
    <mergeCell ref="BH289:BL289"/>
    <mergeCell ref="BM289:BS289"/>
    <mergeCell ref="BD290:BF290"/>
    <mergeCell ref="BH290:BL290"/>
    <mergeCell ref="BM290:BS290"/>
    <mergeCell ref="BD286:BZ286"/>
    <mergeCell ref="CM286:CR286"/>
    <mergeCell ref="CV286:DB286"/>
    <mergeCell ref="BD287:BF287"/>
    <mergeCell ref="BG287:BK287"/>
    <mergeCell ref="BD288:BF288"/>
    <mergeCell ref="BH288:BL288"/>
    <mergeCell ref="BM288:BS288"/>
    <mergeCell ref="CM288:CR288"/>
    <mergeCell ref="CV288:DB288"/>
  </mergeCells>
  <pageMargins left="0" right="0" top="0" bottom="0" header="0.31496062992125984" footer="0.31496062992125984"/>
  <pageSetup paperSize="9" scale="80" fitToHeight="0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CT432"/>
  <sheetViews>
    <sheetView topLeftCell="A147" zoomScaleNormal="100" workbookViewId="0">
      <selection activeCell="CD431" sqref="CD431:CK431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5" width="1.85546875" style="117"/>
    <col min="26" max="26" width="9.85546875" style="117" bestFit="1" customWidth="1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6.7109375" style="117" customWidth="1"/>
    <col min="49" max="51" width="1.85546875" style="117"/>
    <col min="52" max="52" width="2.28515625" style="117" customWidth="1"/>
    <col min="53" max="53" width="1.85546875" style="117"/>
    <col min="54" max="54" width="4.42578125" style="117" customWidth="1"/>
    <col min="55" max="55" width="4.5703125" style="117" customWidth="1"/>
    <col min="56" max="56" width="1.5703125" style="117" customWidth="1"/>
    <col min="57" max="57" width="11.7109375" style="117" customWidth="1"/>
    <col min="58" max="58" width="9.85546875" style="117" customWidth="1"/>
    <col min="59" max="59" width="6.42578125" style="117" customWidth="1"/>
    <col min="60" max="60" width="6.85546875" style="117" customWidth="1"/>
    <col min="61" max="61" width="6.28515625" style="117" customWidth="1"/>
    <col min="62" max="73" width="1.85546875" style="117"/>
    <col min="74" max="74" width="0.85546875" style="117" customWidth="1"/>
    <col min="75" max="76" width="1.85546875" style="117"/>
    <col min="77" max="77" width="0.140625" style="117" customWidth="1"/>
    <col min="78" max="89" width="1.85546875" style="117"/>
    <col min="90" max="90" width="5.7109375" style="117" bestFit="1" customWidth="1"/>
    <col min="91" max="16384" width="1.85546875" style="117"/>
  </cols>
  <sheetData>
    <row r="1" spans="1:55" s="100" customFormat="1" ht="15" customHeight="1" x14ac:dyDescent="0.25">
      <c r="AW1" s="100" t="s">
        <v>83</v>
      </c>
    </row>
    <row r="2" spans="1:55" s="100" customFormat="1" ht="15" x14ac:dyDescent="0.25">
      <c r="AQ2" s="440" t="s">
        <v>679</v>
      </c>
      <c r="AR2" s="441"/>
      <c r="AS2" s="441"/>
      <c r="AT2" s="441"/>
      <c r="AU2" s="441"/>
      <c r="AV2" s="441"/>
      <c r="AW2" s="441"/>
      <c r="AX2" s="441"/>
      <c r="AY2" s="441"/>
      <c r="AZ2" s="441"/>
      <c r="BA2" s="441"/>
      <c r="BB2" s="441"/>
      <c r="BC2" s="441"/>
    </row>
    <row r="3" spans="1:55" s="100" customFormat="1" ht="15" customHeight="1" x14ac:dyDescent="0.25">
      <c r="AQ3" s="100" t="s">
        <v>91</v>
      </c>
    </row>
    <row r="4" spans="1:55" s="100" customFormat="1" ht="5.0999999999999996" customHeight="1" x14ac:dyDescent="0.25"/>
    <row r="5" spans="1:55" s="100" customFormat="1" ht="15" customHeight="1" x14ac:dyDescent="0.25">
      <c r="AM5" s="157"/>
      <c r="AN5" s="157"/>
      <c r="AO5" s="157"/>
      <c r="AP5" s="157"/>
      <c r="AQ5" s="156"/>
      <c r="AR5" s="156"/>
      <c r="AS5" s="156"/>
      <c r="AT5" s="156"/>
      <c r="AU5" s="156"/>
      <c r="AV5" s="156"/>
      <c r="AW5" s="156" t="s">
        <v>660</v>
      </c>
      <c r="AX5" s="100" t="s">
        <v>222</v>
      </c>
    </row>
    <row r="6" spans="1:55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5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5" s="100" customFormat="1" ht="15" customHeight="1" x14ac:dyDescent="0.25">
      <c r="A8" s="756" t="s">
        <v>655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5" s="100" customFormat="1" ht="5.0999999999999996" customHeight="1" x14ac:dyDescent="0.25">
      <c r="A9" s="158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</row>
    <row r="10" spans="1:55" s="100" customFormat="1" ht="15" customHeight="1" x14ac:dyDescent="0.25">
      <c r="A10" s="158"/>
      <c r="B10" s="158" t="s">
        <v>113</v>
      </c>
      <c r="C10" s="757">
        <v>1</v>
      </c>
      <c r="D10" s="757"/>
      <c r="E10" s="757"/>
      <c r="F10" s="158"/>
      <c r="G10" s="757" t="s">
        <v>675</v>
      </c>
      <c r="H10" s="757"/>
      <c r="I10" s="757"/>
      <c r="J10" s="757"/>
      <c r="K10" s="757"/>
      <c r="L10" s="757"/>
      <c r="M10" s="158"/>
      <c r="N10" s="756">
        <v>2021</v>
      </c>
      <c r="O10" s="756"/>
      <c r="P10" s="756"/>
      <c r="Q10" s="756"/>
      <c r="R10" s="158"/>
      <c r="S10" s="158" t="s">
        <v>114</v>
      </c>
      <c r="T10" s="158"/>
      <c r="U10" s="756" t="s">
        <v>115</v>
      </c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758"/>
      <c r="AI10" s="758"/>
      <c r="AJ10" s="757">
        <v>31</v>
      </c>
      <c r="AK10" s="757"/>
      <c r="AL10" s="757"/>
      <c r="AM10" s="158"/>
      <c r="AN10" s="757" t="s">
        <v>116</v>
      </c>
      <c r="AO10" s="757"/>
      <c r="AP10" s="757"/>
      <c r="AQ10" s="757"/>
      <c r="AR10" s="757"/>
      <c r="AS10" s="757"/>
      <c r="AT10" s="757"/>
      <c r="AU10" s="158"/>
      <c r="AV10" s="756">
        <v>2021</v>
      </c>
      <c r="AW10" s="756"/>
      <c r="AX10" s="756"/>
      <c r="AY10" s="756"/>
      <c r="AZ10" s="158"/>
      <c r="BA10" s="158" t="s">
        <v>114</v>
      </c>
    </row>
    <row r="11" spans="1:55" s="82" customFormat="1" ht="5.0999999999999996" customHeight="1" x14ac:dyDescent="0.2"/>
    <row r="12" spans="1:55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14</v>
      </c>
      <c r="V12" s="761"/>
      <c r="W12" s="761"/>
    </row>
    <row r="13" spans="1:55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5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1">
        <v>24</v>
      </c>
      <c r="V14" s="761"/>
      <c r="W14" s="761"/>
    </row>
    <row r="15" spans="1:55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5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2</v>
      </c>
      <c r="V16" s="761"/>
      <c r="W16" s="761"/>
      <c r="X16" s="83" t="s">
        <v>4</v>
      </c>
      <c r="Y16" s="761">
        <v>12</v>
      </c>
      <c r="Z16" s="761"/>
      <c r="AA16" s="761"/>
    </row>
    <row r="17" spans="1:54" ht="5.0999999999999996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530</v>
      </c>
      <c r="AR19" s="162"/>
      <c r="AS19" s="164"/>
      <c r="AX19" s="708">
        <v>15600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419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4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customHeight="1" x14ac:dyDescent="0.2">
      <c r="A24" s="764" t="s">
        <v>417</v>
      </c>
      <c r="B24" s="765"/>
      <c r="C24" s="765"/>
      <c r="D24" s="765"/>
      <c r="E24" s="765"/>
      <c r="F24" s="765"/>
      <c r="G24" s="766"/>
      <c r="H24" s="714" t="s">
        <v>16</v>
      </c>
      <c r="I24" s="704"/>
      <c r="J24" s="704"/>
      <c r="K24" s="704"/>
      <c r="L24" s="704"/>
      <c r="M24" s="704"/>
      <c r="N24" s="704"/>
      <c r="O24" s="704"/>
      <c r="P24" s="704"/>
      <c r="Q24" s="704"/>
      <c r="R24" s="704"/>
      <c r="S24" s="704"/>
      <c r="T24" s="704"/>
      <c r="U24" s="704"/>
      <c r="V24" s="704"/>
      <c r="W24" s="704"/>
      <c r="X24" s="704"/>
      <c r="Y24" s="704"/>
      <c r="Z24" s="723">
        <v>0.2</v>
      </c>
      <c r="AA24" s="723"/>
      <c r="AB24" s="723"/>
      <c r="AC24" s="781">
        <f>(AX51+AX83)*Z24*AH24</f>
        <v>1892.8000000000002</v>
      </c>
      <c r="AD24" s="781"/>
      <c r="AE24" s="781"/>
      <c r="AF24" s="781"/>
      <c r="AG24" s="781"/>
      <c r="AH24" s="668">
        <v>2</v>
      </c>
      <c r="AI24" s="668"/>
      <c r="AJ24" s="668"/>
      <c r="AK24" s="668"/>
      <c r="AL24" s="668"/>
      <c r="AM24" s="668"/>
      <c r="AN24" s="781">
        <f>AC24/U12</f>
        <v>135.20000000000002</v>
      </c>
      <c r="AO24" s="781"/>
      <c r="AP24" s="781"/>
      <c r="AQ24" s="781"/>
      <c r="AR24" s="781"/>
      <c r="AS24" s="668" t="s">
        <v>17</v>
      </c>
      <c r="AT24" s="668"/>
      <c r="AU24" s="668"/>
      <c r="AV24" s="668"/>
      <c r="AW24" s="668"/>
      <c r="AX24" s="781" t="s">
        <v>17</v>
      </c>
      <c r="AY24" s="781"/>
      <c r="AZ24" s="781"/>
      <c r="BA24" s="781"/>
      <c r="BB24" s="782"/>
    </row>
    <row r="25" spans="1:54" s="165" customFormat="1" ht="26.25" customHeight="1" x14ac:dyDescent="0.2">
      <c r="A25" s="767"/>
      <c r="B25" s="768"/>
      <c r="C25" s="768"/>
      <c r="D25" s="768"/>
      <c r="E25" s="768"/>
      <c r="F25" s="768"/>
      <c r="G25" s="769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771" t="s">
        <v>89</v>
      </c>
      <c r="B26" s="772"/>
      <c r="C26" s="772"/>
      <c r="D26" s="772"/>
      <c r="E26" s="772"/>
      <c r="F26" s="772"/>
      <c r="G26" s="773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11.25" customHeight="1" x14ac:dyDescent="0.2">
      <c r="A27" s="750"/>
      <c r="B27" s="751"/>
      <c r="C27" s="751"/>
      <c r="D27" s="751"/>
      <c r="E27" s="751"/>
      <c r="F27" s="751"/>
      <c r="G27" s="7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17.25" customHeight="1" thickBot="1" x14ac:dyDescent="0.25">
      <c r="A33" s="753"/>
      <c r="B33" s="754"/>
      <c r="C33" s="754"/>
      <c r="D33" s="754"/>
      <c r="E33" s="754"/>
      <c r="F33" s="754"/>
      <c r="G33" s="775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9"/>
      <c r="AA33" s="729"/>
      <c r="AB33" s="729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95"/>
      <c r="R34" s="169" t="s">
        <v>18</v>
      </c>
      <c r="S34" s="170"/>
      <c r="T34" s="170"/>
      <c r="U34" s="171"/>
      <c r="V34" s="171"/>
      <c r="W34" s="171"/>
      <c r="X34" s="171"/>
      <c r="Y34" s="171"/>
      <c r="Z34" s="162"/>
      <c r="AA34" s="162"/>
      <c r="AB34" s="162"/>
      <c r="AC34" s="171"/>
      <c r="AD34" s="171" t="s">
        <v>19</v>
      </c>
      <c r="AE34" s="171" t="s">
        <v>20</v>
      </c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2"/>
      <c r="AS34" s="453">
        <f>AN24</f>
        <v>135.20000000000002</v>
      </c>
      <c r="AT34" s="453"/>
      <c r="AU34" s="453"/>
      <c r="AV34" s="453"/>
      <c r="AW34" s="453"/>
      <c r="AX34" s="453">
        <f>AC24</f>
        <v>1892.8000000000002</v>
      </c>
      <c r="AY34" s="453"/>
      <c r="AZ34" s="453"/>
      <c r="BA34" s="453"/>
      <c r="BB34" s="454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173"/>
      <c r="I35" s="173"/>
      <c r="J35" s="173"/>
      <c r="K35" s="173"/>
      <c r="L35" s="173"/>
      <c r="M35" s="173"/>
      <c r="P35" s="168"/>
      <c r="Q35" s="174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40.830400000000004</v>
      </c>
      <c r="AT35" s="463"/>
      <c r="AU35" s="463"/>
      <c r="AV35" s="463"/>
      <c r="AW35" s="463"/>
      <c r="AX35" s="463">
        <f>AX34*AO35</f>
        <v>571.62560000000008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173"/>
      <c r="I36" s="173"/>
      <c r="J36" s="173"/>
      <c r="K36" s="173"/>
      <c r="L36" s="173"/>
      <c r="M36" s="173"/>
      <c r="P36" s="168"/>
      <c r="Q36" s="174"/>
      <c r="R36" s="174"/>
      <c r="S36" s="174"/>
      <c r="U36" s="174"/>
      <c r="V36" s="174"/>
      <c r="W36" s="174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8"/>
      <c r="AT36" s="179"/>
      <c r="AU36" s="179"/>
      <c r="AV36" s="179"/>
      <c r="AW36" s="179"/>
      <c r="AX36" s="178"/>
      <c r="AY36" s="179"/>
      <c r="AZ36" s="179"/>
      <c r="BA36" s="179"/>
      <c r="BB36" s="179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420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842"/>
      <c r="B41" s="843"/>
      <c r="C41" s="843"/>
      <c r="D41" s="843"/>
      <c r="E41" s="843"/>
      <c r="F41" s="843"/>
      <c r="G41" s="843"/>
      <c r="H41" s="848" t="s">
        <v>16</v>
      </c>
      <c r="I41" s="848"/>
      <c r="J41" s="848"/>
      <c r="K41" s="848"/>
      <c r="L41" s="848"/>
      <c r="M41" s="848"/>
      <c r="N41" s="848"/>
      <c r="O41" s="848"/>
      <c r="P41" s="848"/>
      <c r="Q41" s="848"/>
      <c r="R41" s="848"/>
      <c r="S41" s="848"/>
      <c r="T41" s="848"/>
      <c r="U41" s="848"/>
      <c r="V41" s="848"/>
      <c r="W41" s="848"/>
      <c r="X41" s="848"/>
      <c r="Y41" s="848"/>
      <c r="Z41" s="723">
        <v>0</v>
      </c>
      <c r="AA41" s="723"/>
      <c r="AB41" s="723"/>
      <c r="AC41" s="712">
        <f>AX83*Z41*AH41</f>
        <v>0</v>
      </c>
      <c r="AD41" s="712"/>
      <c r="AE41" s="712"/>
      <c r="AF41" s="712"/>
      <c r="AG41" s="734"/>
      <c r="AH41" s="508">
        <v>0</v>
      </c>
      <c r="AI41" s="509"/>
      <c r="AJ41" s="509"/>
      <c r="AK41" s="509"/>
      <c r="AL41" s="509"/>
      <c r="AM41" s="510"/>
      <c r="AN41" s="711">
        <f>AC41/U12</f>
        <v>0</v>
      </c>
      <c r="AO41" s="712"/>
      <c r="AP41" s="712"/>
      <c r="AQ41" s="712"/>
      <c r="AR41" s="734"/>
      <c r="AS41" s="508" t="s">
        <v>17</v>
      </c>
      <c r="AT41" s="509"/>
      <c r="AU41" s="509"/>
      <c r="AV41" s="509"/>
      <c r="AW41" s="510"/>
      <c r="AX41" s="711" t="s">
        <v>17</v>
      </c>
      <c r="AY41" s="712"/>
      <c r="AZ41" s="712"/>
      <c r="BA41" s="712"/>
      <c r="BB41" s="713"/>
    </row>
    <row r="42" spans="1:54" s="165" customFormat="1" ht="0.75" hidden="1" customHeight="1" x14ac:dyDescent="0.2">
      <c r="A42" s="844"/>
      <c r="B42" s="845"/>
      <c r="C42" s="845"/>
      <c r="D42" s="845"/>
      <c r="E42" s="845"/>
      <c r="F42" s="845"/>
      <c r="G42" s="845"/>
      <c r="H42" s="849"/>
      <c r="I42" s="849"/>
      <c r="J42" s="849"/>
      <c r="K42" s="849"/>
      <c r="L42" s="849"/>
      <c r="M42" s="849"/>
      <c r="N42" s="849"/>
      <c r="O42" s="849"/>
      <c r="P42" s="849"/>
      <c r="Q42" s="849"/>
      <c r="R42" s="849"/>
      <c r="S42" s="849"/>
      <c r="T42" s="849"/>
      <c r="U42" s="849"/>
      <c r="V42" s="849"/>
      <c r="W42" s="849"/>
      <c r="X42" s="849"/>
      <c r="Y42" s="849"/>
      <c r="Z42" s="726"/>
      <c r="AA42" s="726"/>
      <c r="AB42" s="726"/>
      <c r="AC42" s="704"/>
      <c r="AD42" s="704"/>
      <c r="AE42" s="704"/>
      <c r="AF42" s="704"/>
      <c r="AG42" s="735"/>
      <c r="AH42" s="511"/>
      <c r="AI42" s="512"/>
      <c r="AJ42" s="512"/>
      <c r="AK42" s="512"/>
      <c r="AL42" s="512"/>
      <c r="AM42" s="513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714"/>
      <c r="AY42" s="704"/>
      <c r="AZ42" s="704"/>
      <c r="BA42" s="704"/>
      <c r="BB42" s="715"/>
    </row>
    <row r="43" spans="1:54" ht="18" customHeight="1" thickBot="1" x14ac:dyDescent="0.25">
      <c r="A43" s="844"/>
      <c r="B43" s="845"/>
      <c r="C43" s="845"/>
      <c r="D43" s="845"/>
      <c r="E43" s="845"/>
      <c r="F43" s="845"/>
      <c r="G43" s="845"/>
      <c r="H43" s="849"/>
      <c r="I43" s="849"/>
      <c r="J43" s="849"/>
      <c r="K43" s="849"/>
      <c r="L43" s="849"/>
      <c r="M43" s="849"/>
      <c r="N43" s="849"/>
      <c r="O43" s="849"/>
      <c r="P43" s="849"/>
      <c r="Q43" s="849"/>
      <c r="R43" s="849"/>
      <c r="S43" s="849"/>
      <c r="T43" s="849"/>
      <c r="U43" s="849"/>
      <c r="V43" s="849"/>
      <c r="W43" s="849"/>
      <c r="X43" s="849"/>
      <c r="Y43" s="849"/>
      <c r="Z43" s="726"/>
      <c r="AA43" s="726"/>
      <c r="AB43" s="726"/>
      <c r="AC43" s="721"/>
      <c r="AD43" s="721"/>
      <c r="AE43" s="721"/>
      <c r="AF43" s="721"/>
      <c r="AG43" s="851"/>
      <c r="AH43" s="514"/>
      <c r="AI43" s="515"/>
      <c r="AJ43" s="515"/>
      <c r="AK43" s="515"/>
      <c r="AL43" s="515"/>
      <c r="AM43" s="516"/>
      <c r="AN43" s="770"/>
      <c r="AO43" s="721"/>
      <c r="AP43" s="721"/>
      <c r="AQ43" s="721"/>
      <c r="AR43" s="851"/>
      <c r="AS43" s="514"/>
      <c r="AT43" s="515"/>
      <c r="AU43" s="515"/>
      <c r="AV43" s="515"/>
      <c r="AW43" s="516"/>
      <c r="AX43" s="770"/>
      <c r="AY43" s="721"/>
      <c r="AZ43" s="721"/>
      <c r="BA43" s="721"/>
      <c r="BB43" s="908"/>
    </row>
    <row r="44" spans="1:54" s="165" customFormat="1" ht="21" hidden="1" customHeight="1" x14ac:dyDescent="0.2">
      <c r="A44" s="844"/>
      <c r="B44" s="845"/>
      <c r="C44" s="845"/>
      <c r="D44" s="845"/>
      <c r="E44" s="845"/>
      <c r="F44" s="845"/>
      <c r="G44" s="845"/>
      <c r="H44" s="849"/>
      <c r="I44" s="849"/>
      <c r="J44" s="849"/>
      <c r="K44" s="849"/>
      <c r="L44" s="849"/>
      <c r="M44" s="849"/>
      <c r="N44" s="849"/>
      <c r="O44" s="849"/>
      <c r="P44" s="849"/>
      <c r="Q44" s="849"/>
      <c r="R44" s="849"/>
      <c r="S44" s="849"/>
      <c r="T44" s="849"/>
      <c r="U44" s="849"/>
      <c r="V44" s="849"/>
      <c r="W44" s="849"/>
      <c r="X44" s="849"/>
      <c r="Y44" s="849"/>
      <c r="Z44" s="726"/>
      <c r="AA44" s="726"/>
      <c r="AB44" s="726"/>
      <c r="AC44" s="84"/>
      <c r="AD44" s="84"/>
      <c r="AE44" s="84"/>
      <c r="AF44" s="84"/>
      <c r="AG44" s="85"/>
      <c r="AH44" s="180"/>
      <c r="AI44" s="181"/>
      <c r="AJ44" s="181"/>
      <c r="AK44" s="181"/>
      <c r="AL44" s="181"/>
      <c r="AM44" s="182"/>
      <c r="AN44" s="86"/>
      <c r="AO44" s="84"/>
      <c r="AP44" s="84"/>
      <c r="AQ44" s="84"/>
      <c r="AR44" s="85"/>
      <c r="AS44" s="180"/>
      <c r="AT44" s="181"/>
      <c r="AU44" s="181"/>
      <c r="AV44" s="181"/>
      <c r="AW44" s="182"/>
      <c r="AX44" s="86"/>
      <c r="AY44" s="84"/>
      <c r="AZ44" s="84"/>
      <c r="BA44" s="84"/>
      <c r="BB44" s="255"/>
    </row>
    <row r="45" spans="1:54" s="165" customFormat="1" ht="21.75" hidden="1" customHeight="1" x14ac:dyDescent="0.2">
      <c r="A45" s="844"/>
      <c r="B45" s="845"/>
      <c r="C45" s="845"/>
      <c r="D45" s="845"/>
      <c r="E45" s="845"/>
      <c r="F45" s="845"/>
      <c r="G45" s="845"/>
      <c r="H45" s="849"/>
      <c r="I45" s="849"/>
      <c r="J45" s="849"/>
      <c r="K45" s="849"/>
      <c r="L45" s="849"/>
      <c r="M45" s="849"/>
      <c r="N45" s="849"/>
      <c r="O45" s="849"/>
      <c r="P45" s="849"/>
      <c r="Q45" s="849"/>
      <c r="R45" s="849"/>
      <c r="S45" s="849"/>
      <c r="T45" s="849"/>
      <c r="U45" s="849"/>
      <c r="V45" s="849"/>
      <c r="W45" s="849"/>
      <c r="X45" s="849"/>
      <c r="Y45" s="849"/>
      <c r="Z45" s="726"/>
      <c r="AA45" s="726"/>
      <c r="AB45" s="726"/>
      <c r="AC45" s="84"/>
      <c r="AD45" s="84"/>
      <c r="AE45" s="84"/>
      <c r="AF45" s="84"/>
      <c r="AG45" s="85"/>
      <c r="AH45" s="180"/>
      <c r="AI45" s="181"/>
      <c r="AJ45" s="181"/>
      <c r="AK45" s="181"/>
      <c r="AL45" s="181"/>
      <c r="AM45" s="182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255"/>
    </row>
    <row r="46" spans="1:54" s="165" customFormat="1" ht="24" hidden="1" customHeight="1" x14ac:dyDescent="0.2">
      <c r="A46" s="844"/>
      <c r="B46" s="845"/>
      <c r="C46" s="845"/>
      <c r="D46" s="845"/>
      <c r="E46" s="845"/>
      <c r="F46" s="845"/>
      <c r="G46" s="845"/>
      <c r="H46" s="849"/>
      <c r="I46" s="849"/>
      <c r="J46" s="849"/>
      <c r="K46" s="849"/>
      <c r="L46" s="849"/>
      <c r="M46" s="849"/>
      <c r="N46" s="849"/>
      <c r="O46" s="849"/>
      <c r="P46" s="849"/>
      <c r="Q46" s="849"/>
      <c r="R46" s="849"/>
      <c r="S46" s="849"/>
      <c r="T46" s="849"/>
      <c r="U46" s="849"/>
      <c r="V46" s="849"/>
      <c r="W46" s="849"/>
      <c r="X46" s="849"/>
      <c r="Y46" s="849"/>
      <c r="Z46" s="726"/>
      <c r="AA46" s="726"/>
      <c r="AB46" s="726"/>
      <c r="AC46" s="84"/>
      <c r="AD46" s="84"/>
      <c r="AE46" s="84"/>
      <c r="AF46" s="84"/>
      <c r="AG46" s="85"/>
      <c r="AH46" s="180"/>
      <c r="AI46" s="181"/>
      <c r="AJ46" s="181"/>
      <c r="AK46" s="181"/>
      <c r="AL46" s="181"/>
      <c r="AM46" s="182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255"/>
    </row>
    <row r="47" spans="1:54" s="165" customFormat="1" ht="18" hidden="1" customHeight="1" x14ac:dyDescent="0.2">
      <c r="A47" s="844"/>
      <c r="B47" s="845"/>
      <c r="C47" s="845"/>
      <c r="D47" s="845"/>
      <c r="E47" s="845"/>
      <c r="F47" s="845"/>
      <c r="G47" s="845"/>
      <c r="H47" s="849"/>
      <c r="I47" s="849"/>
      <c r="J47" s="849"/>
      <c r="K47" s="849"/>
      <c r="L47" s="849"/>
      <c r="M47" s="849"/>
      <c r="N47" s="849"/>
      <c r="O47" s="849"/>
      <c r="P47" s="849"/>
      <c r="Q47" s="849"/>
      <c r="R47" s="849"/>
      <c r="S47" s="849"/>
      <c r="T47" s="849"/>
      <c r="U47" s="849"/>
      <c r="V47" s="849"/>
      <c r="W47" s="849"/>
      <c r="X47" s="849"/>
      <c r="Y47" s="849"/>
      <c r="Z47" s="726"/>
      <c r="AA47" s="726"/>
      <c r="AB47" s="726"/>
      <c r="AC47" s="84"/>
      <c r="AD47" s="84"/>
      <c r="AE47" s="84"/>
      <c r="AF47" s="84"/>
      <c r="AG47" s="85"/>
      <c r="AH47" s="180"/>
      <c r="AI47" s="181"/>
      <c r="AJ47" s="181"/>
      <c r="AK47" s="181"/>
      <c r="AL47" s="181"/>
      <c r="AM47" s="182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255"/>
    </row>
    <row r="48" spans="1:54" s="165" customFormat="1" ht="17.25" hidden="1" customHeight="1" x14ac:dyDescent="0.2">
      <c r="A48" s="844"/>
      <c r="B48" s="845"/>
      <c r="C48" s="845"/>
      <c r="D48" s="845"/>
      <c r="E48" s="845"/>
      <c r="F48" s="845"/>
      <c r="G48" s="845"/>
      <c r="H48" s="849"/>
      <c r="I48" s="849"/>
      <c r="J48" s="849"/>
      <c r="K48" s="849"/>
      <c r="L48" s="849"/>
      <c r="M48" s="849"/>
      <c r="N48" s="849"/>
      <c r="O48" s="849"/>
      <c r="P48" s="849"/>
      <c r="Q48" s="849"/>
      <c r="R48" s="849"/>
      <c r="S48" s="849"/>
      <c r="T48" s="849"/>
      <c r="U48" s="849"/>
      <c r="V48" s="849"/>
      <c r="W48" s="849"/>
      <c r="X48" s="849"/>
      <c r="Y48" s="849"/>
      <c r="Z48" s="726"/>
      <c r="AA48" s="726"/>
      <c r="AB48" s="726"/>
      <c r="AC48" s="84"/>
      <c r="AD48" s="84"/>
      <c r="AE48" s="84"/>
      <c r="AF48" s="84"/>
      <c r="AG48" s="85"/>
      <c r="AH48" s="180"/>
      <c r="AI48" s="181"/>
      <c r="AJ48" s="181"/>
      <c r="AK48" s="181"/>
      <c r="AL48" s="181"/>
      <c r="AM48" s="182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255"/>
    </row>
    <row r="49" spans="1:54" s="165" customFormat="1" ht="14.25" hidden="1" customHeight="1" x14ac:dyDescent="0.2">
      <c r="A49" s="844"/>
      <c r="B49" s="845"/>
      <c r="C49" s="845"/>
      <c r="D49" s="845"/>
      <c r="E49" s="845"/>
      <c r="F49" s="845"/>
      <c r="G49" s="845"/>
      <c r="H49" s="849"/>
      <c r="I49" s="849"/>
      <c r="J49" s="849"/>
      <c r="K49" s="849"/>
      <c r="L49" s="849"/>
      <c r="M49" s="849"/>
      <c r="N49" s="849"/>
      <c r="O49" s="849"/>
      <c r="P49" s="849"/>
      <c r="Q49" s="849"/>
      <c r="R49" s="849"/>
      <c r="S49" s="849"/>
      <c r="T49" s="849"/>
      <c r="U49" s="849"/>
      <c r="V49" s="849"/>
      <c r="W49" s="849"/>
      <c r="X49" s="849"/>
      <c r="Y49" s="849"/>
      <c r="Z49" s="726"/>
      <c r="AA49" s="726"/>
      <c r="AB49" s="726"/>
      <c r="AC49" s="84"/>
      <c r="AD49" s="84"/>
      <c r="AE49" s="84"/>
      <c r="AF49" s="84"/>
      <c r="AG49" s="85"/>
      <c r="AH49" s="180"/>
      <c r="AI49" s="181"/>
      <c r="AJ49" s="181"/>
      <c r="AK49" s="181"/>
      <c r="AL49" s="181"/>
      <c r="AM49" s="182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255"/>
    </row>
    <row r="50" spans="1:54" ht="0.75" customHeight="1" thickBot="1" x14ac:dyDescent="0.25">
      <c r="A50" s="846"/>
      <c r="B50" s="847"/>
      <c r="C50" s="847"/>
      <c r="D50" s="847"/>
      <c r="E50" s="847"/>
      <c r="F50" s="847"/>
      <c r="G50" s="847"/>
      <c r="H50" s="850"/>
      <c r="I50" s="850"/>
      <c r="J50" s="850"/>
      <c r="K50" s="850"/>
      <c r="L50" s="850"/>
      <c r="M50" s="850"/>
      <c r="N50" s="850"/>
      <c r="O50" s="850"/>
      <c r="P50" s="850"/>
      <c r="Q50" s="850"/>
      <c r="R50" s="850"/>
      <c r="S50" s="850"/>
      <c r="T50" s="850"/>
      <c r="U50" s="850"/>
      <c r="V50" s="850"/>
      <c r="W50" s="850"/>
      <c r="X50" s="850"/>
      <c r="Y50" s="850"/>
      <c r="Z50" s="729"/>
      <c r="AA50" s="729"/>
      <c r="AB50" s="729"/>
      <c r="AC50" s="257"/>
      <c r="AD50" s="257"/>
      <c r="AE50" s="257"/>
      <c r="AF50" s="257"/>
      <c r="AG50" s="258"/>
      <c r="AH50" s="259"/>
      <c r="AI50" s="260"/>
      <c r="AJ50" s="260"/>
      <c r="AK50" s="260"/>
      <c r="AL50" s="260"/>
      <c r="AM50" s="261"/>
      <c r="AN50" s="256"/>
      <c r="AO50" s="257"/>
      <c r="AP50" s="257"/>
      <c r="AQ50" s="257"/>
      <c r="AR50" s="258"/>
      <c r="AS50" s="259"/>
      <c r="AT50" s="260"/>
      <c r="AU50" s="260"/>
      <c r="AV50" s="260"/>
      <c r="AW50" s="261"/>
      <c r="AX50" s="256"/>
      <c r="AY50" s="257"/>
      <c r="AZ50" s="257"/>
      <c r="BA50" s="257"/>
      <c r="BB50" s="262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189"/>
      <c r="I52" s="189"/>
      <c r="J52" s="189"/>
      <c r="K52" s="189"/>
      <c r="L52" s="164"/>
      <c r="M52" s="164"/>
      <c r="N52" s="164"/>
      <c r="O52" s="164"/>
      <c r="P52" s="164"/>
      <c r="Q52" s="190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660" t="s">
        <v>106</v>
      </c>
      <c r="B58" s="661"/>
      <c r="C58" s="661"/>
      <c r="D58" s="661"/>
      <c r="E58" s="661"/>
      <c r="F58" s="661"/>
      <c r="G58" s="661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96"/>
      <c r="AC58" s="662">
        <f>((R59+(R59*U61)+(R59*Q61)+(R59*M61)+(R59*I61))*Z61)</f>
        <v>40560</v>
      </c>
      <c r="AD58" s="662"/>
      <c r="AE58" s="662"/>
      <c r="AF58" s="662"/>
      <c r="AG58" s="662"/>
      <c r="AH58" s="711">
        <v>120</v>
      </c>
      <c r="AI58" s="712"/>
      <c r="AJ58" s="712"/>
      <c r="AK58" s="712"/>
      <c r="AL58" s="712"/>
      <c r="AM58" s="734"/>
      <c r="AN58" s="662">
        <f>AC58/AH58</f>
        <v>338</v>
      </c>
      <c r="AO58" s="662"/>
      <c r="AP58" s="662"/>
      <c r="AQ58" s="662"/>
      <c r="AR58" s="662"/>
      <c r="AS58" s="663">
        <f>U12</f>
        <v>14</v>
      </c>
      <c r="AT58" s="663"/>
      <c r="AU58" s="663"/>
      <c r="AV58" s="663"/>
      <c r="AW58" s="663"/>
      <c r="AX58" s="662">
        <f>AN58*AS58</f>
        <v>4732</v>
      </c>
      <c r="AY58" s="662"/>
      <c r="AZ58" s="662"/>
      <c r="BA58" s="662"/>
      <c r="BB58" s="684"/>
    </row>
    <row r="59" spans="1:54" s="165" customFormat="1" ht="25.15" customHeight="1" x14ac:dyDescent="0.2">
      <c r="A59" s="652"/>
      <c r="B59" s="653"/>
      <c r="C59" s="653"/>
      <c r="D59" s="653"/>
      <c r="E59" s="653"/>
      <c r="F59" s="653"/>
      <c r="G59" s="653"/>
      <c r="H59" s="685" t="s">
        <v>530</v>
      </c>
      <c r="I59" s="686"/>
      <c r="J59" s="686"/>
      <c r="K59" s="686"/>
      <c r="L59" s="686"/>
      <c r="M59" s="686"/>
      <c r="N59" s="669"/>
      <c r="O59" s="669"/>
      <c r="P59" s="669"/>
      <c r="Q59" s="84" t="s">
        <v>27</v>
      </c>
      <c r="R59" s="669">
        <v>15600</v>
      </c>
      <c r="S59" s="669"/>
      <c r="T59" s="669"/>
      <c r="U59" s="669"/>
      <c r="V59" s="669"/>
      <c r="W59" s="84" t="s">
        <v>28</v>
      </c>
      <c r="X59" s="84"/>
      <c r="Y59" s="84"/>
      <c r="Z59" s="84"/>
      <c r="AA59" s="84"/>
      <c r="AB59" s="85"/>
      <c r="AC59" s="601"/>
      <c r="AD59" s="601"/>
      <c r="AE59" s="601"/>
      <c r="AF59" s="601"/>
      <c r="AG59" s="601"/>
      <c r="AH59" s="714"/>
      <c r="AI59" s="704"/>
      <c r="AJ59" s="704"/>
      <c r="AK59" s="704"/>
      <c r="AL59" s="704"/>
      <c r="AM59" s="735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652"/>
      <c r="B60" s="653"/>
      <c r="C60" s="653"/>
      <c r="D60" s="653"/>
      <c r="E60" s="653"/>
      <c r="F60" s="653"/>
      <c r="G60" s="653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601"/>
      <c r="AD60" s="601"/>
      <c r="AE60" s="601"/>
      <c r="AF60" s="601"/>
      <c r="AG60" s="601"/>
      <c r="AH60" s="714"/>
      <c r="AI60" s="704"/>
      <c r="AJ60" s="704"/>
      <c r="AK60" s="704"/>
      <c r="AL60" s="704"/>
      <c r="AM60" s="735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5" x14ac:dyDescent="0.2">
      <c r="A61" s="652"/>
      <c r="B61" s="653"/>
      <c r="C61" s="653"/>
      <c r="D61" s="653"/>
      <c r="E61" s="653"/>
      <c r="F61" s="653"/>
      <c r="G61" s="653"/>
      <c r="H61" s="706" t="s">
        <v>656</v>
      </c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  <c r="V61" s="707"/>
      <c r="W61" s="707"/>
      <c r="X61" s="707"/>
      <c r="Y61" s="388" t="s">
        <v>28</v>
      </c>
      <c r="Z61" s="669">
        <v>2.6</v>
      </c>
      <c r="AA61" s="669"/>
      <c r="AB61" s="670"/>
      <c r="AC61" s="601"/>
      <c r="AD61" s="601"/>
      <c r="AE61" s="601"/>
      <c r="AF61" s="601"/>
      <c r="AG61" s="601"/>
      <c r="AH61" s="714"/>
      <c r="AI61" s="704"/>
      <c r="AJ61" s="704"/>
      <c r="AK61" s="704"/>
      <c r="AL61" s="704"/>
      <c r="AM61" s="735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" customHeight="1" thickBot="1" x14ac:dyDescent="0.25">
      <c r="A62" s="681"/>
      <c r="B62" s="682"/>
      <c r="C62" s="682"/>
      <c r="D62" s="682"/>
      <c r="E62" s="682"/>
      <c r="F62" s="682"/>
      <c r="G62" s="682"/>
      <c r="H62" s="256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8"/>
      <c r="AC62" s="601"/>
      <c r="AD62" s="601"/>
      <c r="AE62" s="601"/>
      <c r="AF62" s="601"/>
      <c r="AG62" s="601"/>
      <c r="AH62" s="770"/>
      <c r="AI62" s="721"/>
      <c r="AJ62" s="721"/>
      <c r="AK62" s="721"/>
      <c r="AL62" s="721"/>
      <c r="AM62" s="851"/>
      <c r="AN62" s="601"/>
      <c r="AO62" s="601"/>
      <c r="AP62" s="601"/>
      <c r="AQ62" s="601"/>
      <c r="AR62" s="601"/>
      <c r="AS62" s="664"/>
      <c r="AT62" s="664"/>
      <c r="AU62" s="664"/>
      <c r="AV62" s="664"/>
      <c r="AW62" s="664"/>
      <c r="AX62" s="601"/>
      <c r="AY62" s="601"/>
      <c r="AZ62" s="601"/>
      <c r="BA62" s="601"/>
      <c r="BB62" s="655"/>
    </row>
    <row r="63" spans="1:54" ht="5.0999999999999996" hidden="1" customHeight="1" x14ac:dyDescent="0.2">
      <c r="A63" s="666"/>
      <c r="B63" s="667"/>
      <c r="C63" s="667"/>
      <c r="D63" s="667"/>
      <c r="E63" s="667"/>
      <c r="F63" s="667"/>
      <c r="G63" s="667"/>
      <c r="H63" s="193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94" t="e">
        <f>#REF!</f>
        <v>#REF!</v>
      </c>
      <c r="AA63" s="191"/>
      <c r="AB63" s="195"/>
      <c r="AC63" s="507">
        <f>((R64+(R64*U66)+(R64*Q66)+(R64*M66)+(R64*I66))*Z66)*1.15</f>
        <v>0</v>
      </c>
      <c r="AD63" s="507"/>
      <c r="AE63" s="507"/>
      <c r="AF63" s="507"/>
      <c r="AG63" s="507"/>
      <c r="AH63" s="529">
        <v>1</v>
      </c>
      <c r="AI63" s="529"/>
      <c r="AJ63" s="529"/>
      <c r="AK63" s="529"/>
      <c r="AL63" s="529"/>
      <c r="AM63" s="529"/>
      <c r="AN63" s="529">
        <f>AC63/AH63</f>
        <v>0</v>
      </c>
      <c r="AO63" s="529"/>
      <c r="AP63" s="529"/>
      <c r="AQ63" s="529"/>
      <c r="AR63" s="529"/>
      <c r="AS63" s="663">
        <f t="shared" ref="AS63" si="0">U17</f>
        <v>0</v>
      </c>
      <c r="AT63" s="663"/>
      <c r="AU63" s="663"/>
      <c r="AV63" s="663"/>
      <c r="AW63" s="663"/>
      <c r="AX63" s="529">
        <f>AN63*AS63</f>
        <v>0</v>
      </c>
      <c r="AY63" s="529"/>
      <c r="AZ63" s="529"/>
      <c r="BA63" s="529"/>
      <c r="BB63" s="665"/>
    </row>
    <row r="64" spans="1:54" s="165" customFormat="1" ht="11.25" hidden="1" customHeight="1" x14ac:dyDescent="0.2">
      <c r="A64" s="652"/>
      <c r="B64" s="653"/>
      <c r="C64" s="653"/>
      <c r="D64" s="653"/>
      <c r="E64" s="653"/>
      <c r="F64" s="653"/>
      <c r="G64" s="653"/>
      <c r="H64" s="658" t="s">
        <v>26</v>
      </c>
      <c r="I64" s="659"/>
      <c r="J64" s="659"/>
      <c r="K64" s="659"/>
      <c r="L64" s="659"/>
      <c r="M64" s="659"/>
      <c r="N64" s="650">
        <v>0</v>
      </c>
      <c r="O64" s="650"/>
      <c r="P64" s="650"/>
      <c r="Q64" s="191" t="s">
        <v>27</v>
      </c>
      <c r="R64" s="650">
        <f>$AX$19*N64</f>
        <v>0</v>
      </c>
      <c r="S64" s="650"/>
      <c r="T64" s="650"/>
      <c r="U64" s="650"/>
      <c r="V64" s="650"/>
      <c r="W64" s="191" t="s">
        <v>28</v>
      </c>
      <c r="X64" s="191" t="s">
        <v>29</v>
      </c>
      <c r="Y64" s="191"/>
      <c r="Z64" s="191"/>
      <c r="AA64" s="191"/>
      <c r="AB64" s="195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664"/>
      <c r="AT64" s="664"/>
      <c r="AU64" s="664"/>
      <c r="AV64" s="664"/>
      <c r="AW64" s="664"/>
      <c r="AX64" s="529"/>
      <c r="AY64" s="529"/>
      <c r="AZ64" s="529"/>
      <c r="BA64" s="529"/>
      <c r="BB64" s="665"/>
    </row>
    <row r="65" spans="1:54" s="165" customFormat="1" ht="5.0999999999999996" hidden="1" customHeight="1" x14ac:dyDescent="0.2">
      <c r="A65" s="652"/>
      <c r="B65" s="653"/>
      <c r="C65" s="653"/>
      <c r="D65" s="653"/>
      <c r="E65" s="653"/>
      <c r="F65" s="653"/>
      <c r="G65" s="653"/>
      <c r="H65" s="196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91"/>
      <c r="AA65" s="191"/>
      <c r="AB65" s="195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65" customFormat="1" ht="11.25" hidden="1" customHeight="1" x14ac:dyDescent="0.2">
      <c r="A66" s="652"/>
      <c r="B66" s="653"/>
      <c r="C66" s="653"/>
      <c r="D66" s="653"/>
      <c r="E66" s="653"/>
      <c r="F66" s="653"/>
      <c r="G66" s="653"/>
      <c r="H66" s="197" t="s">
        <v>30</v>
      </c>
      <c r="I66" s="654">
        <v>0</v>
      </c>
      <c r="J66" s="654"/>
      <c r="K66" s="654"/>
      <c r="L66" s="191" t="s">
        <v>28</v>
      </c>
      <c r="M66" s="654">
        <v>0</v>
      </c>
      <c r="N66" s="654"/>
      <c r="O66" s="654"/>
      <c r="P66" s="191" t="s">
        <v>28</v>
      </c>
      <c r="Q66" s="654"/>
      <c r="R66" s="654"/>
      <c r="S66" s="654"/>
      <c r="T66" s="191" t="s">
        <v>28</v>
      </c>
      <c r="U66" s="654"/>
      <c r="V66" s="654"/>
      <c r="W66" s="654"/>
      <c r="X66" s="191" t="s">
        <v>31</v>
      </c>
      <c r="Y66" s="191" t="s">
        <v>28</v>
      </c>
      <c r="Z66" s="650">
        <v>2.6</v>
      </c>
      <c r="AA66" s="650"/>
      <c r="AB66" s="651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65" customFormat="1" ht="5.0999999999999996" hidden="1" customHeight="1" thickBot="1" x14ac:dyDescent="0.25">
      <c r="A67" s="652"/>
      <c r="B67" s="653"/>
      <c r="C67" s="653"/>
      <c r="D67" s="653"/>
      <c r="E67" s="653"/>
      <c r="F67" s="653"/>
      <c r="G67" s="653"/>
      <c r="H67" s="198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200"/>
      <c r="AA67" s="200"/>
      <c r="AB67" s="201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65" customFormat="1" ht="5.0999999999999996" hidden="1" customHeight="1" x14ac:dyDescent="0.2">
      <c r="A68" s="652"/>
      <c r="B68" s="653"/>
      <c r="C68" s="653"/>
      <c r="D68" s="653"/>
      <c r="E68" s="653"/>
      <c r="F68" s="653"/>
      <c r="G68" s="653"/>
      <c r="H68" s="19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94" t="e">
        <f>#REF!</f>
        <v>#REF!</v>
      </c>
      <c r="AA68" s="191"/>
      <c r="AB68" s="195"/>
      <c r="AC68" s="507">
        <f>((R69+(R69*U71)+(R69*Q71)+(R69*M71)+(R69*I71))*Z71)*1.15</f>
        <v>0</v>
      </c>
      <c r="AD68" s="507"/>
      <c r="AE68" s="507"/>
      <c r="AF68" s="507"/>
      <c r="AG68" s="507"/>
      <c r="AH68" s="529">
        <v>1</v>
      </c>
      <c r="AI68" s="529"/>
      <c r="AJ68" s="529"/>
      <c r="AK68" s="529"/>
      <c r="AL68" s="529"/>
      <c r="AM68" s="529"/>
      <c r="AN68" s="529">
        <f>AC68/AH68</f>
        <v>0</v>
      </c>
      <c r="AO68" s="529"/>
      <c r="AP68" s="529"/>
      <c r="AQ68" s="529"/>
      <c r="AR68" s="529"/>
      <c r="AS68" s="663">
        <f t="shared" ref="AS68" si="1">U22</f>
        <v>0</v>
      </c>
      <c r="AT68" s="663"/>
      <c r="AU68" s="663"/>
      <c r="AV68" s="663"/>
      <c r="AW68" s="663"/>
      <c r="AX68" s="529">
        <f>AN68*AS68</f>
        <v>0</v>
      </c>
      <c r="AY68" s="529"/>
      <c r="AZ68" s="529"/>
      <c r="BA68" s="529"/>
      <c r="BB68" s="665"/>
    </row>
    <row r="69" spans="1:54" s="165" customFormat="1" ht="11.25" hidden="1" customHeight="1" x14ac:dyDescent="0.2">
      <c r="A69" s="652"/>
      <c r="B69" s="653"/>
      <c r="C69" s="653"/>
      <c r="D69" s="653"/>
      <c r="E69" s="653"/>
      <c r="F69" s="653"/>
      <c r="G69" s="653"/>
      <c r="H69" s="658" t="s">
        <v>26</v>
      </c>
      <c r="I69" s="659"/>
      <c r="J69" s="659"/>
      <c r="K69" s="659"/>
      <c r="L69" s="659"/>
      <c r="M69" s="659"/>
      <c r="N69" s="650">
        <v>0</v>
      </c>
      <c r="O69" s="650"/>
      <c r="P69" s="650"/>
      <c r="Q69" s="191" t="s">
        <v>27</v>
      </c>
      <c r="R69" s="650">
        <f>$AX$19*N69</f>
        <v>0</v>
      </c>
      <c r="S69" s="650"/>
      <c r="T69" s="650"/>
      <c r="U69" s="650"/>
      <c r="V69" s="650"/>
      <c r="W69" s="191" t="s">
        <v>28</v>
      </c>
      <c r="X69" s="191" t="s">
        <v>29</v>
      </c>
      <c r="Y69" s="191"/>
      <c r="Z69" s="191"/>
      <c r="AA69" s="191"/>
      <c r="AB69" s="195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529"/>
      <c r="AP69" s="529"/>
      <c r="AQ69" s="529"/>
      <c r="AR69" s="529"/>
      <c r="AS69" s="664"/>
      <c r="AT69" s="664"/>
      <c r="AU69" s="664"/>
      <c r="AV69" s="664"/>
      <c r="AW69" s="664"/>
      <c r="AX69" s="529"/>
      <c r="AY69" s="529"/>
      <c r="AZ69" s="529"/>
      <c r="BA69" s="529"/>
      <c r="BB69" s="665"/>
    </row>
    <row r="70" spans="1:54" ht="5.0999999999999996" hidden="1" customHeight="1" x14ac:dyDescent="0.2">
      <c r="A70" s="652"/>
      <c r="B70" s="653"/>
      <c r="C70" s="653"/>
      <c r="D70" s="653"/>
      <c r="E70" s="653"/>
      <c r="F70" s="653"/>
      <c r="G70" s="653"/>
      <c r="H70" s="19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91"/>
      <c r="AA70" s="191"/>
      <c r="AB70" s="195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s="165" customFormat="1" ht="11.25" hidden="1" customHeight="1" x14ac:dyDescent="0.2">
      <c r="A71" s="652"/>
      <c r="B71" s="653"/>
      <c r="C71" s="653"/>
      <c r="D71" s="653"/>
      <c r="E71" s="653"/>
      <c r="F71" s="653"/>
      <c r="G71" s="653"/>
      <c r="H71" s="197" t="s">
        <v>30</v>
      </c>
      <c r="I71" s="654">
        <v>0</v>
      </c>
      <c r="J71" s="654"/>
      <c r="K71" s="654"/>
      <c r="L71" s="191" t="s">
        <v>28</v>
      </c>
      <c r="M71" s="654">
        <v>0</v>
      </c>
      <c r="N71" s="654"/>
      <c r="O71" s="654"/>
      <c r="P71" s="191" t="s">
        <v>28</v>
      </c>
      <c r="Q71" s="654"/>
      <c r="R71" s="654"/>
      <c r="S71" s="654"/>
      <c r="T71" s="191" t="s">
        <v>28</v>
      </c>
      <c r="U71" s="654"/>
      <c r="V71" s="654"/>
      <c r="W71" s="654"/>
      <c r="X71" s="191" t="s">
        <v>31</v>
      </c>
      <c r="Y71" s="191" t="s">
        <v>28</v>
      </c>
      <c r="Z71" s="650">
        <v>2.6</v>
      </c>
      <c r="AA71" s="650"/>
      <c r="AB71" s="651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65" customFormat="1" ht="11.25" hidden="1" customHeight="1" thickBot="1" x14ac:dyDescent="0.25">
      <c r="A72" s="652"/>
      <c r="B72" s="653"/>
      <c r="C72" s="653"/>
      <c r="D72" s="653"/>
      <c r="E72" s="653"/>
      <c r="F72" s="653"/>
      <c r="G72" s="653"/>
      <c r="H72" s="198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200"/>
      <c r="AA72" s="200"/>
      <c r="AB72" s="201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65" customFormat="1" ht="15" hidden="1" customHeight="1" x14ac:dyDescent="0.2">
      <c r="A73" s="660" t="s">
        <v>84</v>
      </c>
      <c r="B73" s="661"/>
      <c r="C73" s="661"/>
      <c r="D73" s="661"/>
      <c r="E73" s="661"/>
      <c r="F73" s="661"/>
      <c r="G73" s="661"/>
      <c r="H73" s="19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94" t="e">
        <f>#REF!</f>
        <v>#REF!</v>
      </c>
      <c r="AA73" s="191"/>
      <c r="AB73" s="195"/>
      <c r="AC73" s="507">
        <f>((R74+(R74*U76)+(R74*Q76)+(R74*M76)+(R74*I76))*Z76)</f>
        <v>0</v>
      </c>
      <c r="AD73" s="507"/>
      <c r="AE73" s="507"/>
      <c r="AF73" s="507"/>
      <c r="AG73" s="507"/>
      <c r="AH73" s="529">
        <v>75</v>
      </c>
      <c r="AI73" s="529"/>
      <c r="AJ73" s="529"/>
      <c r="AK73" s="529"/>
      <c r="AL73" s="529"/>
      <c r="AM73" s="529"/>
      <c r="AN73" s="529">
        <f>AC73/AH73</f>
        <v>0</v>
      </c>
      <c r="AO73" s="529"/>
      <c r="AP73" s="529"/>
      <c r="AQ73" s="529"/>
      <c r="AR73" s="529"/>
      <c r="AS73" s="663">
        <f t="shared" ref="AS73" si="2">U27</f>
        <v>0</v>
      </c>
      <c r="AT73" s="663"/>
      <c r="AU73" s="663"/>
      <c r="AV73" s="663"/>
      <c r="AW73" s="663"/>
      <c r="AX73" s="529">
        <f>AN73*AS73</f>
        <v>0</v>
      </c>
      <c r="AY73" s="529"/>
      <c r="AZ73" s="529"/>
      <c r="BA73" s="529"/>
      <c r="BB73" s="665"/>
    </row>
    <row r="74" spans="1:54" s="165" customFormat="1" ht="21" hidden="1" customHeight="1" thickBot="1" x14ac:dyDescent="0.25">
      <c r="A74" s="652"/>
      <c r="B74" s="653"/>
      <c r="C74" s="653"/>
      <c r="D74" s="653"/>
      <c r="E74" s="653"/>
      <c r="F74" s="653"/>
      <c r="G74" s="653"/>
      <c r="H74" s="658" t="s">
        <v>26</v>
      </c>
      <c r="I74" s="659"/>
      <c r="J74" s="659"/>
      <c r="K74" s="659"/>
      <c r="L74" s="659"/>
      <c r="M74" s="659"/>
      <c r="N74" s="650">
        <v>0</v>
      </c>
      <c r="O74" s="650"/>
      <c r="P74" s="650"/>
      <c r="Q74" s="191" t="s">
        <v>27</v>
      </c>
      <c r="R74" s="650">
        <f>$AX$19*N74</f>
        <v>0</v>
      </c>
      <c r="S74" s="650"/>
      <c r="T74" s="650"/>
      <c r="U74" s="650"/>
      <c r="V74" s="650"/>
      <c r="W74" s="191" t="s">
        <v>28</v>
      </c>
      <c r="X74" s="191" t="s">
        <v>29</v>
      </c>
      <c r="Y74" s="191"/>
      <c r="Z74" s="191"/>
      <c r="AA74" s="191"/>
      <c r="AB74" s="195"/>
      <c r="AC74" s="529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29"/>
      <c r="AS74" s="664"/>
      <c r="AT74" s="664"/>
      <c r="AU74" s="664"/>
      <c r="AV74" s="664"/>
      <c r="AW74" s="664"/>
      <c r="AX74" s="529"/>
      <c r="AY74" s="529"/>
      <c r="AZ74" s="529"/>
      <c r="BA74" s="529"/>
      <c r="BB74" s="665"/>
    </row>
    <row r="75" spans="1:54" s="165" customFormat="1" ht="12" hidden="1" customHeight="1" thickBot="1" x14ac:dyDescent="0.25">
      <c r="A75" s="652"/>
      <c r="B75" s="653"/>
      <c r="C75" s="653"/>
      <c r="D75" s="653"/>
      <c r="E75" s="653"/>
      <c r="F75" s="653"/>
      <c r="G75" s="653"/>
      <c r="H75" s="196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91"/>
      <c r="AA75" s="191"/>
      <c r="AB75" s="195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29"/>
      <c r="AS75" s="664"/>
      <c r="AT75" s="664"/>
      <c r="AU75" s="664"/>
      <c r="AV75" s="664"/>
      <c r="AW75" s="664"/>
      <c r="AX75" s="529"/>
      <c r="AY75" s="529"/>
      <c r="AZ75" s="529"/>
      <c r="BA75" s="529"/>
      <c r="BB75" s="665"/>
    </row>
    <row r="76" spans="1:54" s="165" customFormat="1" ht="15.75" hidden="1" customHeight="1" thickBot="1" x14ac:dyDescent="0.25">
      <c r="A76" s="652"/>
      <c r="B76" s="653"/>
      <c r="C76" s="653"/>
      <c r="D76" s="653"/>
      <c r="E76" s="653"/>
      <c r="F76" s="653"/>
      <c r="G76" s="653"/>
      <c r="H76" s="197" t="s">
        <v>30</v>
      </c>
      <c r="I76" s="654">
        <v>0.2</v>
      </c>
      <c r="J76" s="654"/>
      <c r="K76" s="654"/>
      <c r="L76" s="191" t="s">
        <v>28</v>
      </c>
      <c r="M76" s="654">
        <v>0.15</v>
      </c>
      <c r="N76" s="654"/>
      <c r="O76" s="654"/>
      <c r="P76" s="191" t="s">
        <v>28</v>
      </c>
      <c r="Q76" s="654">
        <v>0.5</v>
      </c>
      <c r="R76" s="654"/>
      <c r="S76" s="654"/>
      <c r="T76" s="191" t="s">
        <v>28</v>
      </c>
      <c r="U76" s="654">
        <v>0</v>
      </c>
      <c r="V76" s="654"/>
      <c r="W76" s="654"/>
      <c r="X76" s="191" t="s">
        <v>31</v>
      </c>
      <c r="Y76" s="191" t="s">
        <v>28</v>
      </c>
      <c r="Z76" s="650">
        <v>2.6</v>
      </c>
      <c r="AA76" s="650"/>
      <c r="AB76" s="651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29"/>
      <c r="AS76" s="664"/>
      <c r="AT76" s="664"/>
      <c r="AU76" s="664"/>
      <c r="AV76" s="664"/>
      <c r="AW76" s="664"/>
      <c r="AX76" s="529"/>
      <c r="AY76" s="529"/>
      <c r="AZ76" s="529"/>
      <c r="BA76" s="529"/>
      <c r="BB76" s="665"/>
    </row>
    <row r="77" spans="1:54" ht="13.5" hidden="1" customHeight="1" thickBot="1" x14ac:dyDescent="0.25">
      <c r="A77" s="652"/>
      <c r="B77" s="653"/>
      <c r="C77" s="653"/>
      <c r="D77" s="653"/>
      <c r="E77" s="653"/>
      <c r="F77" s="653"/>
      <c r="G77" s="653"/>
      <c r="H77" s="198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200"/>
      <c r="AA77" s="200"/>
      <c r="AB77" s="201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29"/>
      <c r="AS77" s="664"/>
      <c r="AT77" s="664"/>
      <c r="AU77" s="664"/>
      <c r="AV77" s="664"/>
      <c r="AW77" s="664"/>
      <c r="AX77" s="529"/>
      <c r="AY77" s="529"/>
      <c r="AZ77" s="529"/>
      <c r="BA77" s="529"/>
      <c r="BB77" s="665"/>
    </row>
    <row r="78" spans="1:54" s="165" customFormat="1" ht="8.25" hidden="1" customHeight="1" x14ac:dyDescent="0.2">
      <c r="A78" s="660" t="s">
        <v>86</v>
      </c>
      <c r="B78" s="661"/>
      <c r="C78" s="661"/>
      <c r="D78" s="661"/>
      <c r="E78" s="661"/>
      <c r="F78" s="661"/>
      <c r="G78" s="661"/>
      <c r="H78" s="19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94" t="e">
        <f>#REF!</f>
        <v>#REF!</v>
      </c>
      <c r="AA78" s="191"/>
      <c r="AB78" s="195"/>
      <c r="AC78" s="662">
        <f>((R79+(R79*U81)+(R79*Q81)+(R79*M81)+(R79*I81))*Z81)*1.15</f>
        <v>0</v>
      </c>
      <c r="AD78" s="662"/>
      <c r="AE78" s="662"/>
      <c r="AF78" s="662"/>
      <c r="AG78" s="662"/>
      <c r="AH78" s="601">
        <v>144</v>
      </c>
      <c r="AI78" s="601"/>
      <c r="AJ78" s="601"/>
      <c r="AK78" s="601"/>
      <c r="AL78" s="601"/>
      <c r="AM78" s="601"/>
      <c r="AN78" s="601">
        <f>AC78/AH78</f>
        <v>0</v>
      </c>
      <c r="AO78" s="601"/>
      <c r="AP78" s="601"/>
      <c r="AQ78" s="601"/>
      <c r="AR78" s="601"/>
      <c r="AS78" s="663">
        <v>72</v>
      </c>
      <c r="AT78" s="663"/>
      <c r="AU78" s="663"/>
      <c r="AV78" s="663"/>
      <c r="AW78" s="663"/>
      <c r="AX78" s="601">
        <f>AN78*AS78</f>
        <v>0</v>
      </c>
      <c r="AY78" s="601"/>
      <c r="AZ78" s="601"/>
      <c r="BA78" s="601"/>
      <c r="BB78" s="655"/>
    </row>
    <row r="79" spans="1:54" s="165" customFormat="1" ht="27" hidden="1" customHeight="1" thickBot="1" x14ac:dyDescent="0.25">
      <c r="A79" s="652"/>
      <c r="B79" s="653"/>
      <c r="C79" s="653"/>
      <c r="D79" s="653"/>
      <c r="E79" s="653"/>
      <c r="F79" s="653"/>
      <c r="G79" s="653"/>
      <c r="H79" s="658" t="s">
        <v>26</v>
      </c>
      <c r="I79" s="659"/>
      <c r="J79" s="659"/>
      <c r="K79" s="659"/>
      <c r="L79" s="659"/>
      <c r="M79" s="659"/>
      <c r="N79" s="650">
        <v>0</v>
      </c>
      <c r="O79" s="650"/>
      <c r="P79" s="650"/>
      <c r="Q79" s="191" t="s">
        <v>27</v>
      </c>
      <c r="R79" s="650">
        <f>$AX$19*N79</f>
        <v>0</v>
      </c>
      <c r="S79" s="650"/>
      <c r="T79" s="650"/>
      <c r="U79" s="650"/>
      <c r="V79" s="650"/>
      <c r="W79" s="191" t="s">
        <v>28</v>
      </c>
      <c r="X79" s="191" t="s">
        <v>29</v>
      </c>
      <c r="Y79" s="191"/>
      <c r="Z79" s="191"/>
      <c r="AA79" s="191"/>
      <c r="AB79" s="195"/>
      <c r="AC79" s="601"/>
      <c r="AD79" s="601"/>
      <c r="AE79" s="601"/>
      <c r="AF79" s="601"/>
      <c r="AG79" s="601"/>
      <c r="AH79" s="601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64"/>
      <c r="AT79" s="664"/>
      <c r="AU79" s="664"/>
      <c r="AV79" s="664"/>
      <c r="AW79" s="664"/>
      <c r="AX79" s="601"/>
      <c r="AY79" s="601"/>
      <c r="AZ79" s="601"/>
      <c r="BA79" s="601"/>
      <c r="BB79" s="655"/>
    </row>
    <row r="80" spans="1:54" s="165" customFormat="1" ht="6.75" hidden="1" customHeight="1" thickBot="1" x14ac:dyDescent="0.25">
      <c r="A80" s="652"/>
      <c r="B80" s="653"/>
      <c r="C80" s="653"/>
      <c r="D80" s="653"/>
      <c r="E80" s="653"/>
      <c r="F80" s="653"/>
      <c r="G80" s="653"/>
      <c r="H80" s="19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91"/>
      <c r="AA80" s="191"/>
      <c r="AB80" s="195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ht="12" hidden="1" customHeight="1" thickBot="1" x14ac:dyDescent="0.25">
      <c r="A81" s="652"/>
      <c r="B81" s="653"/>
      <c r="C81" s="653"/>
      <c r="D81" s="653"/>
      <c r="E81" s="653"/>
      <c r="F81" s="653"/>
      <c r="G81" s="653"/>
      <c r="H81" s="197" t="s">
        <v>30</v>
      </c>
      <c r="I81" s="654">
        <v>0.2</v>
      </c>
      <c r="J81" s="654"/>
      <c r="K81" s="654"/>
      <c r="L81" s="191" t="s">
        <v>28</v>
      </c>
      <c r="M81" s="654">
        <v>0</v>
      </c>
      <c r="N81" s="654"/>
      <c r="O81" s="654"/>
      <c r="P81" s="191" t="s">
        <v>28</v>
      </c>
      <c r="Q81" s="654">
        <v>0</v>
      </c>
      <c r="R81" s="654"/>
      <c r="S81" s="654"/>
      <c r="T81" s="191" t="s">
        <v>28</v>
      </c>
      <c r="U81" s="654">
        <v>0</v>
      </c>
      <c r="V81" s="654"/>
      <c r="W81" s="654"/>
      <c r="X81" s="191" t="s">
        <v>31</v>
      </c>
      <c r="Y81" s="191" t="s">
        <v>28</v>
      </c>
      <c r="Z81" s="650">
        <v>2.6</v>
      </c>
      <c r="AA81" s="650"/>
      <c r="AB81" s="651"/>
      <c r="AC81" s="601"/>
      <c r="AD81" s="601"/>
      <c r="AE81" s="601"/>
      <c r="AF81" s="601"/>
      <c r="AG81" s="601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3.5" hidden="1" customHeight="1" thickBot="1" x14ac:dyDescent="0.25">
      <c r="A82" s="652"/>
      <c r="B82" s="653"/>
      <c r="C82" s="653"/>
      <c r="D82" s="653"/>
      <c r="E82" s="653"/>
      <c r="F82" s="653"/>
      <c r="G82" s="653"/>
      <c r="H82" s="202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4"/>
      <c r="AA82" s="204"/>
      <c r="AB82" s="205"/>
      <c r="AC82" s="601"/>
      <c r="AD82" s="601"/>
      <c r="AE82" s="601"/>
      <c r="AF82" s="601"/>
      <c r="AG82" s="601"/>
      <c r="AH82" s="656"/>
      <c r="AI82" s="656"/>
      <c r="AJ82" s="656"/>
      <c r="AK82" s="656"/>
      <c r="AL82" s="656"/>
      <c r="AM82" s="656"/>
      <c r="AN82" s="656"/>
      <c r="AO82" s="656"/>
      <c r="AP82" s="656"/>
      <c r="AQ82" s="656"/>
      <c r="AR82" s="656"/>
      <c r="AS82" s="664"/>
      <c r="AT82" s="664"/>
      <c r="AU82" s="664"/>
      <c r="AV82" s="664"/>
      <c r="AW82" s="664"/>
      <c r="AX82" s="656"/>
      <c r="AY82" s="656"/>
      <c r="AZ82" s="656"/>
      <c r="BA82" s="656"/>
      <c r="BB82" s="657"/>
    </row>
    <row r="83" spans="1:54" ht="11.25" customHeight="1" x14ac:dyDescent="0.2">
      <c r="R83" s="169" t="s">
        <v>18</v>
      </c>
      <c r="S83" s="170"/>
      <c r="T83" s="170"/>
      <c r="U83" s="171"/>
      <c r="V83" s="171"/>
      <c r="W83" s="171"/>
      <c r="X83" s="171"/>
      <c r="Y83" s="171"/>
      <c r="Z83" s="171"/>
      <c r="AA83" s="171"/>
      <c r="AB83" s="171"/>
      <c r="AC83" s="171"/>
      <c r="AD83" s="171" t="s">
        <v>19</v>
      </c>
      <c r="AE83" s="171" t="s">
        <v>20</v>
      </c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2"/>
      <c r="AS83" s="453">
        <f>AX83/U12</f>
        <v>338</v>
      </c>
      <c r="AT83" s="453"/>
      <c r="AU83" s="453"/>
      <c r="AV83" s="453"/>
      <c r="AW83" s="453"/>
      <c r="AX83" s="453">
        <f>SUM(AX58:BB82)</f>
        <v>4732</v>
      </c>
      <c r="AY83" s="453"/>
      <c r="AZ83" s="453"/>
      <c r="BA83" s="453"/>
      <c r="BB83" s="454"/>
    </row>
    <row r="84" spans="1:54" ht="11.25" customHeight="1" thickBot="1" x14ac:dyDescent="0.25">
      <c r="R84" s="175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 t="s">
        <v>19</v>
      </c>
      <c r="AE84" s="176" t="s">
        <v>21</v>
      </c>
      <c r="AF84" s="176"/>
      <c r="AG84" s="176"/>
      <c r="AH84" s="176"/>
      <c r="AI84" s="176"/>
      <c r="AJ84" s="176"/>
      <c r="AK84" s="176"/>
      <c r="AL84" s="176"/>
      <c r="AM84" s="176"/>
      <c r="AN84" s="176"/>
      <c r="AO84" s="630">
        <v>0.30199999999999999</v>
      </c>
      <c r="AP84" s="631"/>
      <c r="AQ84" s="631"/>
      <c r="AR84" s="632"/>
      <c r="AS84" s="463">
        <f>AX84/U12</f>
        <v>102.07599999999999</v>
      </c>
      <c r="AT84" s="463"/>
      <c r="AU84" s="463"/>
      <c r="AV84" s="463"/>
      <c r="AW84" s="463"/>
      <c r="AX84" s="463">
        <f>AX83*AO84</f>
        <v>1429.0639999999999</v>
      </c>
      <c r="AY84" s="463"/>
      <c r="AZ84" s="463"/>
      <c r="BA84" s="463"/>
      <c r="BB84" s="633"/>
    </row>
    <row r="85" spans="1:54" ht="11.25" customHeight="1" thickBot="1" x14ac:dyDescent="0.25">
      <c r="M85" s="164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206"/>
      <c r="AP85" s="179"/>
      <c r="AQ85" s="179"/>
      <c r="AR85" s="179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</row>
    <row r="86" spans="1:54" ht="12" customHeight="1" x14ac:dyDescent="0.2">
      <c r="A86" s="634" t="s">
        <v>32</v>
      </c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34"/>
      <c r="O86" s="635" t="s">
        <v>33</v>
      </c>
      <c r="P86" s="636"/>
      <c r="Q86" s="636"/>
      <c r="R86" s="636"/>
      <c r="S86" s="636"/>
      <c r="T86" s="636"/>
      <c r="U86" s="636"/>
      <c r="V86" s="636"/>
      <c r="W86" s="636"/>
      <c r="X86" s="636"/>
      <c r="Y86" s="636"/>
      <c r="Z86" s="636"/>
      <c r="AA86" s="636"/>
      <c r="AB86" s="636"/>
      <c r="AC86" s="636"/>
      <c r="AD86" s="636"/>
      <c r="AE86" s="636"/>
      <c r="AF86" s="636"/>
      <c r="AG86" s="636"/>
      <c r="AH86" s="636"/>
      <c r="AI86" s="636"/>
      <c r="AJ86" s="636"/>
      <c r="AK86" s="636"/>
      <c r="AL86" s="636"/>
      <c r="AM86" s="636"/>
      <c r="AN86" s="636"/>
      <c r="AO86" s="637">
        <f>AS34+AS51+AS83</f>
        <v>473.20000000000005</v>
      </c>
      <c r="AP86" s="637"/>
      <c r="AQ86" s="637"/>
      <c r="AR86" s="637"/>
      <c r="AS86" s="637"/>
      <c r="AT86" s="637"/>
      <c r="AU86" s="637"/>
      <c r="AV86" s="637">
        <f>AX34+AX51+AX83</f>
        <v>6624.8</v>
      </c>
      <c r="AW86" s="637"/>
      <c r="AX86" s="637"/>
      <c r="AY86" s="637"/>
      <c r="AZ86" s="637"/>
      <c r="BA86" s="637"/>
      <c r="BB86" s="638"/>
    </row>
    <row r="87" spans="1:54" ht="12" customHeight="1" thickBot="1" x14ac:dyDescent="0.25">
      <c r="M87" s="163"/>
      <c r="O87" s="643" t="s">
        <v>34</v>
      </c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4"/>
      <c r="AI87" s="644"/>
      <c r="AJ87" s="644"/>
      <c r="AK87" s="644"/>
      <c r="AL87" s="644"/>
      <c r="AM87" s="644"/>
      <c r="AN87" s="644"/>
      <c r="AO87" s="645">
        <f>AS35+AS52+AS84</f>
        <v>142.90639999999999</v>
      </c>
      <c r="AP87" s="645"/>
      <c r="AQ87" s="645"/>
      <c r="AR87" s="645"/>
      <c r="AS87" s="645"/>
      <c r="AT87" s="645"/>
      <c r="AU87" s="645"/>
      <c r="AV87" s="645">
        <f>AX35+AX52+AX84</f>
        <v>2000.6895999999999</v>
      </c>
      <c r="AW87" s="645"/>
      <c r="AX87" s="645"/>
      <c r="AY87" s="645"/>
      <c r="AZ87" s="645"/>
      <c r="BA87" s="645"/>
      <c r="BB87" s="646"/>
    </row>
    <row r="88" spans="1:54" ht="12" customHeight="1" thickBot="1" x14ac:dyDescent="0.25">
      <c r="M88" s="208" t="s">
        <v>35</v>
      </c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10"/>
      <c r="AO88" s="647">
        <f>AO87+AO86</f>
        <v>616.10640000000001</v>
      </c>
      <c r="AP88" s="648"/>
      <c r="AQ88" s="648"/>
      <c r="AR88" s="648"/>
      <c r="AS88" s="648"/>
      <c r="AT88" s="648"/>
      <c r="AU88" s="648"/>
      <c r="AV88" s="648">
        <f>AV86+AV87</f>
        <v>8625.4896000000008</v>
      </c>
      <c r="AW88" s="648"/>
      <c r="AX88" s="648"/>
      <c r="AY88" s="648"/>
      <c r="AZ88" s="648"/>
      <c r="BA88" s="648"/>
      <c r="BB88" s="649"/>
    </row>
    <row r="89" spans="1:54" ht="10.5" customHeight="1" x14ac:dyDescent="0.2"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</row>
    <row r="90" spans="1:54" s="159" customFormat="1" ht="15" customHeight="1" x14ac:dyDescent="0.2">
      <c r="A90" s="159" t="s">
        <v>36</v>
      </c>
      <c r="C90" s="159" t="s">
        <v>37</v>
      </c>
      <c r="AX90" s="160"/>
      <c r="AY90" s="160"/>
      <c r="AZ90" s="160"/>
      <c r="BA90" s="160"/>
      <c r="BB90" s="160"/>
    </row>
    <row r="91" spans="1:54" ht="12" customHeight="1" thickBot="1" x14ac:dyDescent="0.25"/>
    <row r="92" spans="1:54" s="163" customFormat="1" ht="39" customHeight="1" x14ac:dyDescent="0.2">
      <c r="A92" s="499" t="s">
        <v>38</v>
      </c>
      <c r="B92" s="500"/>
      <c r="C92" s="500"/>
      <c r="D92" s="500"/>
      <c r="E92" s="500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35" t="s">
        <v>39</v>
      </c>
      <c r="R92" s="535"/>
      <c r="S92" s="535"/>
      <c r="T92" s="535"/>
      <c r="U92" s="535"/>
      <c r="V92" s="535"/>
      <c r="W92" s="535"/>
      <c r="X92" s="535" t="s">
        <v>40</v>
      </c>
      <c r="Y92" s="535"/>
      <c r="Z92" s="535"/>
      <c r="AA92" s="535"/>
      <c r="AB92" s="535"/>
      <c r="AC92" s="535"/>
      <c r="AD92" s="535"/>
      <c r="AE92" s="535" t="s">
        <v>41</v>
      </c>
      <c r="AF92" s="535"/>
      <c r="AG92" s="535"/>
      <c r="AH92" s="535"/>
      <c r="AI92" s="535"/>
      <c r="AJ92" s="535"/>
      <c r="AK92" s="535"/>
      <c r="AL92" s="535"/>
      <c r="AM92" s="500" t="s">
        <v>42</v>
      </c>
      <c r="AN92" s="500"/>
      <c r="AO92" s="500"/>
      <c r="AP92" s="500"/>
      <c r="AQ92" s="500"/>
      <c r="AR92" s="500"/>
      <c r="AS92" s="500"/>
      <c r="AT92" s="500"/>
      <c r="AU92" s="500"/>
      <c r="AV92" s="500" t="s">
        <v>43</v>
      </c>
      <c r="AW92" s="500"/>
      <c r="AX92" s="500"/>
      <c r="AY92" s="500"/>
      <c r="AZ92" s="500"/>
      <c r="BA92" s="500"/>
      <c r="BB92" s="639"/>
    </row>
    <row r="93" spans="1:54" s="163" customFormat="1" ht="12" customHeight="1" thickBot="1" x14ac:dyDescent="0.25">
      <c r="A93" s="640">
        <v>1</v>
      </c>
      <c r="B93" s="641"/>
      <c r="C93" s="641"/>
      <c r="D93" s="641"/>
      <c r="E93" s="641"/>
      <c r="F93" s="641"/>
      <c r="G93" s="641"/>
      <c r="H93" s="641"/>
      <c r="I93" s="641"/>
      <c r="J93" s="641"/>
      <c r="K93" s="641"/>
      <c r="L93" s="641"/>
      <c r="M93" s="641"/>
      <c r="N93" s="641"/>
      <c r="O93" s="641"/>
      <c r="P93" s="641"/>
      <c r="Q93" s="641">
        <v>2</v>
      </c>
      <c r="R93" s="641"/>
      <c r="S93" s="641"/>
      <c r="T93" s="641"/>
      <c r="U93" s="641"/>
      <c r="V93" s="641"/>
      <c r="W93" s="641"/>
      <c r="X93" s="641">
        <v>3</v>
      </c>
      <c r="Y93" s="641"/>
      <c r="Z93" s="641"/>
      <c r="AA93" s="641"/>
      <c r="AB93" s="641"/>
      <c r="AC93" s="641"/>
      <c r="AD93" s="641"/>
      <c r="AE93" s="641">
        <v>4</v>
      </c>
      <c r="AF93" s="641"/>
      <c r="AG93" s="641"/>
      <c r="AH93" s="641"/>
      <c r="AI93" s="641"/>
      <c r="AJ93" s="641"/>
      <c r="AK93" s="641"/>
      <c r="AL93" s="641"/>
      <c r="AM93" s="641">
        <v>5</v>
      </c>
      <c r="AN93" s="641"/>
      <c r="AO93" s="641"/>
      <c r="AP93" s="641"/>
      <c r="AQ93" s="641"/>
      <c r="AR93" s="641"/>
      <c r="AS93" s="641"/>
      <c r="AT93" s="641"/>
      <c r="AU93" s="641"/>
      <c r="AV93" s="641">
        <v>6</v>
      </c>
      <c r="AW93" s="641"/>
      <c r="AX93" s="641"/>
      <c r="AY93" s="641"/>
      <c r="AZ93" s="641"/>
      <c r="BA93" s="641"/>
      <c r="BB93" s="642"/>
    </row>
    <row r="94" spans="1:54" ht="15" customHeight="1" x14ac:dyDescent="0.2">
      <c r="A94" s="618" t="s">
        <v>44</v>
      </c>
      <c r="B94" s="619"/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9"/>
      <c r="Q94" s="572">
        <v>5014.7</v>
      </c>
      <c r="R94" s="573"/>
      <c r="S94" s="573"/>
      <c r="T94" s="573"/>
      <c r="U94" s="573"/>
      <c r="V94" s="573"/>
      <c r="W94" s="574"/>
      <c r="X94" s="572">
        <v>100.8</v>
      </c>
      <c r="Y94" s="573"/>
      <c r="Z94" s="573"/>
      <c r="AA94" s="573"/>
      <c r="AB94" s="573"/>
      <c r="AC94" s="573"/>
      <c r="AD94" s="574"/>
      <c r="AE94" s="477">
        <v>1343273.99</v>
      </c>
      <c r="AF94" s="477"/>
      <c r="AG94" s="477"/>
      <c r="AH94" s="477"/>
      <c r="AI94" s="477"/>
      <c r="AJ94" s="477"/>
      <c r="AK94" s="477"/>
      <c r="AL94" s="477"/>
      <c r="AM94" s="620" t="s">
        <v>45</v>
      </c>
      <c r="AN94" s="621"/>
      <c r="AO94" s="621"/>
      <c r="AP94" s="621"/>
      <c r="AQ94" s="621"/>
      <c r="AR94" s="621"/>
      <c r="AS94" s="621"/>
      <c r="AT94" s="621"/>
      <c r="AU94" s="622"/>
      <c r="AV94" s="615">
        <f>AE94/$Q$94*$X$94/($AN$95*$AN$96)</f>
        <v>9.1096560856022553</v>
      </c>
      <c r="AW94" s="615"/>
      <c r="AX94" s="615"/>
      <c r="AY94" s="615"/>
      <c r="AZ94" s="615"/>
      <c r="BA94" s="615"/>
      <c r="BB94" s="616"/>
    </row>
    <row r="95" spans="1:54" ht="15" customHeight="1" x14ac:dyDescent="0.2">
      <c r="A95" s="618" t="s">
        <v>46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/>
      <c r="R95" s="573"/>
      <c r="S95" s="573"/>
      <c r="T95" s="573"/>
      <c r="U95" s="573"/>
      <c r="V95" s="573"/>
      <c r="W95" s="574"/>
      <c r="X95" s="572"/>
      <c r="Y95" s="573"/>
      <c r="Z95" s="573"/>
      <c r="AA95" s="573"/>
      <c r="AB95" s="573"/>
      <c r="AC95" s="573"/>
      <c r="AD95" s="574"/>
      <c r="AE95" s="529">
        <v>2640483.81</v>
      </c>
      <c r="AF95" s="529"/>
      <c r="AG95" s="529"/>
      <c r="AH95" s="529"/>
      <c r="AI95" s="529"/>
      <c r="AJ95" s="529"/>
      <c r="AK95" s="529"/>
      <c r="AL95" s="529"/>
      <c r="AM95" s="213"/>
      <c r="AN95" s="623">
        <v>247</v>
      </c>
      <c r="AO95" s="623"/>
      <c r="AP95" s="623"/>
      <c r="AQ95" s="617" t="s">
        <v>47</v>
      </c>
      <c r="AR95" s="617"/>
      <c r="AS95" s="617"/>
      <c r="AT95" s="617"/>
      <c r="AU95" s="214"/>
      <c r="AV95" s="615">
        <f>AE95/$Q$94*$X$94/($AN$95*$AN$96)</f>
        <v>17.906919651366682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449" t="s">
        <v>48</v>
      </c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  <c r="M96" s="450"/>
      <c r="N96" s="450"/>
      <c r="O96" s="450"/>
      <c r="P96" s="451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529">
        <v>4214618.8899999997</v>
      </c>
      <c r="AF96" s="529"/>
      <c r="AG96" s="529"/>
      <c r="AH96" s="529"/>
      <c r="AI96" s="529"/>
      <c r="AJ96" s="529"/>
      <c r="AK96" s="529"/>
      <c r="AL96" s="529"/>
      <c r="AM96" s="213"/>
      <c r="AN96" s="562">
        <v>12</v>
      </c>
      <c r="AO96" s="562"/>
      <c r="AP96" s="562"/>
      <c r="AQ96" s="617" t="s">
        <v>49</v>
      </c>
      <c r="AR96" s="617"/>
      <c r="AS96" s="617"/>
      <c r="AT96" s="617"/>
      <c r="AU96" s="214"/>
      <c r="AV96" s="615">
        <f>AE96/$Q$94*$X$94/($AN$95*$AN$96)</f>
        <v>28.582202071658312</v>
      </c>
      <c r="AW96" s="615"/>
      <c r="AX96" s="615"/>
      <c r="AY96" s="615"/>
      <c r="AZ96" s="615"/>
      <c r="BA96" s="615"/>
      <c r="BB96" s="616"/>
    </row>
    <row r="97" spans="1:57" ht="15" customHeight="1" thickBot="1" x14ac:dyDescent="0.25">
      <c r="A97" s="624" t="s">
        <v>50</v>
      </c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6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627">
        <v>1852856.09</v>
      </c>
      <c r="AF97" s="627"/>
      <c r="AG97" s="627"/>
      <c r="AH97" s="627"/>
      <c r="AI97" s="627"/>
      <c r="AJ97" s="627"/>
      <c r="AK97" s="627"/>
      <c r="AL97" s="627"/>
      <c r="AM97" s="213"/>
      <c r="AN97" s="186"/>
      <c r="AO97" s="186"/>
      <c r="AP97" s="186"/>
      <c r="AQ97" s="186"/>
      <c r="AR97" s="186"/>
      <c r="AS97" s="186"/>
      <c r="AT97" s="186"/>
      <c r="AU97" s="214"/>
      <c r="AV97" s="628">
        <f>AE97/$Q$94*$X$94/($AN$95*$AN$96)</f>
        <v>12.565479478995721</v>
      </c>
      <c r="AW97" s="628"/>
      <c r="AX97" s="628"/>
      <c r="AY97" s="628"/>
      <c r="AZ97" s="628"/>
      <c r="BA97" s="628"/>
      <c r="BB97" s="629"/>
    </row>
    <row r="98" spans="1:57" s="161" customFormat="1" ht="15" customHeight="1" thickBot="1" x14ac:dyDescent="0.25">
      <c r="A98" s="610" t="s">
        <v>51</v>
      </c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531">
        <f>Q94</f>
        <v>5014.7</v>
      </c>
      <c r="R98" s="533"/>
      <c r="S98" s="533"/>
      <c r="T98" s="533"/>
      <c r="U98" s="533"/>
      <c r="V98" s="533"/>
      <c r="W98" s="534"/>
      <c r="X98" s="531">
        <f>X94</f>
        <v>100.8</v>
      </c>
      <c r="Y98" s="533"/>
      <c r="Z98" s="533"/>
      <c r="AA98" s="533"/>
      <c r="AB98" s="533"/>
      <c r="AC98" s="533"/>
      <c r="AD98" s="534"/>
      <c r="AE98" s="612">
        <f>SUM(AE94:AL97)</f>
        <v>10051232.779999999</v>
      </c>
      <c r="AF98" s="612"/>
      <c r="AG98" s="612"/>
      <c r="AH98" s="612"/>
      <c r="AI98" s="612"/>
      <c r="AJ98" s="612"/>
      <c r="AK98" s="612"/>
      <c r="AL98" s="612"/>
      <c r="AM98" s="531" t="s">
        <v>17</v>
      </c>
      <c r="AN98" s="533"/>
      <c r="AO98" s="533"/>
      <c r="AP98" s="533"/>
      <c r="AQ98" s="533"/>
      <c r="AR98" s="533"/>
      <c r="AS98" s="533"/>
      <c r="AT98" s="533"/>
      <c r="AU98" s="534"/>
      <c r="AV98" s="613">
        <f>SUM(AV94:BB97)</f>
        <v>68.164257287622974</v>
      </c>
      <c r="AW98" s="613"/>
      <c r="AX98" s="613"/>
      <c r="AY98" s="613"/>
      <c r="AZ98" s="613"/>
      <c r="BA98" s="613"/>
      <c r="BB98" s="614"/>
    </row>
    <row r="99" spans="1:57" ht="12" customHeight="1" x14ac:dyDescent="0.2"/>
    <row r="100" spans="1:57" s="159" customFormat="1" ht="15" customHeight="1" x14ac:dyDescent="0.2">
      <c r="A100" s="159" t="s">
        <v>52</v>
      </c>
      <c r="C100" s="159" t="s">
        <v>53</v>
      </c>
      <c r="AX100" s="160"/>
      <c r="AY100" s="160"/>
      <c r="AZ100" s="160"/>
      <c r="BA100" s="160"/>
      <c r="BB100" s="160"/>
    </row>
    <row r="101" spans="1:57" ht="12" customHeight="1" thickBot="1" x14ac:dyDescent="0.25"/>
    <row r="102" spans="1:57" ht="39" customHeight="1" thickBot="1" x14ac:dyDescent="0.25">
      <c r="A102" s="687" t="s">
        <v>54</v>
      </c>
      <c r="B102" s="688"/>
      <c r="C102" s="688"/>
      <c r="D102" s="688"/>
      <c r="E102" s="688"/>
      <c r="F102" s="688"/>
      <c r="G102" s="688"/>
      <c r="H102" s="688"/>
      <c r="I102" s="688"/>
      <c r="J102" s="688"/>
      <c r="K102" s="688"/>
      <c r="L102" s="688"/>
      <c r="M102" s="688"/>
      <c r="N102" s="688"/>
      <c r="O102" s="688"/>
      <c r="P102" s="688"/>
      <c r="Q102" s="688"/>
      <c r="R102" s="688"/>
      <c r="S102" s="688"/>
      <c r="T102" s="688"/>
      <c r="U102" s="688"/>
      <c r="V102" s="688"/>
      <c r="W102" s="688"/>
      <c r="X102" s="688"/>
      <c r="Y102" s="688"/>
      <c r="Z102" s="689"/>
      <c r="AA102" s="671" t="s">
        <v>55</v>
      </c>
      <c r="AB102" s="672"/>
      <c r="AC102" s="672"/>
      <c r="AD102" s="672"/>
      <c r="AE102" s="672"/>
      <c r="AF102" s="699"/>
      <c r="AG102" s="671" t="s">
        <v>56</v>
      </c>
      <c r="AH102" s="672"/>
      <c r="AI102" s="672"/>
      <c r="AJ102" s="672"/>
      <c r="AK102" s="672"/>
      <c r="AL102" s="699"/>
      <c r="AM102" s="696" t="s">
        <v>57</v>
      </c>
      <c r="AN102" s="688"/>
      <c r="AO102" s="688"/>
      <c r="AP102" s="688"/>
      <c r="AQ102" s="688"/>
      <c r="AR102" s="688"/>
      <c r="AS102" s="688"/>
      <c r="AT102" s="689"/>
      <c r="AU102" s="696" t="s">
        <v>43</v>
      </c>
      <c r="AV102" s="688"/>
      <c r="AW102" s="688"/>
      <c r="AX102" s="688"/>
      <c r="AY102" s="688"/>
      <c r="AZ102" s="688"/>
      <c r="BA102" s="688"/>
      <c r="BB102" s="852"/>
    </row>
    <row r="103" spans="1:57" ht="15.75" customHeight="1" thickBot="1" x14ac:dyDescent="0.25">
      <c r="A103" s="532">
        <v>1</v>
      </c>
      <c r="B103" s="533"/>
      <c r="C103" s="533"/>
      <c r="D103" s="533"/>
      <c r="E103" s="533"/>
      <c r="F103" s="533"/>
      <c r="G103" s="533"/>
      <c r="H103" s="533"/>
      <c r="I103" s="533"/>
      <c r="J103" s="533"/>
      <c r="K103" s="533"/>
      <c r="L103" s="533"/>
      <c r="M103" s="533"/>
      <c r="N103" s="533"/>
      <c r="O103" s="533"/>
      <c r="P103" s="533"/>
      <c r="Q103" s="533"/>
      <c r="R103" s="533"/>
      <c r="S103" s="533"/>
      <c r="T103" s="533"/>
      <c r="U103" s="533"/>
      <c r="V103" s="533"/>
      <c r="W103" s="533"/>
      <c r="X103" s="533"/>
      <c r="Y103" s="533"/>
      <c r="Z103" s="534"/>
      <c r="AA103" s="531">
        <v>2</v>
      </c>
      <c r="AB103" s="533"/>
      <c r="AC103" s="533"/>
      <c r="AD103" s="533"/>
      <c r="AE103" s="533"/>
      <c r="AF103" s="534"/>
      <c r="AG103" s="531">
        <v>3</v>
      </c>
      <c r="AH103" s="533"/>
      <c r="AI103" s="533"/>
      <c r="AJ103" s="533"/>
      <c r="AK103" s="533"/>
      <c r="AL103" s="534"/>
      <c r="AM103" s="531">
        <v>4</v>
      </c>
      <c r="AN103" s="533"/>
      <c r="AO103" s="533"/>
      <c r="AP103" s="533"/>
      <c r="AQ103" s="533"/>
      <c r="AR103" s="533"/>
      <c r="AS103" s="533"/>
      <c r="AT103" s="534"/>
      <c r="AU103" s="531">
        <v>5</v>
      </c>
      <c r="AV103" s="533"/>
      <c r="AW103" s="533"/>
      <c r="AX103" s="533"/>
      <c r="AY103" s="533"/>
      <c r="AZ103" s="533"/>
      <c r="BA103" s="533"/>
      <c r="BB103" s="680"/>
    </row>
    <row r="104" spans="1:57" ht="1.5" hidden="1" customHeight="1" x14ac:dyDescent="0.2">
      <c r="A104" s="566" t="s">
        <v>77</v>
      </c>
      <c r="B104" s="567"/>
      <c r="C104" s="567"/>
      <c r="D104" s="567"/>
      <c r="E104" s="567"/>
      <c r="F104" s="567"/>
      <c r="G104" s="567"/>
      <c r="H104" s="567"/>
      <c r="I104" s="567"/>
      <c r="J104" s="567"/>
      <c r="K104" s="567"/>
      <c r="L104" s="567"/>
      <c r="M104" s="567"/>
      <c r="N104" s="567"/>
      <c r="O104" s="567"/>
      <c r="P104" s="567"/>
      <c r="Q104" s="567"/>
      <c r="R104" s="567"/>
      <c r="S104" s="567"/>
      <c r="T104" s="567"/>
      <c r="U104" s="567"/>
      <c r="V104" s="567"/>
      <c r="W104" s="567"/>
      <c r="X104" s="567"/>
      <c r="Y104" s="567"/>
      <c r="Z104" s="568"/>
      <c r="AA104" s="604"/>
      <c r="AB104" s="605"/>
      <c r="AC104" s="605"/>
      <c r="AD104" s="605"/>
      <c r="AE104" s="605"/>
      <c r="AF104" s="606"/>
      <c r="AG104" s="569">
        <f>U12</f>
        <v>14</v>
      </c>
      <c r="AH104" s="570"/>
      <c r="AI104" s="570"/>
      <c r="AJ104" s="570"/>
      <c r="AK104" s="570"/>
      <c r="AL104" s="571"/>
      <c r="AM104" s="569" t="s">
        <v>58</v>
      </c>
      <c r="AN104" s="570"/>
      <c r="AO104" s="570"/>
      <c r="AP104" s="570"/>
      <c r="AQ104" s="570"/>
      <c r="AR104" s="570"/>
      <c r="AS104" s="570"/>
      <c r="AT104" s="571"/>
      <c r="AU104" s="607">
        <f>AA104/AG104</f>
        <v>0</v>
      </c>
      <c r="AV104" s="608"/>
      <c r="AW104" s="608"/>
      <c r="AX104" s="608"/>
      <c r="AY104" s="608"/>
      <c r="AZ104" s="608"/>
      <c r="BA104" s="608"/>
      <c r="BB104" s="609"/>
    </row>
    <row r="105" spans="1:57" ht="18.75" customHeight="1" x14ac:dyDescent="0.2">
      <c r="A105" s="449" t="s">
        <v>90</v>
      </c>
      <c r="B105" s="450"/>
      <c r="C105" s="450"/>
      <c r="D105" s="450"/>
      <c r="E105" s="450"/>
      <c r="F105" s="450"/>
      <c r="G105" s="450"/>
      <c r="H105" s="450"/>
      <c r="I105" s="450"/>
      <c r="J105" s="450"/>
      <c r="K105" s="450"/>
      <c r="L105" s="450"/>
      <c r="M105" s="450"/>
      <c r="N105" s="450"/>
      <c r="O105" s="450"/>
      <c r="P105" s="450"/>
      <c r="Q105" s="450"/>
      <c r="R105" s="450"/>
      <c r="S105" s="450"/>
      <c r="T105" s="450"/>
      <c r="U105" s="450"/>
      <c r="V105" s="450"/>
      <c r="W105" s="450"/>
      <c r="X105" s="450"/>
      <c r="Y105" s="450"/>
      <c r="Z105" s="451"/>
      <c r="AA105" s="596">
        <v>100</v>
      </c>
      <c r="AB105" s="597"/>
      <c r="AC105" s="597"/>
      <c r="AD105" s="597"/>
      <c r="AE105" s="597"/>
      <c r="AF105" s="59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590">
        <f>AA105/AG104</f>
        <v>7.1428571428571432</v>
      </c>
      <c r="AV105" s="591"/>
      <c r="AW105" s="591"/>
      <c r="AX105" s="591"/>
      <c r="AY105" s="591"/>
      <c r="AZ105" s="591"/>
      <c r="BA105" s="591"/>
      <c r="BB105" s="592"/>
    </row>
    <row r="106" spans="1:57" ht="20.25" customHeight="1" x14ac:dyDescent="0.2">
      <c r="A106" s="593" t="s">
        <v>200</v>
      </c>
      <c r="B106" s="594"/>
      <c r="C106" s="594"/>
      <c r="D106" s="594"/>
      <c r="E106" s="594"/>
      <c r="F106" s="594"/>
      <c r="G106" s="594"/>
      <c r="H106" s="594"/>
      <c r="I106" s="594"/>
      <c r="J106" s="594"/>
      <c r="K106" s="594"/>
      <c r="L106" s="594"/>
      <c r="M106" s="594"/>
      <c r="N106" s="594"/>
      <c r="O106" s="594"/>
      <c r="P106" s="594"/>
      <c r="Q106" s="594"/>
      <c r="R106" s="594"/>
      <c r="S106" s="594"/>
      <c r="T106" s="594"/>
      <c r="U106" s="594"/>
      <c r="V106" s="594"/>
      <c r="W106" s="594"/>
      <c r="X106" s="594"/>
      <c r="Y106" s="594"/>
      <c r="Z106" s="595"/>
      <c r="AA106" s="596">
        <v>150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AA106/AG104</f>
        <v>10.714285714285714</v>
      </c>
      <c r="AV106" s="591"/>
      <c r="AW106" s="591"/>
      <c r="AX106" s="591"/>
      <c r="AY106" s="591"/>
      <c r="AZ106" s="591"/>
      <c r="BA106" s="591"/>
      <c r="BB106" s="592"/>
    </row>
    <row r="107" spans="1:57" ht="0.75" customHeight="1" x14ac:dyDescent="0.2">
      <c r="A107" s="593"/>
      <c r="B107" s="594"/>
      <c r="C107" s="594"/>
      <c r="D107" s="594"/>
      <c r="E107" s="594"/>
      <c r="F107" s="594"/>
      <c r="G107" s="594"/>
      <c r="H107" s="594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4"/>
      <c r="Z107" s="595"/>
      <c r="AA107" s="596"/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AA107/AG104</f>
        <v>0</v>
      </c>
      <c r="AV107" s="591"/>
      <c r="AW107" s="591"/>
      <c r="AX107" s="591"/>
      <c r="AY107" s="591"/>
      <c r="AZ107" s="591"/>
      <c r="BA107" s="591"/>
      <c r="BB107" s="592"/>
      <c r="BE107" s="117">
        <f>AU107*12*4</f>
        <v>0</v>
      </c>
    </row>
    <row r="108" spans="1:57" ht="22.5" hidden="1" customHeight="1" thickBot="1" x14ac:dyDescent="0.25">
      <c r="A108" s="593"/>
      <c r="B108" s="594"/>
      <c r="C108" s="594"/>
      <c r="D108" s="594"/>
      <c r="E108" s="594"/>
      <c r="F108" s="594"/>
      <c r="G108" s="594"/>
      <c r="H108" s="594"/>
      <c r="I108" s="594"/>
      <c r="J108" s="594"/>
      <c r="K108" s="594"/>
      <c r="L108" s="594"/>
      <c r="M108" s="594"/>
      <c r="N108" s="594"/>
      <c r="O108" s="594"/>
      <c r="P108" s="594"/>
      <c r="Q108" s="594"/>
      <c r="R108" s="594"/>
      <c r="S108" s="594"/>
      <c r="T108" s="594"/>
      <c r="U108" s="594"/>
      <c r="V108" s="594"/>
      <c r="W108" s="594"/>
      <c r="X108" s="594"/>
      <c r="Y108" s="594"/>
      <c r="Z108" s="595"/>
      <c r="AA108" s="596"/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>
        <f>AA108/AG104</f>
        <v>0</v>
      </c>
      <c r="AV108" s="591"/>
      <c r="AW108" s="591"/>
      <c r="AX108" s="591"/>
      <c r="AY108" s="591"/>
      <c r="AZ108" s="591"/>
      <c r="BA108" s="591"/>
      <c r="BB108" s="592"/>
    </row>
    <row r="109" spans="1:57" ht="26.25" hidden="1" customHeight="1" thickBot="1" x14ac:dyDescent="0.25">
      <c r="A109" s="449"/>
      <c r="B109" s="450"/>
      <c r="C109" s="450"/>
      <c r="D109" s="450"/>
      <c r="E109" s="450"/>
      <c r="F109" s="450"/>
      <c r="G109" s="450"/>
      <c r="H109" s="450"/>
      <c r="I109" s="450"/>
      <c r="J109" s="450"/>
      <c r="K109" s="450"/>
      <c r="L109" s="450"/>
      <c r="M109" s="450"/>
      <c r="N109" s="450"/>
      <c r="O109" s="450"/>
      <c r="P109" s="450"/>
      <c r="Q109" s="450"/>
      <c r="R109" s="450"/>
      <c r="S109" s="450"/>
      <c r="T109" s="450"/>
      <c r="U109" s="450"/>
      <c r="V109" s="450"/>
      <c r="W109" s="450"/>
      <c r="X109" s="450"/>
      <c r="Y109" s="450"/>
      <c r="Z109" s="451"/>
      <c r="AA109" s="596"/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590">
        <f>AA109/AG104</f>
        <v>0</v>
      </c>
      <c r="AV109" s="591"/>
      <c r="AW109" s="591"/>
      <c r="AX109" s="591"/>
      <c r="AY109" s="591"/>
      <c r="AZ109" s="591"/>
      <c r="BA109" s="591"/>
      <c r="BB109" s="592"/>
    </row>
    <row r="110" spans="1:57" ht="19.5" hidden="1" customHeight="1" thickBot="1" x14ac:dyDescent="0.25">
      <c r="A110" s="593"/>
      <c r="B110" s="594"/>
      <c r="C110" s="594"/>
      <c r="D110" s="594"/>
      <c r="E110" s="594"/>
      <c r="F110" s="594"/>
      <c r="G110" s="594"/>
      <c r="H110" s="594"/>
      <c r="I110" s="594"/>
      <c r="J110" s="594"/>
      <c r="K110" s="594"/>
      <c r="L110" s="594"/>
      <c r="M110" s="594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4"/>
      <c r="Z110" s="595"/>
      <c r="AA110" s="596"/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590">
        <f>AA110/AG104</f>
        <v>0</v>
      </c>
      <c r="AV110" s="591"/>
      <c r="AW110" s="591"/>
      <c r="AX110" s="591"/>
      <c r="AY110" s="591"/>
      <c r="AZ110" s="591"/>
      <c r="BA110" s="591"/>
      <c r="BB110" s="592"/>
    </row>
    <row r="111" spans="1:57" ht="0.75" hidden="1" customHeight="1" thickBot="1" x14ac:dyDescent="0.25">
      <c r="A111" s="593"/>
      <c r="B111" s="594"/>
      <c r="C111" s="594"/>
      <c r="D111" s="594"/>
      <c r="E111" s="594"/>
      <c r="F111" s="594"/>
      <c r="G111" s="594"/>
      <c r="H111" s="594"/>
      <c r="I111" s="594"/>
      <c r="J111" s="594"/>
      <c r="K111" s="594"/>
      <c r="L111" s="594"/>
      <c r="M111" s="594"/>
      <c r="N111" s="594"/>
      <c r="O111" s="594"/>
      <c r="P111" s="594"/>
      <c r="Q111" s="594"/>
      <c r="R111" s="594"/>
      <c r="S111" s="594"/>
      <c r="T111" s="594"/>
      <c r="U111" s="594"/>
      <c r="V111" s="594"/>
      <c r="W111" s="594"/>
      <c r="X111" s="594"/>
      <c r="Y111" s="594"/>
      <c r="Z111" s="595"/>
      <c r="AA111" s="596"/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AA111/AG104</f>
        <v>0</v>
      </c>
      <c r="AV111" s="591"/>
      <c r="AW111" s="591"/>
      <c r="AX111" s="591"/>
      <c r="AY111" s="591"/>
      <c r="AZ111" s="591"/>
      <c r="BA111" s="591"/>
      <c r="BB111" s="592"/>
    </row>
    <row r="112" spans="1:57" ht="19.5" hidden="1" customHeight="1" x14ac:dyDescent="0.2">
      <c r="A112" s="593"/>
      <c r="B112" s="594"/>
      <c r="C112" s="594"/>
      <c r="D112" s="594"/>
      <c r="E112" s="594"/>
      <c r="F112" s="594"/>
      <c r="G112" s="594"/>
      <c r="H112" s="594"/>
      <c r="I112" s="594"/>
      <c r="J112" s="594"/>
      <c r="K112" s="594"/>
      <c r="L112" s="594"/>
      <c r="M112" s="594"/>
      <c r="N112" s="594"/>
      <c r="O112" s="594"/>
      <c r="P112" s="594"/>
      <c r="Q112" s="594"/>
      <c r="R112" s="594"/>
      <c r="S112" s="594"/>
      <c r="T112" s="594"/>
      <c r="U112" s="594"/>
      <c r="V112" s="594"/>
      <c r="W112" s="594"/>
      <c r="X112" s="594"/>
      <c r="Y112" s="594"/>
      <c r="Z112" s="595"/>
      <c r="AA112" s="596"/>
      <c r="AB112" s="597"/>
      <c r="AC112" s="597"/>
      <c r="AD112" s="597"/>
      <c r="AE112" s="597"/>
      <c r="AF112" s="598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AA112/AG104</f>
        <v>0</v>
      </c>
      <c r="AV112" s="591"/>
      <c r="AW112" s="591"/>
      <c r="AX112" s="591"/>
      <c r="AY112" s="591"/>
      <c r="AZ112" s="591"/>
      <c r="BA112" s="591"/>
      <c r="BB112" s="592"/>
    </row>
    <row r="113" spans="1:54" ht="20.25" hidden="1" customHeight="1" x14ac:dyDescent="0.2">
      <c r="A113" s="593"/>
      <c r="B113" s="594"/>
      <c r="C113" s="594"/>
      <c r="D113" s="594"/>
      <c r="E113" s="594"/>
      <c r="F113" s="594"/>
      <c r="G113" s="594"/>
      <c r="H113" s="594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4"/>
      <c r="Z113" s="595"/>
      <c r="AA113" s="596"/>
      <c r="AB113" s="597"/>
      <c r="AC113" s="597"/>
      <c r="AD113" s="597"/>
      <c r="AE113" s="597"/>
      <c r="AF113" s="598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AA113/AG104</f>
        <v>0</v>
      </c>
      <c r="AV113" s="591"/>
      <c r="AW113" s="591"/>
      <c r="AX113" s="591"/>
      <c r="AY113" s="591"/>
      <c r="AZ113" s="591"/>
      <c r="BA113" s="591"/>
      <c r="BB113" s="592"/>
    </row>
    <row r="114" spans="1:54" ht="16.5" hidden="1" customHeight="1" x14ac:dyDescent="0.2">
      <c r="A114" s="593"/>
      <c r="B114" s="594"/>
      <c r="C114" s="594"/>
      <c r="D114" s="594"/>
      <c r="E114" s="594"/>
      <c r="F114" s="594"/>
      <c r="G114" s="594"/>
      <c r="H114" s="594"/>
      <c r="I114" s="594"/>
      <c r="J114" s="594"/>
      <c r="K114" s="594"/>
      <c r="L114" s="594"/>
      <c r="M114" s="594"/>
      <c r="N114" s="594"/>
      <c r="O114" s="594"/>
      <c r="P114" s="594"/>
      <c r="Q114" s="594"/>
      <c r="R114" s="594"/>
      <c r="S114" s="594"/>
      <c r="T114" s="594"/>
      <c r="U114" s="594"/>
      <c r="V114" s="594"/>
      <c r="W114" s="594"/>
      <c r="X114" s="594"/>
      <c r="Y114" s="594"/>
      <c r="Z114" s="595"/>
      <c r="AA114" s="596"/>
      <c r="AB114" s="597"/>
      <c r="AC114" s="597"/>
      <c r="AD114" s="597"/>
      <c r="AE114" s="597"/>
      <c r="AF114" s="598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AA114/AG104</f>
        <v>0</v>
      </c>
      <c r="AV114" s="591"/>
      <c r="AW114" s="591"/>
      <c r="AX114" s="591"/>
      <c r="AY114" s="591"/>
      <c r="AZ114" s="591"/>
      <c r="BA114" s="591"/>
      <c r="BB114" s="592"/>
    </row>
    <row r="115" spans="1:54" s="161" customFormat="1" ht="19.5" hidden="1" customHeight="1" x14ac:dyDescent="0.2">
      <c r="A115" s="593"/>
      <c r="B115" s="594"/>
      <c r="C115" s="594"/>
      <c r="D115" s="594"/>
      <c r="E115" s="594"/>
      <c r="F115" s="594"/>
      <c r="G115" s="594"/>
      <c r="H115" s="594"/>
      <c r="I115" s="594"/>
      <c r="J115" s="594"/>
      <c r="K115" s="594"/>
      <c r="L115" s="594"/>
      <c r="M115" s="594"/>
      <c r="N115" s="594"/>
      <c r="O115" s="594"/>
      <c r="P115" s="594"/>
      <c r="Q115" s="594"/>
      <c r="R115" s="594"/>
      <c r="S115" s="594"/>
      <c r="T115" s="594"/>
      <c r="U115" s="594"/>
      <c r="V115" s="594"/>
      <c r="W115" s="594"/>
      <c r="X115" s="594"/>
      <c r="Y115" s="594"/>
      <c r="Z115" s="595"/>
      <c r="AA115" s="596"/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AA115/AG104</f>
        <v>0</v>
      </c>
      <c r="AV115" s="591"/>
      <c r="AW115" s="591"/>
      <c r="AX115" s="591"/>
      <c r="AY115" s="591"/>
      <c r="AZ115" s="591"/>
      <c r="BA115" s="591"/>
      <c r="BB115" s="592"/>
    </row>
    <row r="116" spans="1:54" ht="1.5" hidden="1" customHeight="1" x14ac:dyDescent="0.2">
      <c r="A116" s="593"/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5"/>
      <c r="AA116" s="596"/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AA116/AG104</f>
        <v>0</v>
      </c>
      <c r="AV116" s="591"/>
      <c r="AW116" s="591"/>
      <c r="AX116" s="591"/>
      <c r="AY116" s="591"/>
      <c r="AZ116" s="591"/>
      <c r="BA116" s="591"/>
      <c r="BB116" s="592"/>
    </row>
    <row r="117" spans="1:54" s="159" customFormat="1" ht="17.25" hidden="1" customHeight="1" x14ac:dyDescent="0.2">
      <c r="A117" s="593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AA117/AG104</f>
        <v>0</v>
      </c>
      <c r="AV117" s="591"/>
      <c r="AW117" s="591"/>
      <c r="AX117" s="591"/>
      <c r="AY117" s="591"/>
      <c r="AZ117" s="591"/>
      <c r="BA117" s="591"/>
      <c r="BB117" s="592"/>
    </row>
    <row r="118" spans="1:54" ht="20.25" hidden="1" customHeight="1" x14ac:dyDescent="0.2">
      <c r="A118" s="593"/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596"/>
      <c r="AB118" s="597"/>
      <c r="AC118" s="597"/>
      <c r="AD118" s="597"/>
      <c r="AE118" s="597"/>
      <c r="AF118" s="59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AA118/AG104</f>
        <v>0</v>
      </c>
      <c r="AV118" s="591"/>
      <c r="AW118" s="591"/>
      <c r="AX118" s="591"/>
      <c r="AY118" s="591"/>
      <c r="AZ118" s="591"/>
      <c r="BA118" s="591"/>
      <c r="BB118" s="592"/>
    </row>
    <row r="119" spans="1:54" ht="18.75" hidden="1" customHeight="1" x14ac:dyDescent="0.2">
      <c r="A119" s="593"/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596"/>
      <c r="AB119" s="597"/>
      <c r="AC119" s="597"/>
      <c r="AD119" s="597"/>
      <c r="AE119" s="597"/>
      <c r="AF119" s="59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AA119/AG104</f>
        <v>0</v>
      </c>
      <c r="AV119" s="591"/>
      <c r="AW119" s="591"/>
      <c r="AX119" s="591"/>
      <c r="AY119" s="591"/>
      <c r="AZ119" s="591"/>
      <c r="BA119" s="591"/>
      <c r="BB119" s="592"/>
    </row>
    <row r="120" spans="1:54" ht="18" customHeight="1" x14ac:dyDescent="0.2">
      <c r="A120" s="593" t="s">
        <v>205</v>
      </c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5"/>
      <c r="AA120" s="596">
        <v>200</v>
      </c>
      <c r="AB120" s="597"/>
      <c r="AC120" s="597"/>
      <c r="AD120" s="597"/>
      <c r="AE120" s="597"/>
      <c r="AF120" s="598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90">
        <f>AA120/AG104</f>
        <v>14.285714285714286</v>
      </c>
      <c r="AV120" s="591"/>
      <c r="AW120" s="591"/>
      <c r="AX120" s="591"/>
      <c r="AY120" s="591"/>
      <c r="AZ120" s="591"/>
      <c r="BA120" s="591"/>
      <c r="BB120" s="592"/>
    </row>
    <row r="121" spans="1:54" ht="15.75" customHeight="1" x14ac:dyDescent="0.2">
      <c r="A121" s="593" t="s">
        <v>201</v>
      </c>
      <c r="B121" s="594"/>
      <c r="C121" s="594"/>
      <c r="D121" s="594"/>
      <c r="E121" s="594"/>
      <c r="F121" s="594"/>
      <c r="G121" s="594"/>
      <c r="H121" s="594"/>
      <c r="I121" s="594"/>
      <c r="J121" s="594"/>
      <c r="K121" s="594"/>
      <c r="L121" s="594"/>
      <c r="M121" s="594"/>
      <c r="N121" s="594"/>
      <c r="O121" s="594"/>
      <c r="P121" s="594"/>
      <c r="Q121" s="594"/>
      <c r="R121" s="594"/>
      <c r="S121" s="594"/>
      <c r="T121" s="594"/>
      <c r="U121" s="594"/>
      <c r="V121" s="594"/>
      <c r="W121" s="594"/>
      <c r="X121" s="594"/>
      <c r="Y121" s="594"/>
      <c r="Z121" s="595"/>
      <c r="AA121" s="596">
        <v>200</v>
      </c>
      <c r="AB121" s="597"/>
      <c r="AC121" s="597"/>
      <c r="AD121" s="597"/>
      <c r="AE121" s="597"/>
      <c r="AF121" s="598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590">
        <f>AA121/AG104</f>
        <v>14.285714285714286</v>
      </c>
      <c r="AV121" s="591"/>
      <c r="AW121" s="591"/>
      <c r="AX121" s="591"/>
      <c r="AY121" s="591"/>
      <c r="AZ121" s="591"/>
      <c r="BA121" s="591"/>
      <c r="BB121" s="592"/>
    </row>
    <row r="122" spans="1:54" ht="15" customHeight="1" x14ac:dyDescent="0.2">
      <c r="A122" s="593" t="s">
        <v>202</v>
      </c>
      <c r="B122" s="594"/>
      <c r="C122" s="594"/>
      <c r="D122" s="594"/>
      <c r="E122" s="594"/>
      <c r="F122" s="594"/>
      <c r="G122" s="594"/>
      <c r="H122" s="594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4"/>
      <c r="Z122" s="595"/>
      <c r="AA122" s="596">
        <v>100</v>
      </c>
      <c r="AB122" s="597"/>
      <c r="AC122" s="597"/>
      <c r="AD122" s="597"/>
      <c r="AE122" s="597"/>
      <c r="AF122" s="598"/>
      <c r="AG122" s="572"/>
      <c r="AH122" s="573"/>
      <c r="AI122" s="573"/>
      <c r="AJ122" s="573"/>
      <c r="AK122" s="573"/>
      <c r="AL122" s="574"/>
      <c r="AM122" s="572"/>
      <c r="AN122" s="573"/>
      <c r="AO122" s="573"/>
      <c r="AP122" s="573"/>
      <c r="AQ122" s="573"/>
      <c r="AR122" s="573"/>
      <c r="AS122" s="573"/>
      <c r="AT122" s="574"/>
      <c r="AU122" s="590">
        <f>AA122/AG104</f>
        <v>7.1428571428571432</v>
      </c>
      <c r="AV122" s="591"/>
      <c r="AW122" s="591"/>
      <c r="AX122" s="591"/>
      <c r="AY122" s="591"/>
      <c r="AZ122" s="591"/>
      <c r="BA122" s="591"/>
      <c r="BB122" s="592"/>
    </row>
    <row r="123" spans="1:54" ht="15" customHeight="1" x14ac:dyDescent="0.2">
      <c r="A123" s="599" t="s">
        <v>203</v>
      </c>
      <c r="B123" s="600"/>
      <c r="C123" s="600"/>
      <c r="D123" s="600"/>
      <c r="E123" s="600"/>
      <c r="F123" s="600"/>
      <c r="G123" s="600"/>
      <c r="H123" s="600"/>
      <c r="I123" s="600"/>
      <c r="J123" s="600"/>
      <c r="K123" s="600"/>
      <c r="L123" s="600"/>
      <c r="M123" s="600"/>
      <c r="N123" s="600"/>
      <c r="O123" s="600"/>
      <c r="P123" s="600"/>
      <c r="Q123" s="600"/>
      <c r="R123" s="600"/>
      <c r="S123" s="600"/>
      <c r="T123" s="600"/>
      <c r="U123" s="600"/>
      <c r="V123" s="600"/>
      <c r="W123" s="600"/>
      <c r="X123" s="600"/>
      <c r="Y123" s="600"/>
      <c r="Z123" s="600"/>
      <c r="AA123" s="596">
        <v>109.22</v>
      </c>
      <c r="AB123" s="597"/>
      <c r="AC123" s="597"/>
      <c r="AD123" s="597"/>
      <c r="AE123" s="597"/>
      <c r="AF123" s="598"/>
      <c r="AG123" s="572"/>
      <c r="AH123" s="573"/>
      <c r="AI123" s="573"/>
      <c r="AJ123" s="573"/>
      <c r="AK123" s="573"/>
      <c r="AL123" s="574"/>
      <c r="AM123" s="572"/>
      <c r="AN123" s="573"/>
      <c r="AO123" s="573"/>
      <c r="AP123" s="573"/>
      <c r="AQ123" s="573"/>
      <c r="AR123" s="573"/>
      <c r="AS123" s="573"/>
      <c r="AT123" s="574"/>
      <c r="AU123" s="602">
        <f>AA123/AG104</f>
        <v>7.8014285714285716</v>
      </c>
      <c r="AV123" s="602"/>
      <c r="AW123" s="602"/>
      <c r="AX123" s="602"/>
      <c r="AY123" s="602"/>
      <c r="AZ123" s="602"/>
      <c r="BA123" s="602"/>
      <c r="BB123" s="603"/>
    </row>
    <row r="124" spans="1:54" ht="17.25" customHeight="1" thickBot="1" x14ac:dyDescent="0.25">
      <c r="A124" s="864" t="s">
        <v>204</v>
      </c>
      <c r="B124" s="865"/>
      <c r="C124" s="865"/>
      <c r="D124" s="865"/>
      <c r="E124" s="865"/>
      <c r="F124" s="865"/>
      <c r="G124" s="865"/>
      <c r="H124" s="865"/>
      <c r="I124" s="865"/>
      <c r="J124" s="865"/>
      <c r="K124" s="865"/>
      <c r="L124" s="865"/>
      <c r="M124" s="865"/>
      <c r="N124" s="865"/>
      <c r="O124" s="865"/>
      <c r="P124" s="865"/>
      <c r="Q124" s="865"/>
      <c r="R124" s="865"/>
      <c r="S124" s="865"/>
      <c r="T124" s="865"/>
      <c r="U124" s="865"/>
      <c r="V124" s="865"/>
      <c r="W124" s="865"/>
      <c r="X124" s="865"/>
      <c r="Y124" s="865"/>
      <c r="Z124" s="865"/>
      <c r="AA124" s="905">
        <v>160</v>
      </c>
      <c r="AB124" s="906"/>
      <c r="AC124" s="906"/>
      <c r="AD124" s="906"/>
      <c r="AE124" s="906"/>
      <c r="AF124" s="907"/>
      <c r="AG124" s="859"/>
      <c r="AH124" s="860"/>
      <c r="AI124" s="860"/>
      <c r="AJ124" s="860"/>
      <c r="AK124" s="860"/>
      <c r="AL124" s="861"/>
      <c r="AM124" s="859"/>
      <c r="AN124" s="860"/>
      <c r="AO124" s="860"/>
      <c r="AP124" s="860"/>
      <c r="AQ124" s="860"/>
      <c r="AR124" s="860"/>
      <c r="AS124" s="860"/>
      <c r="AT124" s="861"/>
      <c r="AU124" s="866">
        <f>AA124/AG104</f>
        <v>11.428571428571429</v>
      </c>
      <c r="AV124" s="866"/>
      <c r="AW124" s="866"/>
      <c r="AX124" s="866"/>
      <c r="AY124" s="866"/>
      <c r="AZ124" s="866"/>
      <c r="BA124" s="866"/>
      <c r="BB124" s="867"/>
    </row>
    <row r="125" spans="1:54" ht="16.5" customHeight="1" thickBot="1" x14ac:dyDescent="0.25">
      <c r="A125" s="545" t="s">
        <v>51</v>
      </c>
      <c r="B125" s="546"/>
      <c r="C125" s="546"/>
      <c r="D125" s="546"/>
      <c r="E125" s="546"/>
      <c r="F125" s="546"/>
      <c r="G125" s="546"/>
      <c r="H125" s="546"/>
      <c r="I125" s="546"/>
      <c r="J125" s="546"/>
      <c r="K125" s="546"/>
      <c r="L125" s="546"/>
      <c r="M125" s="546"/>
      <c r="N125" s="546"/>
      <c r="O125" s="546"/>
      <c r="P125" s="546"/>
      <c r="Q125" s="546"/>
      <c r="R125" s="546"/>
      <c r="S125" s="546"/>
      <c r="T125" s="546"/>
      <c r="U125" s="546"/>
      <c r="V125" s="546"/>
      <c r="W125" s="546"/>
      <c r="X125" s="546"/>
      <c r="Y125" s="546"/>
      <c r="Z125" s="547"/>
      <c r="AA125" s="582">
        <f>SUM(AA104:AF124)</f>
        <v>1019.22</v>
      </c>
      <c r="AB125" s="583"/>
      <c r="AC125" s="583"/>
      <c r="AD125" s="583"/>
      <c r="AE125" s="583"/>
      <c r="AF125" s="583"/>
      <c r="AG125" s="532">
        <f>AG104</f>
        <v>14</v>
      </c>
      <c r="AH125" s="533"/>
      <c r="AI125" s="533"/>
      <c r="AJ125" s="533"/>
      <c r="AK125" s="533"/>
      <c r="AL125" s="534"/>
      <c r="AM125" s="551" t="s">
        <v>17</v>
      </c>
      <c r="AN125" s="552"/>
      <c r="AO125" s="552"/>
      <c r="AP125" s="552"/>
      <c r="AQ125" s="552"/>
      <c r="AR125" s="552"/>
      <c r="AS125" s="552"/>
      <c r="AT125" s="584"/>
      <c r="AU125" s="555">
        <f>SUM(AU104:BB124)</f>
        <v>72.801428571428573</v>
      </c>
      <c r="AV125" s="555"/>
      <c r="AW125" s="555"/>
      <c r="AX125" s="555"/>
      <c r="AY125" s="555"/>
      <c r="AZ125" s="555"/>
      <c r="BA125" s="555"/>
      <c r="BB125" s="556"/>
    </row>
    <row r="126" spans="1:54" ht="104.25" customHeight="1" x14ac:dyDescent="0.2"/>
    <row r="127" spans="1:54" s="161" customFormat="1" ht="15" customHeight="1" x14ac:dyDescent="0.2">
      <c r="A127" s="159" t="s">
        <v>59</v>
      </c>
      <c r="B127" s="159"/>
      <c r="C127" s="159" t="s">
        <v>60</v>
      </c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60"/>
      <c r="AY127" s="160"/>
      <c r="AZ127" s="160"/>
      <c r="BA127" s="160"/>
      <c r="BB127" s="160"/>
    </row>
    <row r="128" spans="1:54" ht="20.25" customHeight="1" thickBot="1" x14ac:dyDescent="0.25"/>
    <row r="129" spans="1:54" s="159" customFormat="1" ht="39.75" customHeight="1" thickBot="1" x14ac:dyDescent="0.25">
      <c r="A129" s="901" t="s">
        <v>54</v>
      </c>
      <c r="B129" s="552"/>
      <c r="C129" s="552"/>
      <c r="D129" s="552"/>
      <c r="E129" s="552"/>
      <c r="F129" s="552"/>
      <c r="G129" s="552"/>
      <c r="H129" s="552"/>
      <c r="I129" s="552"/>
      <c r="J129" s="552"/>
      <c r="K129" s="552"/>
      <c r="L129" s="552"/>
      <c r="M129" s="552"/>
      <c r="N129" s="552"/>
      <c r="O129" s="552"/>
      <c r="P129" s="552"/>
      <c r="Q129" s="552"/>
      <c r="R129" s="552"/>
      <c r="S129" s="552"/>
      <c r="T129" s="552"/>
      <c r="U129" s="552"/>
      <c r="V129" s="552"/>
      <c r="W129" s="552"/>
      <c r="X129" s="552"/>
      <c r="Y129" s="552"/>
      <c r="Z129" s="553"/>
      <c r="AA129" s="902" t="s">
        <v>55</v>
      </c>
      <c r="AB129" s="903"/>
      <c r="AC129" s="903"/>
      <c r="AD129" s="903"/>
      <c r="AE129" s="903"/>
      <c r="AF129" s="904"/>
      <c r="AG129" s="902" t="s">
        <v>56</v>
      </c>
      <c r="AH129" s="903"/>
      <c r="AI129" s="903"/>
      <c r="AJ129" s="903"/>
      <c r="AK129" s="903"/>
      <c r="AL129" s="904"/>
      <c r="AM129" s="551" t="s">
        <v>57</v>
      </c>
      <c r="AN129" s="552"/>
      <c r="AO129" s="552"/>
      <c r="AP129" s="552"/>
      <c r="AQ129" s="552"/>
      <c r="AR129" s="552"/>
      <c r="AS129" s="552"/>
      <c r="AT129" s="553"/>
      <c r="AU129" s="551" t="s">
        <v>43</v>
      </c>
      <c r="AV129" s="552"/>
      <c r="AW129" s="552"/>
      <c r="AX129" s="552"/>
      <c r="AY129" s="552"/>
      <c r="AZ129" s="552"/>
      <c r="BA129" s="552"/>
      <c r="BB129" s="584"/>
    </row>
    <row r="130" spans="1:54" ht="23.25" customHeight="1" thickBot="1" x14ac:dyDescent="0.25">
      <c r="A130" s="899">
        <v>1</v>
      </c>
      <c r="B130" s="631"/>
      <c r="C130" s="631"/>
      <c r="D130" s="631"/>
      <c r="E130" s="631"/>
      <c r="F130" s="631"/>
      <c r="G130" s="631"/>
      <c r="H130" s="631"/>
      <c r="I130" s="631"/>
      <c r="J130" s="631"/>
      <c r="K130" s="631"/>
      <c r="L130" s="631"/>
      <c r="M130" s="631"/>
      <c r="N130" s="631"/>
      <c r="O130" s="631"/>
      <c r="P130" s="631"/>
      <c r="Q130" s="631"/>
      <c r="R130" s="631"/>
      <c r="S130" s="631"/>
      <c r="T130" s="631"/>
      <c r="U130" s="631"/>
      <c r="V130" s="631"/>
      <c r="W130" s="631"/>
      <c r="X130" s="631"/>
      <c r="Y130" s="631"/>
      <c r="Z130" s="632"/>
      <c r="AA130" s="893">
        <v>2</v>
      </c>
      <c r="AB130" s="631"/>
      <c r="AC130" s="631"/>
      <c r="AD130" s="631"/>
      <c r="AE130" s="631"/>
      <c r="AF130" s="632"/>
      <c r="AG130" s="893">
        <v>3</v>
      </c>
      <c r="AH130" s="631"/>
      <c r="AI130" s="631"/>
      <c r="AJ130" s="631"/>
      <c r="AK130" s="631"/>
      <c r="AL130" s="632"/>
      <c r="AM130" s="893">
        <v>4</v>
      </c>
      <c r="AN130" s="631"/>
      <c r="AO130" s="631"/>
      <c r="AP130" s="631"/>
      <c r="AQ130" s="631"/>
      <c r="AR130" s="631"/>
      <c r="AS130" s="631"/>
      <c r="AT130" s="632"/>
      <c r="AU130" s="893">
        <v>5</v>
      </c>
      <c r="AV130" s="631"/>
      <c r="AW130" s="631"/>
      <c r="AX130" s="631"/>
      <c r="AY130" s="631"/>
      <c r="AZ130" s="631"/>
      <c r="BA130" s="631"/>
      <c r="BB130" s="900"/>
    </row>
    <row r="131" spans="1:54" ht="31.5" hidden="1" customHeight="1" x14ac:dyDescent="0.2">
      <c r="A131" s="566"/>
      <c r="B131" s="567"/>
      <c r="C131" s="567"/>
      <c r="D131" s="567"/>
      <c r="E131" s="567"/>
      <c r="F131" s="567"/>
      <c r="G131" s="567"/>
      <c r="H131" s="567"/>
      <c r="I131" s="567"/>
      <c r="J131" s="567"/>
      <c r="K131" s="567"/>
      <c r="L131" s="567"/>
      <c r="M131" s="567"/>
      <c r="N131" s="567"/>
      <c r="O131" s="567"/>
      <c r="P131" s="567"/>
      <c r="Q131" s="567"/>
      <c r="R131" s="567"/>
      <c r="S131" s="567"/>
      <c r="T131" s="567"/>
      <c r="U131" s="567"/>
      <c r="V131" s="567"/>
      <c r="W131" s="567"/>
      <c r="X131" s="567"/>
      <c r="Y131" s="567"/>
      <c r="Z131" s="568"/>
      <c r="AA131" s="569">
        <v>0</v>
      </c>
      <c r="AB131" s="570"/>
      <c r="AC131" s="570"/>
      <c r="AD131" s="570"/>
      <c r="AE131" s="570"/>
      <c r="AF131" s="571"/>
      <c r="AG131" s="569">
        <f>U12</f>
        <v>14</v>
      </c>
      <c r="AH131" s="570"/>
      <c r="AI131" s="570"/>
      <c r="AJ131" s="570"/>
      <c r="AK131" s="570"/>
      <c r="AL131" s="571"/>
      <c r="AM131" s="569" t="s">
        <v>61</v>
      </c>
      <c r="AN131" s="570"/>
      <c r="AO131" s="570"/>
      <c r="AP131" s="570"/>
      <c r="AQ131" s="570"/>
      <c r="AR131" s="570"/>
      <c r="AS131" s="570"/>
      <c r="AT131" s="571"/>
      <c r="AU131" s="558">
        <f>AA131/AG131</f>
        <v>0</v>
      </c>
      <c r="AV131" s="559"/>
      <c r="AW131" s="559"/>
      <c r="AX131" s="559"/>
      <c r="AY131" s="559"/>
      <c r="AZ131" s="559"/>
      <c r="BA131" s="559"/>
      <c r="BB131" s="560"/>
    </row>
    <row r="132" spans="1:54" ht="4.5" hidden="1" customHeight="1" x14ac:dyDescent="0.2">
      <c r="A132" s="561"/>
      <c r="B132" s="562"/>
      <c r="C132" s="562"/>
      <c r="D132" s="562"/>
      <c r="E132" s="562"/>
      <c r="F132" s="562"/>
      <c r="G132" s="562"/>
      <c r="H132" s="562"/>
      <c r="I132" s="562"/>
      <c r="J132" s="562"/>
      <c r="K132" s="562"/>
      <c r="L132" s="562"/>
      <c r="M132" s="562"/>
      <c r="N132" s="562"/>
      <c r="O132" s="562"/>
      <c r="P132" s="562"/>
      <c r="Q132" s="562"/>
      <c r="R132" s="562"/>
      <c r="S132" s="562"/>
      <c r="T132" s="562"/>
      <c r="U132" s="562"/>
      <c r="V132" s="562"/>
      <c r="W132" s="562"/>
      <c r="X132" s="562"/>
      <c r="Y132" s="562"/>
      <c r="Z132" s="563"/>
      <c r="AA132" s="518"/>
      <c r="AB132" s="518"/>
      <c r="AC132" s="518"/>
      <c r="AD132" s="518"/>
      <c r="AE132" s="518"/>
      <c r="AF132" s="518"/>
      <c r="AG132" s="572"/>
      <c r="AH132" s="573"/>
      <c r="AI132" s="573"/>
      <c r="AJ132" s="573"/>
      <c r="AK132" s="573"/>
      <c r="AL132" s="574"/>
      <c r="AM132" s="572"/>
      <c r="AN132" s="573"/>
      <c r="AO132" s="573"/>
      <c r="AP132" s="573"/>
      <c r="AQ132" s="573"/>
      <c r="AR132" s="573"/>
      <c r="AS132" s="573"/>
      <c r="AT132" s="574"/>
      <c r="AU132" s="558">
        <f>AA132/AG131</f>
        <v>0</v>
      </c>
      <c r="AV132" s="559"/>
      <c r="AW132" s="559"/>
      <c r="AX132" s="559"/>
      <c r="AY132" s="559"/>
      <c r="AZ132" s="559"/>
      <c r="BA132" s="559"/>
      <c r="BB132" s="560"/>
    </row>
    <row r="133" spans="1:54" ht="21" customHeight="1" x14ac:dyDescent="0.2">
      <c r="A133" s="449"/>
      <c r="B133" s="450"/>
      <c r="C133" s="450"/>
      <c r="D133" s="450"/>
      <c r="E133" s="450"/>
      <c r="F133" s="450"/>
      <c r="G133" s="450"/>
      <c r="H133" s="450"/>
      <c r="I133" s="450"/>
      <c r="J133" s="450"/>
      <c r="K133" s="450"/>
      <c r="L133" s="450"/>
      <c r="M133" s="450"/>
      <c r="N133" s="450"/>
      <c r="O133" s="450"/>
      <c r="P133" s="450"/>
      <c r="Q133" s="450"/>
      <c r="R133" s="450"/>
      <c r="S133" s="450"/>
      <c r="T133" s="450"/>
      <c r="U133" s="450"/>
      <c r="V133" s="450"/>
      <c r="W133" s="450"/>
      <c r="X133" s="450"/>
      <c r="Y133" s="450"/>
      <c r="Z133" s="451"/>
      <c r="AA133" s="557"/>
      <c r="AB133" s="557"/>
      <c r="AC133" s="557"/>
      <c r="AD133" s="557"/>
      <c r="AE133" s="557"/>
      <c r="AF133" s="557"/>
      <c r="AG133" s="572"/>
      <c r="AH133" s="573"/>
      <c r="AI133" s="573"/>
      <c r="AJ133" s="573"/>
      <c r="AK133" s="573"/>
      <c r="AL133" s="574"/>
      <c r="AM133" s="572"/>
      <c r="AN133" s="573"/>
      <c r="AO133" s="573"/>
      <c r="AP133" s="573"/>
      <c r="AQ133" s="573"/>
      <c r="AR133" s="573"/>
      <c r="AS133" s="573"/>
      <c r="AT133" s="574"/>
      <c r="AU133" s="558">
        <f>AA133/AG131</f>
        <v>0</v>
      </c>
      <c r="AV133" s="559"/>
      <c r="AW133" s="559"/>
      <c r="AX133" s="559"/>
      <c r="AY133" s="559"/>
      <c r="AZ133" s="559"/>
      <c r="BA133" s="559"/>
      <c r="BB133" s="560"/>
    </row>
    <row r="134" spans="1:54" ht="21" customHeight="1" x14ac:dyDescent="0.2">
      <c r="A134" s="449"/>
      <c r="B134" s="450"/>
      <c r="C134" s="450"/>
      <c r="D134" s="450"/>
      <c r="E134" s="450"/>
      <c r="F134" s="450"/>
      <c r="G134" s="450"/>
      <c r="H134" s="450"/>
      <c r="I134" s="450"/>
      <c r="J134" s="450"/>
      <c r="K134" s="450"/>
      <c r="L134" s="450"/>
      <c r="M134" s="450"/>
      <c r="N134" s="450"/>
      <c r="O134" s="450"/>
      <c r="P134" s="450"/>
      <c r="Q134" s="450"/>
      <c r="R134" s="450"/>
      <c r="S134" s="450"/>
      <c r="T134" s="450"/>
      <c r="U134" s="450"/>
      <c r="V134" s="450"/>
      <c r="W134" s="450"/>
      <c r="X134" s="450"/>
      <c r="Y134" s="450"/>
      <c r="Z134" s="451"/>
      <c r="AA134" s="557"/>
      <c r="AB134" s="557"/>
      <c r="AC134" s="557"/>
      <c r="AD134" s="557"/>
      <c r="AE134" s="557"/>
      <c r="AF134" s="557"/>
      <c r="AG134" s="572"/>
      <c r="AH134" s="573"/>
      <c r="AI134" s="573"/>
      <c r="AJ134" s="573"/>
      <c r="AK134" s="573"/>
      <c r="AL134" s="574"/>
      <c r="AM134" s="572"/>
      <c r="AN134" s="573"/>
      <c r="AO134" s="573"/>
      <c r="AP134" s="573"/>
      <c r="AQ134" s="573"/>
      <c r="AR134" s="573"/>
      <c r="AS134" s="573"/>
      <c r="AT134" s="574"/>
      <c r="AU134" s="558">
        <f>AA134/AG131</f>
        <v>0</v>
      </c>
      <c r="AV134" s="559"/>
      <c r="AW134" s="559"/>
      <c r="AX134" s="559"/>
      <c r="AY134" s="559"/>
      <c r="AZ134" s="559"/>
      <c r="BA134" s="559"/>
      <c r="BB134" s="560"/>
    </row>
    <row r="135" spans="1:54" ht="6" hidden="1" customHeight="1" x14ac:dyDescent="0.2">
      <c r="A135" s="449"/>
      <c r="B135" s="450"/>
      <c r="C135" s="450"/>
      <c r="D135" s="450"/>
      <c r="E135" s="450"/>
      <c r="F135" s="450"/>
      <c r="G135" s="450"/>
      <c r="H135" s="450"/>
      <c r="I135" s="450"/>
      <c r="J135" s="450"/>
      <c r="K135" s="450"/>
      <c r="L135" s="450"/>
      <c r="M135" s="450"/>
      <c r="N135" s="450"/>
      <c r="O135" s="450"/>
      <c r="P135" s="450"/>
      <c r="Q135" s="450"/>
      <c r="R135" s="450"/>
      <c r="S135" s="450"/>
      <c r="T135" s="450"/>
      <c r="U135" s="450"/>
      <c r="V135" s="450"/>
      <c r="W135" s="450"/>
      <c r="X135" s="450"/>
      <c r="Y135" s="450"/>
      <c r="Z135" s="451"/>
      <c r="AA135" s="557"/>
      <c r="AB135" s="557"/>
      <c r="AC135" s="557"/>
      <c r="AD135" s="557"/>
      <c r="AE135" s="557"/>
      <c r="AF135" s="557"/>
      <c r="AG135" s="572"/>
      <c r="AH135" s="573"/>
      <c r="AI135" s="573"/>
      <c r="AJ135" s="573"/>
      <c r="AK135" s="573"/>
      <c r="AL135" s="574"/>
      <c r="AM135" s="572"/>
      <c r="AN135" s="573"/>
      <c r="AO135" s="573"/>
      <c r="AP135" s="573"/>
      <c r="AQ135" s="573"/>
      <c r="AR135" s="573"/>
      <c r="AS135" s="573"/>
      <c r="AT135" s="574"/>
      <c r="AU135" s="558">
        <f>AA135/AG131</f>
        <v>0</v>
      </c>
      <c r="AV135" s="559"/>
      <c r="AW135" s="559"/>
      <c r="AX135" s="559"/>
      <c r="AY135" s="559"/>
      <c r="AZ135" s="559"/>
      <c r="BA135" s="559"/>
      <c r="BB135" s="560"/>
    </row>
    <row r="136" spans="1:54" ht="0.75" customHeight="1" thickBot="1" x14ac:dyDescent="0.25">
      <c r="A136" s="575"/>
      <c r="B136" s="576"/>
      <c r="C136" s="576"/>
      <c r="D136" s="576"/>
      <c r="E136" s="576"/>
      <c r="F136" s="576"/>
      <c r="G136" s="576"/>
      <c r="H136" s="576"/>
      <c r="I136" s="576"/>
      <c r="J136" s="576"/>
      <c r="K136" s="576"/>
      <c r="L136" s="576"/>
      <c r="M136" s="576"/>
      <c r="N136" s="576"/>
      <c r="O136" s="576"/>
      <c r="P136" s="576"/>
      <c r="Q136" s="576"/>
      <c r="R136" s="576"/>
      <c r="S136" s="576"/>
      <c r="T136" s="576"/>
      <c r="U136" s="576"/>
      <c r="V136" s="576"/>
      <c r="W136" s="576"/>
      <c r="X136" s="576"/>
      <c r="Y136" s="576"/>
      <c r="Z136" s="577"/>
      <c r="AA136" s="578">
        <v>0</v>
      </c>
      <c r="AB136" s="578"/>
      <c r="AC136" s="578"/>
      <c r="AD136" s="578"/>
      <c r="AE136" s="578"/>
      <c r="AF136" s="578"/>
      <c r="AG136" s="572"/>
      <c r="AH136" s="573"/>
      <c r="AI136" s="573"/>
      <c r="AJ136" s="573"/>
      <c r="AK136" s="573"/>
      <c r="AL136" s="574"/>
      <c r="AM136" s="572"/>
      <c r="AN136" s="573"/>
      <c r="AO136" s="573"/>
      <c r="AP136" s="573"/>
      <c r="AQ136" s="573"/>
      <c r="AR136" s="573"/>
      <c r="AS136" s="573"/>
      <c r="AT136" s="574"/>
      <c r="AU136" s="579">
        <f>AA136/AG131</f>
        <v>0</v>
      </c>
      <c r="AV136" s="580"/>
      <c r="AW136" s="580"/>
      <c r="AX136" s="580"/>
      <c r="AY136" s="580"/>
      <c r="AZ136" s="580"/>
      <c r="BA136" s="580"/>
      <c r="BB136" s="581"/>
    </row>
    <row r="137" spans="1:54" ht="15" customHeight="1" thickBot="1" x14ac:dyDescent="0.25">
      <c r="A137" s="545" t="s">
        <v>51</v>
      </c>
      <c r="B137" s="546"/>
      <c r="C137" s="546"/>
      <c r="D137" s="546"/>
      <c r="E137" s="546"/>
      <c r="F137" s="546"/>
      <c r="G137" s="546"/>
      <c r="H137" s="546"/>
      <c r="I137" s="546"/>
      <c r="J137" s="546"/>
      <c r="K137" s="546"/>
      <c r="L137" s="546"/>
      <c r="M137" s="546"/>
      <c r="N137" s="546"/>
      <c r="O137" s="546"/>
      <c r="P137" s="546"/>
      <c r="Q137" s="546"/>
      <c r="R137" s="546"/>
      <c r="S137" s="546"/>
      <c r="T137" s="546"/>
      <c r="U137" s="546"/>
      <c r="V137" s="546"/>
      <c r="W137" s="546"/>
      <c r="X137" s="546"/>
      <c r="Y137" s="546"/>
      <c r="Z137" s="547"/>
      <c r="AA137" s="548">
        <f>SUM(AA131:AF134)</f>
        <v>0</v>
      </c>
      <c r="AB137" s="549"/>
      <c r="AC137" s="549"/>
      <c r="AD137" s="549"/>
      <c r="AE137" s="549"/>
      <c r="AF137" s="550"/>
      <c r="AG137" s="531">
        <f>AG131</f>
        <v>14</v>
      </c>
      <c r="AH137" s="533"/>
      <c r="AI137" s="533"/>
      <c r="AJ137" s="533"/>
      <c r="AK137" s="533"/>
      <c r="AL137" s="534"/>
      <c r="AM137" s="551" t="s">
        <v>17</v>
      </c>
      <c r="AN137" s="552"/>
      <c r="AO137" s="552"/>
      <c r="AP137" s="552"/>
      <c r="AQ137" s="552"/>
      <c r="AR137" s="552"/>
      <c r="AS137" s="552"/>
      <c r="AT137" s="553"/>
      <c r="AU137" s="554">
        <f>SUM(AU131:BB136)</f>
        <v>0</v>
      </c>
      <c r="AV137" s="555"/>
      <c r="AW137" s="555"/>
      <c r="AX137" s="555"/>
      <c r="AY137" s="555"/>
      <c r="AZ137" s="555"/>
      <c r="BA137" s="555"/>
      <c r="BB137" s="556"/>
    </row>
    <row r="138" spans="1:54" s="161" customFormat="1" ht="15" customHeight="1" x14ac:dyDescent="0.2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</row>
    <row r="139" spans="1:54" ht="27" customHeight="1" x14ac:dyDescent="0.2">
      <c r="A139" s="159" t="s">
        <v>62</v>
      </c>
      <c r="B139" s="159"/>
      <c r="C139" s="159" t="s">
        <v>63</v>
      </c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60"/>
      <c r="AY139" s="160"/>
      <c r="AZ139" s="160"/>
      <c r="BA139" s="160"/>
      <c r="BB139" s="160"/>
    </row>
    <row r="140" spans="1:54" ht="21.75" customHeight="1" thickBot="1" x14ac:dyDescent="0.25"/>
    <row r="141" spans="1:54" ht="63" customHeight="1" x14ac:dyDescent="0.2">
      <c r="A141" s="499" t="s">
        <v>54</v>
      </c>
      <c r="B141" s="500"/>
      <c r="C141" s="500"/>
      <c r="D141" s="500"/>
      <c r="E141" s="500"/>
      <c r="F141" s="500"/>
      <c r="G141" s="500"/>
      <c r="H141" s="535" t="s">
        <v>64</v>
      </c>
      <c r="I141" s="535"/>
      <c r="J141" s="535"/>
      <c r="K141" s="535"/>
      <c r="L141" s="535"/>
      <c r="M141" s="535" t="s">
        <v>94</v>
      </c>
      <c r="N141" s="535"/>
      <c r="O141" s="535"/>
      <c r="P141" s="535"/>
      <c r="Q141" s="535"/>
      <c r="R141" s="535" t="s">
        <v>82</v>
      </c>
      <c r="S141" s="535"/>
      <c r="T141" s="535"/>
      <c r="U141" s="535"/>
      <c r="V141" s="535" t="s">
        <v>65</v>
      </c>
      <c r="W141" s="535"/>
      <c r="X141" s="535"/>
      <c r="Y141" s="535"/>
      <c r="Z141" s="535" t="s">
        <v>66</v>
      </c>
      <c r="AA141" s="535"/>
      <c r="AB141" s="535"/>
      <c r="AC141" s="535"/>
      <c r="AD141" s="535" t="s">
        <v>67</v>
      </c>
      <c r="AE141" s="535"/>
      <c r="AF141" s="535"/>
      <c r="AG141" s="535"/>
      <c r="AH141" s="535"/>
      <c r="AI141" s="535"/>
      <c r="AJ141" s="535"/>
      <c r="AK141" s="535"/>
      <c r="AL141" s="535"/>
      <c r="AM141" s="535"/>
      <c r="AN141" s="535"/>
      <c r="AO141" s="535"/>
      <c r="AP141" s="535"/>
      <c r="AQ141" s="535" t="s">
        <v>423</v>
      </c>
      <c r="AR141" s="535"/>
      <c r="AS141" s="535"/>
      <c r="AT141" s="535"/>
      <c r="AU141" s="536" t="s">
        <v>422</v>
      </c>
      <c r="AV141" s="537"/>
      <c r="AW141" s="537"/>
      <c r="AX141" s="538"/>
      <c r="AY141" s="536" t="s">
        <v>87</v>
      </c>
      <c r="AZ141" s="537"/>
      <c r="BA141" s="537"/>
      <c r="BB141" s="539"/>
    </row>
    <row r="142" spans="1:54" ht="71.25" customHeight="1" thickBot="1" x14ac:dyDescent="0.25">
      <c r="A142" s="888"/>
      <c r="B142" s="889"/>
      <c r="C142" s="889"/>
      <c r="D142" s="889"/>
      <c r="E142" s="889"/>
      <c r="F142" s="889"/>
      <c r="G142" s="889"/>
      <c r="H142" s="894" t="s">
        <v>68</v>
      </c>
      <c r="I142" s="894"/>
      <c r="J142" s="894"/>
      <c r="K142" s="894"/>
      <c r="L142" s="894"/>
      <c r="M142" s="894" t="s">
        <v>68</v>
      </c>
      <c r="N142" s="894"/>
      <c r="O142" s="894"/>
      <c r="P142" s="894"/>
      <c r="Q142" s="894"/>
      <c r="R142" s="894"/>
      <c r="S142" s="894"/>
      <c r="T142" s="894"/>
      <c r="U142" s="894"/>
      <c r="V142" s="894"/>
      <c r="W142" s="894"/>
      <c r="X142" s="894"/>
      <c r="Y142" s="894"/>
      <c r="Z142" s="894"/>
      <c r="AA142" s="894"/>
      <c r="AB142" s="894"/>
      <c r="AC142" s="894"/>
      <c r="AD142" s="894" t="s">
        <v>68</v>
      </c>
      <c r="AE142" s="894"/>
      <c r="AF142" s="894"/>
      <c r="AG142" s="894"/>
      <c r="AH142" s="894"/>
      <c r="AI142" s="894"/>
      <c r="AJ142" s="895" t="s">
        <v>69</v>
      </c>
      <c r="AK142" s="896"/>
      <c r="AL142" s="896"/>
      <c r="AM142" s="896"/>
      <c r="AN142" s="896"/>
      <c r="AO142" s="896"/>
      <c r="AP142" s="897"/>
      <c r="AQ142" s="894" t="s">
        <v>68</v>
      </c>
      <c r="AR142" s="894"/>
      <c r="AS142" s="894"/>
      <c r="AT142" s="894"/>
      <c r="AU142" s="894" t="s">
        <v>68</v>
      </c>
      <c r="AV142" s="894"/>
      <c r="AW142" s="894"/>
      <c r="AX142" s="894"/>
      <c r="AY142" s="894" t="s">
        <v>68</v>
      </c>
      <c r="AZ142" s="894"/>
      <c r="BA142" s="894"/>
      <c r="BB142" s="898"/>
    </row>
    <row r="143" spans="1:54" ht="22.5" customHeight="1" thickBot="1" x14ac:dyDescent="0.25">
      <c r="A143" s="892">
        <v>1</v>
      </c>
      <c r="B143" s="890"/>
      <c r="C143" s="890"/>
      <c r="D143" s="890"/>
      <c r="E143" s="890"/>
      <c r="F143" s="890"/>
      <c r="G143" s="890"/>
      <c r="H143" s="890">
        <v>2</v>
      </c>
      <c r="I143" s="890"/>
      <c r="J143" s="890"/>
      <c r="K143" s="890"/>
      <c r="L143" s="890"/>
      <c r="M143" s="890">
        <v>3</v>
      </c>
      <c r="N143" s="890"/>
      <c r="O143" s="890"/>
      <c r="P143" s="890"/>
      <c r="Q143" s="890"/>
      <c r="R143" s="890">
        <v>4</v>
      </c>
      <c r="S143" s="890"/>
      <c r="T143" s="890"/>
      <c r="U143" s="890"/>
      <c r="V143" s="890">
        <v>5</v>
      </c>
      <c r="W143" s="890"/>
      <c r="X143" s="890"/>
      <c r="Y143" s="890"/>
      <c r="Z143" s="890">
        <v>6</v>
      </c>
      <c r="AA143" s="890"/>
      <c r="AB143" s="890"/>
      <c r="AC143" s="893"/>
      <c r="AD143" s="503">
        <v>7</v>
      </c>
      <c r="AE143" s="503"/>
      <c r="AF143" s="503"/>
      <c r="AG143" s="503"/>
      <c r="AH143" s="503"/>
      <c r="AI143" s="503"/>
      <c r="AJ143" s="631">
        <v>8</v>
      </c>
      <c r="AK143" s="631"/>
      <c r="AL143" s="631"/>
      <c r="AM143" s="631"/>
      <c r="AN143" s="631"/>
      <c r="AO143" s="631"/>
      <c r="AP143" s="632"/>
      <c r="AQ143" s="890">
        <v>9</v>
      </c>
      <c r="AR143" s="890"/>
      <c r="AS143" s="890"/>
      <c r="AT143" s="890"/>
      <c r="AU143" s="890">
        <v>10</v>
      </c>
      <c r="AV143" s="890"/>
      <c r="AW143" s="890"/>
      <c r="AX143" s="890"/>
      <c r="AY143" s="890">
        <v>11</v>
      </c>
      <c r="AZ143" s="890"/>
      <c r="BA143" s="890"/>
      <c r="BB143" s="891"/>
    </row>
    <row r="144" spans="1:54" ht="24.75" customHeight="1" x14ac:dyDescent="0.2">
      <c r="A144" s="505" t="s">
        <v>70</v>
      </c>
      <c r="B144" s="506"/>
      <c r="C144" s="506"/>
      <c r="D144" s="506"/>
      <c r="E144" s="506"/>
      <c r="F144" s="506"/>
      <c r="G144" s="506"/>
      <c r="H144" s="507">
        <f>AO88/V144</f>
        <v>51.342199999999998</v>
      </c>
      <c r="I144" s="507"/>
      <c r="J144" s="507"/>
      <c r="K144" s="507"/>
      <c r="L144" s="507"/>
      <c r="M144" s="507">
        <f>H144</f>
        <v>51.342199999999998</v>
      </c>
      <c r="N144" s="507"/>
      <c r="O144" s="507"/>
      <c r="P144" s="507"/>
      <c r="Q144" s="507"/>
      <c r="R144" s="508">
        <f>U12</f>
        <v>14</v>
      </c>
      <c r="S144" s="509"/>
      <c r="T144" s="509"/>
      <c r="U144" s="510"/>
      <c r="V144" s="517">
        <f>Y16</f>
        <v>12</v>
      </c>
      <c r="W144" s="517"/>
      <c r="X144" s="517"/>
      <c r="Y144" s="517"/>
      <c r="Z144" s="517">
        <f>U16</f>
        <v>2</v>
      </c>
      <c r="AA144" s="517"/>
      <c r="AB144" s="517"/>
      <c r="AC144" s="517"/>
      <c r="AD144" s="520" t="s">
        <v>71</v>
      </c>
      <c r="AE144" s="521"/>
      <c r="AF144" s="521"/>
      <c r="AG144" s="521"/>
      <c r="AH144" s="521"/>
      <c r="AI144" s="522"/>
      <c r="AJ144" s="523"/>
      <c r="AK144" s="524"/>
      <c r="AL144" s="524"/>
      <c r="AM144" s="524"/>
      <c r="AN144" s="524"/>
      <c r="AO144" s="524"/>
      <c r="AP144" s="525"/>
      <c r="AQ144" s="507">
        <f>H144*4</f>
        <v>205.36879999999999</v>
      </c>
      <c r="AR144" s="507"/>
      <c r="AS144" s="507"/>
      <c r="AT144" s="507"/>
      <c r="AU144" s="507">
        <f>M144*1</f>
        <v>51.342199999999998</v>
      </c>
      <c r="AV144" s="507"/>
      <c r="AW144" s="507"/>
      <c r="AX144" s="507"/>
      <c r="AY144" s="507">
        <f>H144*R144</f>
        <v>718.79079999999999</v>
      </c>
      <c r="AZ144" s="507"/>
      <c r="BA144" s="507"/>
      <c r="BB144" s="526"/>
    </row>
    <row r="145" spans="1:77" ht="29.25" customHeight="1" x14ac:dyDescent="0.2">
      <c r="A145" s="527" t="s">
        <v>72</v>
      </c>
      <c r="B145" s="528"/>
      <c r="C145" s="528"/>
      <c r="D145" s="528"/>
      <c r="E145" s="528"/>
      <c r="F145" s="528"/>
      <c r="G145" s="528"/>
      <c r="H145" s="529">
        <f>AV98</f>
        <v>68.164257287622974</v>
      </c>
      <c r="I145" s="529"/>
      <c r="J145" s="529"/>
      <c r="K145" s="529"/>
      <c r="L145" s="529"/>
      <c r="M145" s="477">
        <f t="shared" ref="M145:M147" si="3">H145</f>
        <v>68.164257287622974</v>
      </c>
      <c r="N145" s="477"/>
      <c r="O145" s="477"/>
      <c r="P145" s="477"/>
      <c r="Q145" s="477"/>
      <c r="R145" s="511"/>
      <c r="S145" s="512"/>
      <c r="T145" s="512"/>
      <c r="U145" s="513"/>
      <c r="V145" s="518"/>
      <c r="W145" s="518"/>
      <c r="X145" s="518"/>
      <c r="Y145" s="518"/>
      <c r="Z145" s="518"/>
      <c r="AA145" s="518"/>
      <c r="AB145" s="518"/>
      <c r="AC145" s="518"/>
      <c r="AD145" s="477" t="s">
        <v>71</v>
      </c>
      <c r="AE145" s="477"/>
      <c r="AF145" s="477"/>
      <c r="AG145" s="477"/>
      <c r="AH145" s="477"/>
      <c r="AI145" s="477"/>
      <c r="AJ145" s="478"/>
      <c r="AK145" s="479"/>
      <c r="AL145" s="479"/>
      <c r="AM145" s="479"/>
      <c r="AN145" s="479"/>
      <c r="AO145" s="479"/>
      <c r="AP145" s="480"/>
      <c r="AQ145" s="477">
        <f>H145*4</f>
        <v>272.65702915049189</v>
      </c>
      <c r="AR145" s="477"/>
      <c r="AS145" s="477"/>
      <c r="AT145" s="477"/>
      <c r="AU145" s="477">
        <f>M145*1</f>
        <v>68.164257287622974</v>
      </c>
      <c r="AV145" s="477"/>
      <c r="AW145" s="477"/>
      <c r="AX145" s="477"/>
      <c r="AY145" s="477">
        <f>H145*R144</f>
        <v>954.29960202672169</v>
      </c>
      <c r="AZ145" s="477"/>
      <c r="BA145" s="477"/>
      <c r="BB145" s="481"/>
    </row>
    <row r="146" spans="1:77" ht="15" customHeight="1" x14ac:dyDescent="0.2">
      <c r="A146" s="527" t="s">
        <v>73</v>
      </c>
      <c r="B146" s="528"/>
      <c r="C146" s="528"/>
      <c r="D146" s="528"/>
      <c r="E146" s="528"/>
      <c r="F146" s="528"/>
      <c r="G146" s="528"/>
      <c r="H146" s="529">
        <f>AU125</f>
        <v>72.801428571428573</v>
      </c>
      <c r="I146" s="529"/>
      <c r="J146" s="529"/>
      <c r="K146" s="529"/>
      <c r="L146" s="529"/>
      <c r="M146" s="477">
        <f t="shared" si="3"/>
        <v>72.801428571428573</v>
      </c>
      <c r="N146" s="477"/>
      <c r="O146" s="477"/>
      <c r="P146" s="477"/>
      <c r="Q146" s="477"/>
      <c r="R146" s="511"/>
      <c r="S146" s="512"/>
      <c r="T146" s="512"/>
      <c r="U146" s="513"/>
      <c r="V146" s="518"/>
      <c r="W146" s="518"/>
      <c r="X146" s="518"/>
      <c r="Y146" s="518"/>
      <c r="Z146" s="518"/>
      <c r="AA146" s="518"/>
      <c r="AB146" s="518"/>
      <c r="AC146" s="518"/>
      <c r="AD146" s="477" t="s">
        <v>71</v>
      </c>
      <c r="AE146" s="477"/>
      <c r="AF146" s="477"/>
      <c r="AG146" s="477"/>
      <c r="AH146" s="477"/>
      <c r="AI146" s="477"/>
      <c r="AJ146" s="478"/>
      <c r="AK146" s="479"/>
      <c r="AL146" s="479"/>
      <c r="AM146" s="479"/>
      <c r="AN146" s="479"/>
      <c r="AO146" s="479"/>
      <c r="AP146" s="480"/>
      <c r="AQ146" s="477">
        <f>H146*4</f>
        <v>291.20571428571429</v>
      </c>
      <c r="AR146" s="477"/>
      <c r="AS146" s="477"/>
      <c r="AT146" s="477"/>
      <c r="AU146" s="477">
        <f>M146*1</f>
        <v>72.801428571428573</v>
      </c>
      <c r="AV146" s="477"/>
      <c r="AW146" s="477"/>
      <c r="AX146" s="477"/>
      <c r="AY146" s="477">
        <f>H146*R144</f>
        <v>1019.22</v>
      </c>
      <c r="AZ146" s="477"/>
      <c r="BA146" s="477"/>
      <c r="BB146" s="481"/>
    </row>
    <row r="147" spans="1:77" ht="26.25" customHeight="1" thickBot="1" x14ac:dyDescent="0.25">
      <c r="A147" s="494" t="s">
        <v>74</v>
      </c>
      <c r="B147" s="495"/>
      <c r="C147" s="495"/>
      <c r="D147" s="495"/>
      <c r="E147" s="495"/>
      <c r="F147" s="495"/>
      <c r="G147" s="495"/>
      <c r="H147" s="483">
        <f>AU137</f>
        <v>0</v>
      </c>
      <c r="I147" s="483"/>
      <c r="J147" s="483"/>
      <c r="K147" s="483"/>
      <c r="L147" s="483"/>
      <c r="M147" s="482">
        <f t="shared" si="3"/>
        <v>0</v>
      </c>
      <c r="N147" s="482"/>
      <c r="O147" s="482"/>
      <c r="P147" s="482"/>
      <c r="Q147" s="482"/>
      <c r="R147" s="514"/>
      <c r="S147" s="515"/>
      <c r="T147" s="515"/>
      <c r="U147" s="516"/>
      <c r="V147" s="519"/>
      <c r="W147" s="519"/>
      <c r="X147" s="519"/>
      <c r="Y147" s="519"/>
      <c r="Z147" s="519"/>
      <c r="AA147" s="519"/>
      <c r="AB147" s="519"/>
      <c r="AC147" s="519"/>
      <c r="AD147" s="482" t="s">
        <v>71</v>
      </c>
      <c r="AE147" s="482"/>
      <c r="AF147" s="482"/>
      <c r="AG147" s="482"/>
      <c r="AH147" s="482"/>
      <c r="AI147" s="482"/>
      <c r="AJ147" s="496" t="s">
        <v>17</v>
      </c>
      <c r="AK147" s="497"/>
      <c r="AL147" s="497"/>
      <c r="AM147" s="497"/>
      <c r="AN147" s="497"/>
      <c r="AO147" s="497"/>
      <c r="AP147" s="498"/>
      <c r="AQ147" s="482">
        <f>H147*4</f>
        <v>0</v>
      </c>
      <c r="AR147" s="482"/>
      <c r="AS147" s="482"/>
      <c r="AT147" s="482"/>
      <c r="AU147" s="482">
        <f>M147*1</f>
        <v>0</v>
      </c>
      <c r="AV147" s="482"/>
      <c r="AW147" s="482"/>
      <c r="AX147" s="482"/>
      <c r="AY147" s="483">
        <f>H147*R144</f>
        <v>0</v>
      </c>
      <c r="AZ147" s="483"/>
      <c r="BA147" s="483"/>
      <c r="BB147" s="484"/>
    </row>
    <row r="148" spans="1:77" ht="25.5" customHeight="1" x14ac:dyDescent="0.2">
      <c r="A148" s="485" t="s">
        <v>80</v>
      </c>
      <c r="B148" s="486"/>
      <c r="C148" s="486"/>
      <c r="D148" s="486"/>
      <c r="E148" s="486"/>
      <c r="F148" s="486"/>
      <c r="G148" s="487"/>
      <c r="H148" s="488">
        <f>SUM(H144:L147)</f>
        <v>192.30788585905154</v>
      </c>
      <c r="I148" s="488"/>
      <c r="J148" s="488"/>
      <c r="K148" s="488"/>
      <c r="L148" s="488"/>
      <c r="M148" s="488">
        <f>SUM(M144:Q147)</f>
        <v>192.30788585905154</v>
      </c>
      <c r="N148" s="488"/>
      <c r="O148" s="488"/>
      <c r="P148" s="488"/>
      <c r="Q148" s="488"/>
      <c r="R148" s="489">
        <f>R144</f>
        <v>14</v>
      </c>
      <c r="S148" s="489"/>
      <c r="T148" s="489"/>
      <c r="U148" s="489"/>
      <c r="V148" s="490">
        <f>V144</f>
        <v>12</v>
      </c>
      <c r="W148" s="490"/>
      <c r="X148" s="490"/>
      <c r="Y148" s="490"/>
      <c r="Z148" s="490">
        <f>Z144</f>
        <v>2</v>
      </c>
      <c r="AA148" s="490"/>
      <c r="AB148" s="490"/>
      <c r="AC148" s="490"/>
      <c r="AD148" s="488" t="s">
        <v>17</v>
      </c>
      <c r="AE148" s="488"/>
      <c r="AF148" s="488"/>
      <c r="AG148" s="488"/>
      <c r="AH148" s="488"/>
      <c r="AI148" s="488"/>
      <c r="AJ148" s="491" t="s">
        <v>17</v>
      </c>
      <c r="AK148" s="492"/>
      <c r="AL148" s="492"/>
      <c r="AM148" s="492"/>
      <c r="AN148" s="492"/>
      <c r="AO148" s="492"/>
      <c r="AP148" s="493"/>
      <c r="AQ148" s="453">
        <f>SUM(AQ144:AT147)</f>
        <v>769.23154343620615</v>
      </c>
      <c r="AR148" s="453"/>
      <c r="AS148" s="453"/>
      <c r="AT148" s="453"/>
      <c r="AU148" s="453">
        <f>SUM(AU144:AX147)</f>
        <v>192.30788585905154</v>
      </c>
      <c r="AV148" s="453"/>
      <c r="AW148" s="453"/>
      <c r="AX148" s="453"/>
      <c r="AY148" s="453">
        <f>SUM(AY144:BB147)</f>
        <v>2692.3104020267219</v>
      </c>
      <c r="AZ148" s="453"/>
      <c r="BA148" s="453"/>
      <c r="BB148" s="454"/>
    </row>
    <row r="149" spans="1:77" ht="30.75" customHeight="1" x14ac:dyDescent="0.2">
      <c r="A149" s="455" t="s">
        <v>75</v>
      </c>
      <c r="B149" s="456"/>
      <c r="C149" s="456"/>
      <c r="D149" s="456"/>
      <c r="E149" s="456"/>
      <c r="F149" s="456"/>
      <c r="G149" s="215">
        <v>0.3</v>
      </c>
      <c r="H149" s="457">
        <f>H148*G149</f>
        <v>57.692365757715457</v>
      </c>
      <c r="I149" s="457"/>
      <c r="J149" s="457"/>
      <c r="K149" s="457"/>
      <c r="L149" s="457"/>
      <c r="M149" s="457">
        <f>M148*G149</f>
        <v>57.692365757715457</v>
      </c>
      <c r="N149" s="457"/>
      <c r="O149" s="457"/>
      <c r="P149" s="457"/>
      <c r="Q149" s="457"/>
      <c r="R149" s="818">
        <f>R144</f>
        <v>14</v>
      </c>
      <c r="S149" s="819"/>
      <c r="T149" s="819"/>
      <c r="U149" s="820"/>
      <c r="V149" s="821">
        <f>V144</f>
        <v>12</v>
      </c>
      <c r="W149" s="819"/>
      <c r="X149" s="819"/>
      <c r="Y149" s="820"/>
      <c r="Z149" s="821">
        <f>Z144</f>
        <v>2</v>
      </c>
      <c r="AA149" s="819"/>
      <c r="AB149" s="819"/>
      <c r="AC149" s="820"/>
      <c r="AD149" s="462" t="s">
        <v>17</v>
      </c>
      <c r="AE149" s="462"/>
      <c r="AF149" s="462"/>
      <c r="AG149" s="462"/>
      <c r="AH149" s="462"/>
      <c r="AI149" s="462"/>
      <c r="AJ149" s="462" t="s">
        <v>17</v>
      </c>
      <c r="AK149" s="462"/>
      <c r="AL149" s="462"/>
      <c r="AM149" s="462"/>
      <c r="AN149" s="462"/>
      <c r="AO149" s="462"/>
      <c r="AP149" s="462"/>
      <c r="AQ149" s="466">
        <f>AQ148*G149</f>
        <v>230.76946303086183</v>
      </c>
      <c r="AR149" s="466"/>
      <c r="AS149" s="466"/>
      <c r="AT149" s="466"/>
      <c r="AU149" s="466">
        <f>AU148*G149</f>
        <v>57.692365757715457</v>
      </c>
      <c r="AV149" s="466"/>
      <c r="AW149" s="466"/>
      <c r="AX149" s="466"/>
      <c r="AY149" s="466">
        <f>AY148*G149</f>
        <v>807.69312060801656</v>
      </c>
      <c r="AZ149" s="466"/>
      <c r="BA149" s="466"/>
      <c r="BB149" s="467"/>
    </row>
    <row r="150" spans="1:77" ht="30.75" customHeight="1" thickBot="1" x14ac:dyDescent="0.25">
      <c r="A150" s="468" t="s">
        <v>81</v>
      </c>
      <c r="B150" s="469"/>
      <c r="C150" s="469"/>
      <c r="D150" s="469"/>
      <c r="E150" s="469"/>
      <c r="F150" s="469"/>
      <c r="G150" s="470"/>
      <c r="H150" s="464">
        <f>H148+H149</f>
        <v>250.000251616767</v>
      </c>
      <c r="I150" s="464"/>
      <c r="J150" s="464"/>
      <c r="K150" s="464"/>
      <c r="L150" s="464"/>
      <c r="M150" s="471">
        <f>M148+M149</f>
        <v>250.000251616767</v>
      </c>
      <c r="N150" s="472"/>
      <c r="O150" s="472"/>
      <c r="P150" s="472"/>
      <c r="Q150" s="473"/>
      <c r="R150" s="825">
        <f>R144</f>
        <v>14</v>
      </c>
      <c r="S150" s="826"/>
      <c r="T150" s="826"/>
      <c r="U150" s="827"/>
      <c r="V150" s="828">
        <f>V144</f>
        <v>12</v>
      </c>
      <c r="W150" s="829"/>
      <c r="X150" s="829"/>
      <c r="Y150" s="830"/>
      <c r="Z150" s="828">
        <f>Z144</f>
        <v>2</v>
      </c>
      <c r="AA150" s="829"/>
      <c r="AB150" s="829"/>
      <c r="AC150" s="830"/>
      <c r="AD150" s="463" t="s">
        <v>17</v>
      </c>
      <c r="AE150" s="463"/>
      <c r="AF150" s="463"/>
      <c r="AG150" s="463"/>
      <c r="AH150" s="463"/>
      <c r="AI150" s="463"/>
      <c r="AJ150" s="463" t="s">
        <v>17</v>
      </c>
      <c r="AK150" s="463"/>
      <c r="AL150" s="463"/>
      <c r="AM150" s="463"/>
      <c r="AN150" s="463"/>
      <c r="AO150" s="463"/>
      <c r="AP150" s="463"/>
      <c r="AQ150" s="464">
        <f>AQ148+AQ149</f>
        <v>1000.001006467068</v>
      </c>
      <c r="AR150" s="464"/>
      <c r="AS150" s="464"/>
      <c r="AT150" s="464"/>
      <c r="AU150" s="464">
        <f>AU148+AU149</f>
        <v>250.000251616767</v>
      </c>
      <c r="AV150" s="464"/>
      <c r="AW150" s="464"/>
      <c r="AX150" s="464"/>
      <c r="AY150" s="464">
        <f>AY148+AY149</f>
        <v>3500.0035226347386</v>
      </c>
      <c r="AZ150" s="464"/>
      <c r="BA150" s="464"/>
      <c r="BB150" s="465"/>
      <c r="BE150" s="216"/>
      <c r="BF150" s="216"/>
    </row>
    <row r="151" spans="1:77" ht="16.5" customHeight="1" x14ac:dyDescent="0.2">
      <c r="BC151" s="432"/>
      <c r="BD151" s="432"/>
      <c r="BE151" s="216"/>
      <c r="BF151" s="216"/>
      <c r="BG151" s="216"/>
      <c r="BH151" s="216"/>
      <c r="BI151" s="216"/>
    </row>
    <row r="152" spans="1:77" ht="12" customHeight="1" x14ac:dyDescent="0.2">
      <c r="BC152" s="432"/>
      <c r="BD152" s="432"/>
      <c r="BE152" s="216"/>
      <c r="BF152" s="216"/>
    </row>
    <row r="153" spans="1:77" ht="14.25" customHeight="1" x14ac:dyDescent="0.2">
      <c r="B153" s="452" t="s">
        <v>221</v>
      </c>
      <c r="C153" s="452"/>
      <c r="D153" s="452"/>
      <c r="E153" s="452"/>
      <c r="F153" s="452"/>
      <c r="G153" s="452"/>
      <c r="H153" s="452"/>
      <c r="I153" s="452"/>
      <c r="J153" s="452"/>
      <c r="K153" s="452"/>
      <c r="L153" s="452"/>
      <c r="M153" s="452"/>
      <c r="N153" s="452"/>
      <c r="O153" s="452"/>
      <c r="P153" s="452"/>
      <c r="Q153" s="452"/>
      <c r="R153" s="452"/>
      <c r="S153" s="452"/>
      <c r="U153" s="164"/>
      <c r="V153" s="164"/>
      <c r="W153" s="164"/>
      <c r="X153" s="217"/>
      <c r="Y153" s="217"/>
      <c r="Z153" s="217"/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M153" s="442" t="s">
        <v>222</v>
      </c>
      <c r="AN153" s="763"/>
      <c r="AO153" s="763"/>
      <c r="AP153" s="763"/>
      <c r="AQ153" s="763"/>
      <c r="AR153" s="763"/>
      <c r="AS153" s="763"/>
      <c r="AT153" s="763"/>
      <c r="AU153" s="763"/>
      <c r="AV153" s="763"/>
      <c r="AW153" s="763"/>
      <c r="AX153" s="763"/>
      <c r="AY153" s="763"/>
      <c r="AZ153" s="763"/>
      <c r="BA153" s="763"/>
      <c r="BB153" s="763"/>
      <c r="BC153" s="763"/>
      <c r="BD153" s="763"/>
      <c r="BE153" s="216"/>
      <c r="BF153" s="216"/>
    </row>
    <row r="154" spans="1:77" ht="8.25" customHeight="1" x14ac:dyDescent="0.2">
      <c r="B154" s="452" t="s">
        <v>78</v>
      </c>
      <c r="C154" s="452"/>
      <c r="D154" s="452"/>
      <c r="E154" s="452"/>
      <c r="F154" s="452"/>
      <c r="G154" s="452"/>
      <c r="H154" s="452"/>
      <c r="I154" s="452"/>
      <c r="J154" s="452"/>
      <c r="K154" s="452"/>
      <c r="L154" s="452"/>
      <c r="M154" s="452"/>
      <c r="N154" s="452"/>
      <c r="O154" s="452"/>
      <c r="P154" s="452"/>
      <c r="Q154" s="452"/>
      <c r="R154" s="452"/>
      <c r="S154" s="452"/>
      <c r="AM154" s="442" t="s">
        <v>418</v>
      </c>
      <c r="AN154" s="442"/>
      <c r="AO154" s="442"/>
      <c r="AP154" s="442"/>
      <c r="AQ154" s="442"/>
      <c r="AR154" s="442"/>
      <c r="AS154" s="442"/>
      <c r="AT154" s="442"/>
      <c r="AU154" s="442"/>
      <c r="AV154" s="442"/>
      <c r="AW154" s="442"/>
      <c r="AX154" s="442"/>
      <c r="AY154" s="442"/>
      <c r="AZ154" s="442"/>
      <c r="BA154" s="442"/>
      <c r="BB154" s="442"/>
      <c r="BC154" s="442"/>
      <c r="BD154" s="219"/>
    </row>
    <row r="155" spans="1:77" ht="19.5" customHeight="1" x14ac:dyDescent="0.2">
      <c r="B155" s="452"/>
      <c r="C155" s="452"/>
      <c r="D155" s="452"/>
      <c r="E155" s="452"/>
      <c r="F155" s="452"/>
      <c r="G155" s="452"/>
      <c r="H155" s="452"/>
      <c r="I155" s="452"/>
      <c r="J155" s="452"/>
      <c r="K155" s="452"/>
      <c r="L155" s="452"/>
      <c r="M155" s="452"/>
      <c r="N155" s="452"/>
      <c r="O155" s="452"/>
      <c r="P155" s="452"/>
      <c r="Q155" s="452"/>
      <c r="R155" s="452"/>
      <c r="S155" s="452"/>
      <c r="U155" s="164"/>
      <c r="V155" s="164"/>
      <c r="W155" s="164"/>
      <c r="X155" s="217"/>
      <c r="Y155" s="217"/>
      <c r="Z155" s="217"/>
      <c r="AA155" s="217"/>
      <c r="AB155" s="217"/>
      <c r="AC155" s="217"/>
      <c r="AD155" s="217"/>
      <c r="AE155" s="217"/>
      <c r="AF155" s="217"/>
      <c r="AG155" s="217"/>
      <c r="AH155" s="217"/>
      <c r="AI155" s="217"/>
      <c r="AJ155" s="217"/>
      <c r="AK155" s="217"/>
      <c r="AM155" s="442"/>
      <c r="AN155" s="442"/>
      <c r="AO155" s="442"/>
      <c r="AP155" s="442"/>
      <c r="AQ155" s="442"/>
      <c r="AR155" s="442"/>
      <c r="AS155" s="442"/>
      <c r="AT155" s="442"/>
      <c r="AU155" s="442"/>
      <c r="AV155" s="442"/>
      <c r="AW155" s="442"/>
      <c r="AX155" s="442"/>
      <c r="AY155" s="442"/>
      <c r="AZ155" s="442"/>
      <c r="BA155" s="442"/>
      <c r="BB155" s="442"/>
      <c r="BC155" s="442"/>
      <c r="BD155" s="219"/>
      <c r="BG155" s="216"/>
    </row>
    <row r="156" spans="1:77" ht="15.75" customHeight="1" x14ac:dyDescent="0.2"/>
    <row r="157" spans="1:77" ht="12.75" customHeight="1" x14ac:dyDescent="0.2">
      <c r="A157" s="219" t="s">
        <v>125</v>
      </c>
      <c r="B157" s="219"/>
      <c r="C157" s="219"/>
      <c r="D157" s="219"/>
      <c r="BG157" s="216"/>
    </row>
    <row r="158" spans="1:77" ht="16.5" hidden="1" customHeight="1" x14ac:dyDescent="0.2">
      <c r="A158" s="221"/>
      <c r="B158" s="221"/>
      <c r="C158" s="221"/>
      <c r="D158" s="221"/>
      <c r="E158" s="221"/>
      <c r="F158" s="221"/>
      <c r="G158" s="221">
        <v>200</v>
      </c>
      <c r="H158" s="221"/>
      <c r="I158" s="221"/>
      <c r="J158" s="221"/>
      <c r="K158" s="221"/>
      <c r="L158" s="221"/>
      <c r="M158" s="221"/>
      <c r="N158" s="221"/>
      <c r="BC158" s="432" t="s">
        <v>232</v>
      </c>
      <c r="BD158" s="432"/>
      <c r="BE158" s="432"/>
      <c r="BF158" s="432"/>
      <c r="BG158" s="432"/>
      <c r="BH158" s="432"/>
      <c r="BI158" s="432"/>
      <c r="BJ158" s="432"/>
      <c r="BK158" s="432"/>
      <c r="BL158" s="432"/>
      <c r="BM158" s="432"/>
      <c r="BN158" s="432"/>
      <c r="BO158" s="432"/>
      <c r="BP158" s="432"/>
      <c r="BQ158" s="432"/>
      <c r="BR158" s="432"/>
      <c r="BS158" s="432"/>
      <c r="BT158" s="432"/>
      <c r="BU158" s="432"/>
      <c r="BV158" s="432"/>
      <c r="BW158" s="432"/>
      <c r="BX158" s="432"/>
      <c r="BY158" s="432"/>
    </row>
    <row r="159" spans="1:77" ht="11.25" hidden="1" customHeight="1" x14ac:dyDescent="0.25">
      <c r="A159" s="222"/>
      <c r="B159" s="22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222"/>
      <c r="AF159" s="222"/>
      <c r="AG159" s="222"/>
      <c r="AH159" s="222"/>
      <c r="AI159" s="222"/>
      <c r="AJ159" s="222"/>
      <c r="AK159" s="222"/>
      <c r="AL159" s="222"/>
      <c r="AM159" s="222"/>
      <c r="AN159" s="222"/>
      <c r="AO159" s="222"/>
      <c r="AP159" s="222"/>
      <c r="AQ159" s="222"/>
      <c r="AR159" s="222"/>
      <c r="AS159" s="222"/>
      <c r="BC159" s="432" t="s">
        <v>126</v>
      </c>
      <c r="BD159" s="432"/>
      <c r="BE159" s="432"/>
      <c r="BF159" s="433">
        <f>200*28</f>
        <v>5600</v>
      </c>
      <c r="BG159" s="433"/>
      <c r="BH159" s="433"/>
      <c r="BI159" s="433"/>
      <c r="BJ159" s="433"/>
      <c r="BK159" s="220" t="s">
        <v>127</v>
      </c>
      <c r="BL159" s="220"/>
      <c r="BM159" s="220"/>
      <c r="BN159" s="220"/>
      <c r="BO159" s="220"/>
      <c r="BP159" s="220"/>
      <c r="BQ159" s="220"/>
      <c r="BR159" s="220"/>
    </row>
    <row r="160" spans="1:77" ht="20.25" hidden="1" customHeight="1" x14ac:dyDescent="0.2">
      <c r="BC160" s="434">
        <v>0.6</v>
      </c>
      <c r="BD160" s="432"/>
      <c r="BE160" s="432"/>
      <c r="BF160" s="216">
        <f>BF159*BC160</f>
        <v>3360</v>
      </c>
      <c r="BG160" s="432" t="s">
        <v>128</v>
      </c>
      <c r="BH160" s="432"/>
      <c r="BI160" s="432"/>
      <c r="BJ160" s="432"/>
      <c r="BK160" s="432"/>
      <c r="BL160" s="432" t="s">
        <v>129</v>
      </c>
      <c r="BM160" s="432"/>
      <c r="BN160" s="432"/>
      <c r="BO160" s="432"/>
      <c r="BP160" s="432"/>
      <c r="BQ160" s="432"/>
      <c r="BR160" s="432"/>
    </row>
    <row r="161" spans="26:77" ht="17.25" hidden="1" customHeight="1" x14ac:dyDescent="0.2">
      <c r="BC161" s="432">
        <v>211</v>
      </c>
      <c r="BD161" s="432"/>
      <c r="BE161" s="432"/>
      <c r="BF161" s="216">
        <f>BF160-BF162</f>
        <v>2580.6451612903224</v>
      </c>
      <c r="BG161" s="435">
        <f>BF161*0.1</f>
        <v>258.06451612903226</v>
      </c>
      <c r="BH161" s="435"/>
      <c r="BI161" s="435"/>
      <c r="BJ161" s="435"/>
      <c r="BK161" s="435"/>
      <c r="BL161" s="435">
        <f>BF161-BG161</f>
        <v>2322.5806451612902</v>
      </c>
      <c r="BM161" s="432"/>
      <c r="BN161" s="432"/>
      <c r="BO161" s="432"/>
      <c r="BP161" s="432"/>
      <c r="BQ161" s="432"/>
      <c r="BR161" s="432"/>
    </row>
    <row r="162" spans="26:77" ht="15.75" hidden="1" customHeight="1" x14ac:dyDescent="0.2">
      <c r="BC162" s="432">
        <v>213</v>
      </c>
      <c r="BD162" s="432"/>
      <c r="BE162" s="432"/>
      <c r="BF162" s="216">
        <f>BF160*30.2/130.2</f>
        <v>779.35483870967744</v>
      </c>
      <c r="BG162" s="435">
        <f>BG161*30.2%</f>
        <v>77.935483870967744</v>
      </c>
      <c r="BH162" s="435"/>
      <c r="BI162" s="435"/>
      <c r="BJ162" s="435"/>
      <c r="BK162" s="435"/>
      <c r="BL162" s="435">
        <f>BL161*30.2%</f>
        <v>701.41935483870964</v>
      </c>
      <c r="BM162" s="435"/>
      <c r="BN162" s="435"/>
      <c r="BO162" s="435"/>
      <c r="BP162" s="435"/>
      <c r="BQ162" s="435"/>
      <c r="BR162" s="435"/>
    </row>
    <row r="163" spans="26:77" ht="8.25" hidden="1" customHeight="1" x14ac:dyDescent="0.2">
      <c r="Z163" s="223"/>
      <c r="AA163" s="223"/>
      <c r="AB163" s="223"/>
      <c r="AC163" s="223"/>
      <c r="AD163" s="223"/>
      <c r="AE163" s="223"/>
      <c r="AF163" s="223"/>
      <c r="AG163" s="223"/>
    </row>
    <row r="164" spans="26:77" ht="8.25" hidden="1" customHeight="1" x14ac:dyDescent="0.2"/>
    <row r="165" spans="26:77" ht="8.25" hidden="1" customHeight="1" x14ac:dyDescent="0.2"/>
    <row r="166" spans="26:77" ht="18" hidden="1" customHeight="1" x14ac:dyDescent="0.2">
      <c r="BC166" s="432" t="s">
        <v>240</v>
      </c>
      <c r="BD166" s="432"/>
      <c r="BE166" s="432"/>
      <c r="BF166" s="432"/>
      <c r="BG166" s="432"/>
      <c r="BH166" s="432"/>
      <c r="BI166" s="432"/>
      <c r="BJ166" s="432"/>
      <c r="BK166" s="432"/>
      <c r="BL166" s="432"/>
      <c r="BM166" s="432"/>
      <c r="BN166" s="432"/>
      <c r="BO166" s="432"/>
      <c r="BP166" s="432"/>
      <c r="BQ166" s="432"/>
      <c r="BR166" s="432"/>
      <c r="BS166" s="432"/>
      <c r="BT166" s="432"/>
      <c r="BU166" s="432"/>
      <c r="BV166" s="432"/>
      <c r="BW166" s="432"/>
      <c r="BX166" s="432"/>
      <c r="BY166" s="432"/>
    </row>
    <row r="167" spans="26:77" ht="18.75" hidden="1" customHeight="1" x14ac:dyDescent="0.2">
      <c r="BC167" s="432" t="s">
        <v>126</v>
      </c>
      <c r="BD167" s="432"/>
      <c r="BE167" s="432"/>
      <c r="BF167" s="433">
        <f>200*26</f>
        <v>5200</v>
      </c>
      <c r="BG167" s="433"/>
      <c r="BH167" s="433"/>
      <c r="BI167" s="433"/>
      <c r="BJ167" s="433"/>
      <c r="BK167" s="220" t="s">
        <v>127</v>
      </c>
      <c r="BL167" s="220"/>
      <c r="BM167" s="220"/>
      <c r="BN167" s="220"/>
      <c r="BO167" s="220"/>
      <c r="BP167" s="220"/>
      <c r="BQ167" s="220"/>
      <c r="BR167" s="220"/>
    </row>
    <row r="168" spans="26:77" ht="21" hidden="1" customHeight="1" x14ac:dyDescent="0.2">
      <c r="BC168" s="434">
        <v>0.6</v>
      </c>
      <c r="BD168" s="432"/>
      <c r="BE168" s="432"/>
      <c r="BF168" s="216">
        <f>BF167*BC168</f>
        <v>3120</v>
      </c>
      <c r="BG168" s="432" t="s">
        <v>128</v>
      </c>
      <c r="BH168" s="432"/>
      <c r="BI168" s="432"/>
      <c r="BJ168" s="432"/>
      <c r="BK168" s="432"/>
      <c r="BL168" s="432" t="s">
        <v>129</v>
      </c>
      <c r="BM168" s="432"/>
      <c r="BN168" s="432"/>
      <c r="BO168" s="432"/>
      <c r="BP168" s="432"/>
      <c r="BQ168" s="432"/>
      <c r="BR168" s="432"/>
    </row>
    <row r="169" spans="26:77" ht="18" hidden="1" customHeight="1" x14ac:dyDescent="0.2">
      <c r="BC169" s="432">
        <v>211</v>
      </c>
      <c r="BD169" s="432"/>
      <c r="BE169" s="432"/>
      <c r="BF169" s="216">
        <f>BF168-BF170</f>
        <v>2396.3133640552996</v>
      </c>
      <c r="BG169" s="435">
        <f>BF169*0.1</f>
        <v>239.63133640552996</v>
      </c>
      <c r="BH169" s="435"/>
      <c r="BI169" s="435"/>
      <c r="BJ169" s="435"/>
      <c r="BK169" s="435"/>
      <c r="BL169" s="435">
        <f>BF169-BG169</f>
        <v>2156.6820276497697</v>
      </c>
      <c r="BM169" s="432"/>
      <c r="BN169" s="432"/>
      <c r="BO169" s="432"/>
      <c r="BP169" s="432"/>
      <c r="BQ169" s="432"/>
      <c r="BR169" s="432"/>
    </row>
    <row r="170" spans="26:77" ht="18" hidden="1" customHeight="1" x14ac:dyDescent="0.2">
      <c r="BC170" s="432">
        <v>213</v>
      </c>
      <c r="BD170" s="432"/>
      <c r="BE170" s="432"/>
      <c r="BF170" s="216">
        <f>BF168*30.2/130.2</f>
        <v>723.68663594470047</v>
      </c>
      <c r="BG170" s="435">
        <f>BG169*30.2%</f>
        <v>72.36866359447005</v>
      </c>
      <c r="BH170" s="435"/>
      <c r="BI170" s="435"/>
      <c r="BJ170" s="435"/>
      <c r="BK170" s="435"/>
      <c r="BL170" s="435">
        <f>BL169*30.2%</f>
        <v>651.31797235023043</v>
      </c>
      <c r="BM170" s="435"/>
      <c r="BN170" s="435"/>
      <c r="BO170" s="435"/>
      <c r="BP170" s="435"/>
      <c r="BQ170" s="435"/>
      <c r="BR170" s="435"/>
    </row>
    <row r="171" spans="26:77" ht="8.25" hidden="1" customHeight="1" x14ac:dyDescent="0.2"/>
    <row r="172" spans="26:77" ht="8.25" hidden="1" customHeight="1" x14ac:dyDescent="0.2"/>
    <row r="173" spans="26:77" ht="19.5" hidden="1" customHeight="1" x14ac:dyDescent="0.2">
      <c r="BC173" s="432" t="s">
        <v>247</v>
      </c>
      <c r="BD173" s="432"/>
      <c r="BE173" s="432"/>
      <c r="BF173" s="432"/>
      <c r="BG173" s="432"/>
      <c r="BH173" s="432"/>
      <c r="BI173" s="432"/>
      <c r="BJ173" s="432"/>
      <c r="BK173" s="432"/>
      <c r="BL173" s="432"/>
      <c r="BM173" s="432"/>
      <c r="BN173" s="432"/>
      <c r="BO173" s="432"/>
      <c r="BP173" s="432"/>
      <c r="BQ173" s="432"/>
      <c r="BR173" s="432"/>
      <c r="BS173" s="432"/>
      <c r="BT173" s="432"/>
      <c r="BU173" s="432"/>
      <c r="BV173" s="432"/>
      <c r="BW173" s="432"/>
      <c r="BX173" s="432"/>
      <c r="BY173" s="432"/>
    </row>
    <row r="174" spans="26:77" ht="15.75" hidden="1" customHeight="1" x14ac:dyDescent="0.2">
      <c r="BC174" s="432" t="s">
        <v>126</v>
      </c>
      <c r="BD174" s="432"/>
      <c r="BE174" s="432"/>
      <c r="BF174" s="433">
        <f>200*37</f>
        <v>7400</v>
      </c>
      <c r="BG174" s="433"/>
      <c r="BH174" s="433"/>
      <c r="BI174" s="433"/>
      <c r="BJ174" s="433"/>
      <c r="BK174" s="220" t="s">
        <v>127</v>
      </c>
      <c r="BL174" s="220"/>
      <c r="BM174" s="220"/>
      <c r="BN174" s="220"/>
      <c r="BO174" s="220"/>
      <c r="BP174" s="220"/>
      <c r="BQ174" s="220"/>
      <c r="BR174" s="220"/>
    </row>
    <row r="175" spans="26:77" ht="12" hidden="1" customHeight="1" x14ac:dyDescent="0.2">
      <c r="BC175" s="434">
        <v>0.6</v>
      </c>
      <c r="BD175" s="432"/>
      <c r="BE175" s="432"/>
      <c r="BF175" s="216">
        <f>BF174*BC175</f>
        <v>4440</v>
      </c>
      <c r="BG175" s="432" t="s">
        <v>128</v>
      </c>
      <c r="BH175" s="432"/>
      <c r="BI175" s="432"/>
      <c r="BJ175" s="432"/>
      <c r="BK175" s="432"/>
      <c r="BL175" s="432" t="s">
        <v>129</v>
      </c>
      <c r="BM175" s="432"/>
      <c r="BN175" s="432"/>
      <c r="BO175" s="432"/>
      <c r="BP175" s="432"/>
      <c r="BQ175" s="432"/>
      <c r="BR175" s="432"/>
    </row>
    <row r="176" spans="26:77" ht="16.5" hidden="1" customHeight="1" x14ac:dyDescent="0.2">
      <c r="BC176" s="432">
        <v>211</v>
      </c>
      <c r="BD176" s="432"/>
      <c r="BE176" s="432"/>
      <c r="BF176" s="216">
        <f>BF175-BF177</f>
        <v>3410.1382488479262</v>
      </c>
      <c r="BG176" s="435">
        <f>BF176*0.1</f>
        <v>341.01382488479265</v>
      </c>
      <c r="BH176" s="435"/>
      <c r="BI176" s="435"/>
      <c r="BJ176" s="435"/>
      <c r="BK176" s="435"/>
      <c r="BL176" s="435">
        <f>BF176-BG176</f>
        <v>3069.1244239631337</v>
      </c>
      <c r="BM176" s="432"/>
      <c r="BN176" s="432"/>
      <c r="BO176" s="432"/>
      <c r="BP176" s="432"/>
      <c r="BQ176" s="432"/>
      <c r="BR176" s="432"/>
    </row>
    <row r="177" spans="55:77" ht="18" hidden="1" customHeight="1" x14ac:dyDescent="0.2">
      <c r="BC177" s="432">
        <v>213</v>
      </c>
      <c r="BD177" s="432"/>
      <c r="BE177" s="432"/>
      <c r="BF177" s="216">
        <f>BF175*30.2/130.2</f>
        <v>1029.8617511520738</v>
      </c>
      <c r="BG177" s="435">
        <f>BG176*30.2%</f>
        <v>102.98617511520737</v>
      </c>
      <c r="BH177" s="435"/>
      <c r="BI177" s="435"/>
      <c r="BJ177" s="435"/>
      <c r="BK177" s="435"/>
      <c r="BL177" s="435">
        <f>BL176*30.2%</f>
        <v>926.87557603686639</v>
      </c>
      <c r="BM177" s="435"/>
      <c r="BN177" s="435"/>
      <c r="BO177" s="435"/>
      <c r="BP177" s="435"/>
      <c r="BQ177" s="435"/>
      <c r="BR177" s="435"/>
    </row>
    <row r="178" spans="55:77" ht="8.25" hidden="1" customHeight="1" x14ac:dyDescent="0.2"/>
    <row r="179" spans="55:77" ht="8.25" hidden="1" customHeight="1" x14ac:dyDescent="0.2"/>
    <row r="180" spans="55:77" ht="8.25" hidden="1" customHeight="1" x14ac:dyDescent="0.2"/>
    <row r="181" spans="55:77" ht="21" hidden="1" customHeight="1" x14ac:dyDescent="0.2">
      <c r="BC181" s="432" t="s">
        <v>152</v>
      </c>
      <c r="BD181" s="432"/>
      <c r="BE181" s="432"/>
      <c r="BF181" s="432"/>
      <c r="BG181" s="432"/>
      <c r="BH181" s="432"/>
      <c r="BI181" s="432"/>
      <c r="BJ181" s="432"/>
      <c r="BK181" s="432"/>
      <c r="BL181" s="432"/>
      <c r="BM181" s="432"/>
      <c r="BN181" s="432"/>
      <c r="BO181" s="432"/>
      <c r="BP181" s="432"/>
      <c r="BQ181" s="432"/>
      <c r="BR181" s="432"/>
      <c r="BS181" s="432"/>
      <c r="BT181" s="432"/>
      <c r="BU181" s="432"/>
      <c r="BV181" s="432"/>
      <c r="BW181" s="432"/>
      <c r="BX181" s="432"/>
      <c r="BY181" s="432"/>
    </row>
    <row r="182" spans="55:77" ht="16.5" hidden="1" customHeight="1" x14ac:dyDescent="0.2">
      <c r="BC182" s="432" t="s">
        <v>126</v>
      </c>
      <c r="BD182" s="432"/>
      <c r="BE182" s="432"/>
      <c r="BF182" s="433">
        <f>150*25</f>
        <v>3750</v>
      </c>
      <c r="BG182" s="433"/>
      <c r="BH182" s="433"/>
      <c r="BI182" s="433"/>
      <c r="BJ182" s="433"/>
      <c r="BK182" s="220" t="s">
        <v>127</v>
      </c>
      <c r="BL182" s="220"/>
      <c r="BM182" s="220"/>
      <c r="BN182" s="220"/>
      <c r="BO182" s="220"/>
      <c r="BP182" s="220"/>
      <c r="BQ182" s="220"/>
      <c r="BR182" s="220"/>
    </row>
    <row r="183" spans="55:77" ht="14.25" hidden="1" customHeight="1" x14ac:dyDescent="0.2">
      <c r="BC183" s="434">
        <v>0.6</v>
      </c>
      <c r="BD183" s="432"/>
      <c r="BE183" s="432"/>
      <c r="BF183" s="216">
        <f>BF182*BC183</f>
        <v>2250</v>
      </c>
      <c r="BG183" s="432" t="s">
        <v>128</v>
      </c>
      <c r="BH183" s="432"/>
      <c r="BI183" s="432"/>
      <c r="BJ183" s="432"/>
      <c r="BK183" s="432"/>
      <c r="BL183" s="432" t="s">
        <v>129</v>
      </c>
      <c r="BM183" s="432"/>
      <c r="BN183" s="432"/>
      <c r="BO183" s="432"/>
      <c r="BP183" s="432"/>
      <c r="BQ183" s="432"/>
      <c r="BR183" s="432"/>
    </row>
    <row r="184" spans="55:77" ht="15" hidden="1" customHeight="1" x14ac:dyDescent="0.2">
      <c r="BC184" s="432">
        <v>211</v>
      </c>
      <c r="BD184" s="432"/>
      <c r="BE184" s="432"/>
      <c r="BF184" s="216">
        <f>BF183-BF185</f>
        <v>1728.110599078341</v>
      </c>
      <c r="BG184" s="435">
        <f>BF184*0</f>
        <v>0</v>
      </c>
      <c r="BH184" s="435"/>
      <c r="BI184" s="435"/>
      <c r="BJ184" s="435"/>
      <c r="BK184" s="435"/>
      <c r="BL184" s="435">
        <f>BF184-BG184</f>
        <v>1728.110599078341</v>
      </c>
      <c r="BM184" s="432"/>
      <c r="BN184" s="432"/>
      <c r="BO184" s="432"/>
      <c r="BP184" s="432"/>
      <c r="BQ184" s="432"/>
      <c r="BR184" s="432"/>
    </row>
    <row r="185" spans="55:77" ht="12.75" hidden="1" customHeight="1" x14ac:dyDescent="0.2">
      <c r="BC185" s="432">
        <v>213</v>
      </c>
      <c r="BD185" s="432"/>
      <c r="BE185" s="432"/>
      <c r="BF185" s="216">
        <f>BF183*30.2/130.2</f>
        <v>521.88940092165899</v>
      </c>
      <c r="BG185" s="435">
        <f>BG184*30.2%</f>
        <v>0</v>
      </c>
      <c r="BH185" s="435"/>
      <c r="BI185" s="435"/>
      <c r="BJ185" s="435"/>
      <c r="BK185" s="435"/>
      <c r="BL185" s="435">
        <f>BL184*30.2%</f>
        <v>521.88940092165899</v>
      </c>
      <c r="BM185" s="435"/>
      <c r="BN185" s="435"/>
      <c r="BO185" s="435"/>
      <c r="BP185" s="435"/>
      <c r="BQ185" s="435"/>
      <c r="BR185" s="435"/>
    </row>
    <row r="186" spans="55:77" ht="8.25" hidden="1" customHeight="1" x14ac:dyDescent="0.2"/>
    <row r="187" spans="55:77" ht="8.25" hidden="1" customHeight="1" x14ac:dyDescent="0.2"/>
    <row r="188" spans="55:77" ht="8.25" hidden="1" customHeight="1" x14ac:dyDescent="0.2"/>
    <row r="189" spans="55:77" ht="21.75" hidden="1" customHeight="1" x14ac:dyDescent="0.2">
      <c r="BC189" s="432"/>
      <c r="BD189" s="432"/>
      <c r="BE189" s="432"/>
      <c r="BF189" s="432"/>
      <c r="BG189" s="432"/>
      <c r="BH189" s="432"/>
      <c r="BI189" s="432"/>
      <c r="BJ189" s="432"/>
      <c r="BK189" s="432"/>
      <c r="BL189" s="432"/>
      <c r="BM189" s="432"/>
      <c r="BN189" s="432"/>
      <c r="BO189" s="432"/>
      <c r="BP189" s="432"/>
      <c r="BQ189" s="432"/>
      <c r="BR189" s="432"/>
      <c r="BS189" s="432"/>
      <c r="BT189" s="432"/>
      <c r="BU189" s="432"/>
      <c r="BV189" s="432"/>
      <c r="BW189" s="432"/>
      <c r="BX189" s="432"/>
      <c r="BY189" s="432"/>
    </row>
    <row r="190" spans="55:77" ht="21" hidden="1" customHeight="1" x14ac:dyDescent="0.2">
      <c r="BC190" s="432" t="s">
        <v>162</v>
      </c>
      <c r="BD190" s="432"/>
      <c r="BE190" s="432"/>
      <c r="BF190" s="432"/>
      <c r="BG190" s="432"/>
      <c r="BH190" s="432"/>
      <c r="BI190" s="432"/>
      <c r="BJ190" s="432"/>
      <c r="BK190" s="432"/>
      <c r="BL190" s="432"/>
      <c r="BM190" s="432"/>
      <c r="BN190" s="432"/>
      <c r="BO190" s="432"/>
      <c r="BP190" s="432"/>
      <c r="BQ190" s="432"/>
      <c r="BR190" s="432"/>
      <c r="BS190" s="432"/>
      <c r="BT190" s="432"/>
      <c r="BU190" s="432"/>
      <c r="BV190" s="432"/>
      <c r="BW190" s="432"/>
      <c r="BX190" s="432"/>
      <c r="BY190" s="432"/>
    </row>
    <row r="191" spans="55:77" ht="16.5" hidden="1" customHeight="1" x14ac:dyDescent="0.2">
      <c r="BC191" s="432" t="s">
        <v>126</v>
      </c>
      <c r="BD191" s="432"/>
      <c r="BE191" s="432"/>
      <c r="BF191" s="433">
        <f>150*22</f>
        <v>3300</v>
      </c>
      <c r="BG191" s="433"/>
      <c r="BH191" s="433"/>
      <c r="BI191" s="433"/>
      <c r="BJ191" s="433"/>
      <c r="BK191" s="220" t="s">
        <v>127</v>
      </c>
      <c r="BL191" s="220"/>
      <c r="BM191" s="220"/>
      <c r="BN191" s="220"/>
      <c r="BO191" s="220"/>
      <c r="BP191" s="220"/>
      <c r="BQ191" s="220"/>
      <c r="BR191" s="220"/>
    </row>
    <row r="192" spans="55:77" ht="14.25" hidden="1" customHeight="1" x14ac:dyDescent="0.2">
      <c r="BC192" s="434">
        <v>0.6</v>
      </c>
      <c r="BD192" s="432"/>
      <c r="BE192" s="432"/>
      <c r="BF192" s="216">
        <f>BF191*BC192</f>
        <v>1980</v>
      </c>
      <c r="BG192" s="432" t="s">
        <v>128</v>
      </c>
      <c r="BH192" s="432"/>
      <c r="BI192" s="432"/>
      <c r="BJ192" s="432"/>
      <c r="BK192" s="432"/>
      <c r="BL192" s="432" t="s">
        <v>129</v>
      </c>
      <c r="BM192" s="432"/>
      <c r="BN192" s="432"/>
      <c r="BO192" s="432"/>
      <c r="BP192" s="432"/>
      <c r="BQ192" s="432"/>
      <c r="BR192" s="432"/>
    </row>
    <row r="193" spans="55:77" ht="15" hidden="1" customHeight="1" x14ac:dyDescent="0.2">
      <c r="BC193" s="432">
        <v>211</v>
      </c>
      <c r="BD193" s="432"/>
      <c r="BE193" s="432"/>
      <c r="BF193" s="216">
        <f>BF192-BF194</f>
        <v>1520.7373271889401</v>
      </c>
      <c r="BG193" s="435">
        <f>BF193*0</f>
        <v>0</v>
      </c>
      <c r="BH193" s="435"/>
      <c r="BI193" s="435"/>
      <c r="BJ193" s="435"/>
      <c r="BK193" s="435"/>
      <c r="BL193" s="435">
        <f>BF193-BG193</f>
        <v>1520.7373271889401</v>
      </c>
      <c r="BM193" s="432"/>
      <c r="BN193" s="432"/>
      <c r="BO193" s="432"/>
      <c r="BP193" s="432"/>
      <c r="BQ193" s="432"/>
      <c r="BR193" s="432"/>
    </row>
    <row r="194" spans="55:77" ht="12.75" hidden="1" customHeight="1" x14ac:dyDescent="0.2">
      <c r="BC194" s="432">
        <v>213</v>
      </c>
      <c r="BD194" s="432"/>
      <c r="BE194" s="432"/>
      <c r="BF194" s="216">
        <f>BF192*30.2/130.2</f>
        <v>459.26267281105993</v>
      </c>
      <c r="BG194" s="435">
        <f>BG193*30.2%</f>
        <v>0</v>
      </c>
      <c r="BH194" s="435"/>
      <c r="BI194" s="435"/>
      <c r="BJ194" s="435"/>
      <c r="BK194" s="435"/>
      <c r="BL194" s="435">
        <f>BL193*30.2%</f>
        <v>459.26267281105987</v>
      </c>
      <c r="BM194" s="435"/>
      <c r="BN194" s="435"/>
      <c r="BO194" s="435"/>
      <c r="BP194" s="435"/>
      <c r="BQ194" s="435"/>
      <c r="BR194" s="435"/>
    </row>
    <row r="195" spans="55:77" ht="8.25" hidden="1" customHeight="1" x14ac:dyDescent="0.2"/>
    <row r="196" spans="55:77" ht="7.5" hidden="1" customHeight="1" x14ac:dyDescent="0.2"/>
    <row r="197" spans="55:77" ht="18" hidden="1" customHeight="1" x14ac:dyDescent="0.2">
      <c r="BC197" s="432" t="s">
        <v>173</v>
      </c>
      <c r="BD197" s="432"/>
      <c r="BE197" s="432"/>
      <c r="BF197" s="432"/>
      <c r="BG197" s="432"/>
      <c r="BH197" s="432"/>
      <c r="BI197" s="432"/>
      <c r="BJ197" s="432"/>
      <c r="BK197" s="432"/>
      <c r="BL197" s="432"/>
      <c r="BM197" s="432"/>
      <c r="BN197" s="432"/>
      <c r="BO197" s="432"/>
      <c r="BP197" s="432"/>
      <c r="BQ197" s="432"/>
      <c r="BR197" s="432"/>
      <c r="BS197" s="432"/>
      <c r="BT197" s="432"/>
      <c r="BU197" s="432"/>
      <c r="BV197" s="432"/>
      <c r="BW197" s="432"/>
      <c r="BX197" s="432"/>
      <c r="BY197" s="432"/>
    </row>
    <row r="198" spans="55:77" ht="18" hidden="1" customHeight="1" x14ac:dyDescent="0.2">
      <c r="BC198" s="432" t="s">
        <v>126</v>
      </c>
      <c r="BD198" s="432"/>
      <c r="BE198" s="432"/>
      <c r="BF198" s="433">
        <f>150*17</f>
        <v>2550</v>
      </c>
      <c r="BG198" s="433"/>
      <c r="BH198" s="433"/>
      <c r="BI198" s="433"/>
      <c r="BJ198" s="433"/>
      <c r="BK198" s="220" t="s">
        <v>127</v>
      </c>
      <c r="BL198" s="220"/>
      <c r="BM198" s="220"/>
      <c r="BN198" s="220"/>
      <c r="BO198" s="220"/>
      <c r="BP198" s="220"/>
      <c r="BQ198" s="220"/>
      <c r="BR198" s="220"/>
    </row>
    <row r="199" spans="55:77" ht="14.25" hidden="1" customHeight="1" x14ac:dyDescent="0.2">
      <c r="BC199" s="434">
        <v>0.6</v>
      </c>
      <c r="BD199" s="432"/>
      <c r="BE199" s="432"/>
      <c r="BF199" s="216">
        <f>BF198*BC199</f>
        <v>1530</v>
      </c>
      <c r="BG199" s="432" t="s">
        <v>128</v>
      </c>
      <c r="BH199" s="432"/>
      <c r="BI199" s="432"/>
      <c r="BJ199" s="432"/>
      <c r="BK199" s="432"/>
      <c r="BL199" s="432" t="s">
        <v>129</v>
      </c>
      <c r="BM199" s="432"/>
      <c r="BN199" s="432"/>
      <c r="BO199" s="432"/>
      <c r="BP199" s="432"/>
      <c r="BQ199" s="432"/>
      <c r="BR199" s="432"/>
    </row>
    <row r="200" spans="55:77" ht="15" hidden="1" customHeight="1" x14ac:dyDescent="0.2">
      <c r="BC200" s="432">
        <v>211</v>
      </c>
      <c r="BD200" s="432"/>
      <c r="BE200" s="432"/>
      <c r="BF200" s="216">
        <f>BF199-BF201</f>
        <v>1175.1152073732719</v>
      </c>
      <c r="BG200" s="435">
        <f>BF200*0</f>
        <v>0</v>
      </c>
      <c r="BH200" s="435"/>
      <c r="BI200" s="435"/>
      <c r="BJ200" s="435"/>
      <c r="BK200" s="435"/>
      <c r="BL200" s="435">
        <f>BF200-BG200</f>
        <v>1175.1152073732719</v>
      </c>
      <c r="BM200" s="432"/>
      <c r="BN200" s="432"/>
      <c r="BO200" s="432"/>
      <c r="BP200" s="432"/>
      <c r="BQ200" s="432"/>
      <c r="BR200" s="432"/>
    </row>
    <row r="201" spans="55:77" ht="12" hidden="1" customHeight="1" x14ac:dyDescent="0.2">
      <c r="BC201" s="432">
        <v>213</v>
      </c>
      <c r="BD201" s="432"/>
      <c r="BE201" s="432"/>
      <c r="BF201" s="216">
        <f>BF199*30.2/130.2</f>
        <v>354.88479262672814</v>
      </c>
      <c r="BG201" s="435">
        <f>BG200*30.2%</f>
        <v>0</v>
      </c>
      <c r="BH201" s="435"/>
      <c r="BI201" s="435"/>
      <c r="BJ201" s="435"/>
      <c r="BK201" s="435"/>
      <c r="BL201" s="435">
        <f>BL200*30.2%</f>
        <v>354.88479262672809</v>
      </c>
      <c r="BM201" s="435"/>
      <c r="BN201" s="435"/>
      <c r="BO201" s="435"/>
      <c r="BP201" s="435"/>
      <c r="BQ201" s="435"/>
      <c r="BR201" s="435"/>
    </row>
    <row r="202" spans="55:77" ht="8.25" hidden="1" customHeight="1" x14ac:dyDescent="0.2"/>
    <row r="203" spans="55:77" ht="8.25" hidden="1" customHeight="1" x14ac:dyDescent="0.2"/>
    <row r="204" spans="55:77" ht="8.25" hidden="1" customHeight="1" x14ac:dyDescent="0.2"/>
    <row r="205" spans="55:77" ht="15.75" hidden="1" customHeight="1" x14ac:dyDescent="0.2">
      <c r="BC205" s="432" t="s">
        <v>177</v>
      </c>
      <c r="BD205" s="432"/>
      <c r="BE205" s="432"/>
      <c r="BF205" s="432"/>
      <c r="BG205" s="432"/>
      <c r="BH205" s="432"/>
      <c r="BI205" s="432"/>
      <c r="BJ205" s="432"/>
      <c r="BK205" s="432"/>
      <c r="BL205" s="432"/>
      <c r="BM205" s="432"/>
      <c r="BN205" s="432"/>
      <c r="BO205" s="432"/>
      <c r="BP205" s="432"/>
      <c r="BQ205" s="432"/>
      <c r="BR205" s="432"/>
      <c r="BS205" s="432"/>
      <c r="BT205" s="432"/>
      <c r="BU205" s="432"/>
      <c r="BV205" s="432"/>
      <c r="BW205" s="432"/>
      <c r="BX205" s="432"/>
      <c r="BY205" s="432"/>
    </row>
    <row r="206" spans="55:77" ht="14.25" hidden="1" customHeight="1" x14ac:dyDescent="0.2">
      <c r="BC206" s="432" t="s">
        <v>126</v>
      </c>
      <c r="BD206" s="432"/>
      <c r="BE206" s="432"/>
      <c r="BF206" s="433">
        <f>150*16</f>
        <v>2400</v>
      </c>
      <c r="BG206" s="433"/>
      <c r="BH206" s="433"/>
      <c r="BI206" s="433"/>
      <c r="BJ206" s="433"/>
      <c r="BK206" s="220" t="s">
        <v>127</v>
      </c>
      <c r="BL206" s="220"/>
      <c r="BM206" s="220"/>
      <c r="BN206" s="220"/>
      <c r="BO206" s="220"/>
      <c r="BP206" s="220"/>
      <c r="BQ206" s="220"/>
      <c r="BR206" s="220"/>
    </row>
    <row r="207" spans="55:77" ht="14.25" hidden="1" customHeight="1" x14ac:dyDescent="0.2">
      <c r="BC207" s="434">
        <v>0.6</v>
      </c>
      <c r="BD207" s="432"/>
      <c r="BE207" s="432"/>
      <c r="BF207" s="216">
        <f>BF206*BC207</f>
        <v>1440</v>
      </c>
      <c r="BG207" s="432" t="s">
        <v>128</v>
      </c>
      <c r="BH207" s="432"/>
      <c r="BI207" s="432"/>
      <c r="BJ207" s="432"/>
      <c r="BK207" s="432"/>
      <c r="BL207" s="432" t="s">
        <v>129</v>
      </c>
      <c r="BM207" s="432"/>
      <c r="BN207" s="432"/>
      <c r="BO207" s="432"/>
      <c r="BP207" s="432"/>
      <c r="BQ207" s="432"/>
      <c r="BR207" s="432"/>
    </row>
    <row r="208" spans="55:77" ht="14.25" hidden="1" customHeight="1" x14ac:dyDescent="0.2">
      <c r="BC208" s="432">
        <v>211</v>
      </c>
      <c r="BD208" s="432"/>
      <c r="BE208" s="432"/>
      <c r="BF208" s="216">
        <f>BF207-BF209</f>
        <v>1105.9907834101382</v>
      </c>
      <c r="BG208" s="435">
        <f>BF208*0</f>
        <v>0</v>
      </c>
      <c r="BH208" s="435"/>
      <c r="BI208" s="435"/>
      <c r="BJ208" s="435"/>
      <c r="BK208" s="435"/>
      <c r="BL208" s="435">
        <f>BF208-BG208</f>
        <v>1105.9907834101382</v>
      </c>
      <c r="BM208" s="432"/>
      <c r="BN208" s="432"/>
      <c r="BO208" s="432"/>
      <c r="BP208" s="432"/>
      <c r="BQ208" s="432"/>
      <c r="BR208" s="432"/>
    </row>
    <row r="209" spans="55:77" ht="15.75" hidden="1" customHeight="1" x14ac:dyDescent="0.2">
      <c r="BC209" s="432">
        <v>213</v>
      </c>
      <c r="BD209" s="432"/>
      <c r="BE209" s="432"/>
      <c r="BF209" s="216">
        <f>BF207*30.2/130.2</f>
        <v>334.00921658986181</v>
      </c>
      <c r="BG209" s="435">
        <f>BG208*30.2%</f>
        <v>0</v>
      </c>
      <c r="BH209" s="435"/>
      <c r="BI209" s="435"/>
      <c r="BJ209" s="435"/>
      <c r="BK209" s="435"/>
      <c r="BL209" s="435">
        <f>BL208*30.2%</f>
        <v>334.00921658986175</v>
      </c>
      <c r="BM209" s="435"/>
      <c r="BN209" s="435"/>
      <c r="BO209" s="435"/>
      <c r="BP209" s="435"/>
      <c r="BQ209" s="435"/>
      <c r="BR209" s="435"/>
    </row>
    <row r="210" spans="55:77" ht="8.25" hidden="1" customHeight="1" x14ac:dyDescent="0.2"/>
    <row r="211" spans="55:77" ht="8.25" hidden="1" customHeight="1" x14ac:dyDescent="0.2"/>
    <row r="212" spans="55:77" ht="8.25" hidden="1" customHeight="1" x14ac:dyDescent="0.2"/>
    <row r="213" spans="55:77" ht="18.75" hidden="1" customHeight="1" x14ac:dyDescent="0.2">
      <c r="BC213" s="432" t="s">
        <v>183</v>
      </c>
      <c r="BD213" s="432"/>
      <c r="BE213" s="432"/>
      <c r="BF213" s="432"/>
      <c r="BG213" s="432"/>
      <c r="BH213" s="432"/>
      <c r="BI213" s="432"/>
      <c r="BJ213" s="432"/>
      <c r="BK213" s="432"/>
      <c r="BL213" s="432"/>
      <c r="BM213" s="432"/>
      <c r="BN213" s="432"/>
      <c r="BO213" s="432"/>
      <c r="BP213" s="432"/>
      <c r="BQ213" s="432"/>
      <c r="BR213" s="432"/>
      <c r="BS213" s="432"/>
      <c r="BT213" s="432"/>
      <c r="BU213" s="432"/>
      <c r="BV213" s="432"/>
      <c r="BW213" s="432"/>
      <c r="BX213" s="432"/>
      <c r="BY213" s="432"/>
    </row>
    <row r="214" spans="55:77" ht="16.5" hidden="1" customHeight="1" x14ac:dyDescent="0.2">
      <c r="BC214" s="432" t="s">
        <v>126</v>
      </c>
      <c r="BD214" s="432"/>
      <c r="BE214" s="432"/>
      <c r="BF214" s="433">
        <f>150*0</f>
        <v>0</v>
      </c>
      <c r="BG214" s="433"/>
      <c r="BH214" s="433"/>
      <c r="BI214" s="433"/>
      <c r="BJ214" s="433"/>
      <c r="BK214" s="220" t="s">
        <v>127</v>
      </c>
      <c r="BL214" s="220"/>
      <c r="BM214" s="220"/>
      <c r="BN214" s="220"/>
      <c r="BO214" s="220"/>
      <c r="BP214" s="220"/>
      <c r="BQ214" s="220"/>
      <c r="BR214" s="220"/>
    </row>
    <row r="215" spans="55:77" ht="14.25" hidden="1" customHeight="1" x14ac:dyDescent="0.2">
      <c r="BC215" s="434">
        <v>0.6</v>
      </c>
      <c r="BD215" s="432"/>
      <c r="BE215" s="432"/>
      <c r="BF215" s="216">
        <f>BF214*BC215</f>
        <v>0</v>
      </c>
      <c r="BG215" s="432" t="s">
        <v>128</v>
      </c>
      <c r="BH215" s="432"/>
      <c r="BI215" s="432"/>
      <c r="BJ215" s="432"/>
      <c r="BK215" s="432"/>
      <c r="BL215" s="432" t="s">
        <v>129</v>
      </c>
      <c r="BM215" s="432"/>
      <c r="BN215" s="432"/>
      <c r="BO215" s="432"/>
      <c r="BP215" s="432"/>
      <c r="BQ215" s="432"/>
      <c r="BR215" s="432"/>
    </row>
    <row r="216" spans="55:77" ht="13.5" hidden="1" customHeight="1" x14ac:dyDescent="0.2">
      <c r="BC216" s="432">
        <v>211</v>
      </c>
      <c r="BD216" s="432"/>
      <c r="BE216" s="432"/>
      <c r="BF216" s="216">
        <f>BF215-BF217</f>
        <v>0</v>
      </c>
      <c r="BG216" s="435">
        <f>BF216*0.1</f>
        <v>0</v>
      </c>
      <c r="BH216" s="435"/>
      <c r="BI216" s="435"/>
      <c r="BJ216" s="435"/>
      <c r="BK216" s="435"/>
      <c r="BL216" s="435">
        <f>BF216-BG216</f>
        <v>0</v>
      </c>
      <c r="BM216" s="432"/>
      <c r="BN216" s="432"/>
      <c r="BO216" s="432"/>
      <c r="BP216" s="432"/>
      <c r="BQ216" s="432"/>
      <c r="BR216" s="432"/>
    </row>
    <row r="217" spans="55:77" ht="16.5" hidden="1" customHeight="1" x14ac:dyDescent="0.2">
      <c r="BC217" s="432">
        <v>213</v>
      </c>
      <c r="BD217" s="432"/>
      <c r="BE217" s="432"/>
      <c r="BF217" s="216">
        <f>BF215*30.2/130.2</f>
        <v>0</v>
      </c>
      <c r="BG217" s="435">
        <f>BG216*30.2%</f>
        <v>0</v>
      </c>
      <c r="BH217" s="435"/>
      <c r="BI217" s="435"/>
      <c r="BJ217" s="435"/>
      <c r="BK217" s="435"/>
      <c r="BL217" s="435">
        <f>BL216*30.2%</f>
        <v>0</v>
      </c>
      <c r="BM217" s="435"/>
      <c r="BN217" s="435"/>
      <c r="BO217" s="435"/>
      <c r="BP217" s="435"/>
      <c r="BQ217" s="435"/>
      <c r="BR217" s="435"/>
    </row>
    <row r="218" spans="55:77" ht="0.75" hidden="1" customHeight="1" x14ac:dyDescent="0.2"/>
    <row r="219" spans="55:77" ht="8.25" hidden="1" customHeight="1" x14ac:dyDescent="0.2"/>
    <row r="220" spans="55:77" ht="14.25" hidden="1" customHeight="1" x14ac:dyDescent="0.2">
      <c r="BC220" s="432" t="s">
        <v>273</v>
      </c>
      <c r="BD220" s="432"/>
      <c r="BE220" s="432"/>
      <c r="BF220" s="432"/>
      <c r="BG220" s="432"/>
      <c r="BH220" s="432"/>
      <c r="BI220" s="432"/>
      <c r="BJ220" s="432"/>
      <c r="BK220" s="432"/>
      <c r="BL220" s="432"/>
      <c r="BM220" s="432"/>
      <c r="BN220" s="432"/>
      <c r="BO220" s="432"/>
      <c r="BP220" s="432"/>
      <c r="BQ220" s="432"/>
      <c r="BR220" s="432"/>
      <c r="BS220" s="432"/>
      <c r="BT220" s="432"/>
      <c r="BU220" s="432"/>
      <c r="BV220" s="432"/>
      <c r="BW220" s="432"/>
      <c r="BX220" s="432"/>
      <c r="BY220" s="432"/>
    </row>
    <row r="221" spans="55:77" ht="16.5" hidden="1" customHeight="1" x14ac:dyDescent="0.2">
      <c r="BC221" s="432" t="s">
        <v>126</v>
      </c>
      <c r="BD221" s="432"/>
      <c r="BE221" s="432"/>
      <c r="BF221" s="433">
        <f>200*21</f>
        <v>4200</v>
      </c>
      <c r="BG221" s="433"/>
      <c r="BH221" s="433"/>
      <c r="BI221" s="433"/>
      <c r="BJ221" s="433"/>
      <c r="BK221" s="220" t="s">
        <v>127</v>
      </c>
      <c r="BL221" s="220"/>
      <c r="BM221" s="220"/>
      <c r="BN221" s="220"/>
      <c r="BO221" s="220"/>
      <c r="BP221" s="220"/>
      <c r="BQ221" s="220"/>
      <c r="BR221" s="220"/>
    </row>
    <row r="222" spans="55:77" ht="15" hidden="1" customHeight="1" x14ac:dyDescent="0.2">
      <c r="BC222" s="434">
        <v>0.6</v>
      </c>
      <c r="BD222" s="432"/>
      <c r="BE222" s="432"/>
      <c r="BF222" s="216">
        <f>BF221*BC222</f>
        <v>2520</v>
      </c>
      <c r="BG222" s="432" t="s">
        <v>128</v>
      </c>
      <c r="BH222" s="432"/>
      <c r="BI222" s="432"/>
      <c r="BJ222" s="432"/>
      <c r="BK222" s="432"/>
      <c r="BL222" s="432" t="s">
        <v>129</v>
      </c>
      <c r="BM222" s="432"/>
      <c r="BN222" s="432"/>
      <c r="BO222" s="432"/>
      <c r="BP222" s="432"/>
      <c r="BQ222" s="432"/>
      <c r="BR222" s="432"/>
    </row>
    <row r="223" spans="55:77" ht="14.25" hidden="1" customHeight="1" x14ac:dyDescent="0.2">
      <c r="BC223" s="432">
        <v>211</v>
      </c>
      <c r="BD223" s="432"/>
      <c r="BE223" s="432"/>
      <c r="BF223" s="216">
        <f>BF222-BF224</f>
        <v>1935.483870967742</v>
      </c>
      <c r="BG223" s="435">
        <f>BF223*0.1</f>
        <v>193.54838709677421</v>
      </c>
      <c r="BH223" s="435"/>
      <c r="BI223" s="435"/>
      <c r="BJ223" s="435"/>
      <c r="BK223" s="435"/>
      <c r="BL223" s="435">
        <f>BF223-BG223</f>
        <v>1741.9354838709678</v>
      </c>
      <c r="BM223" s="432"/>
      <c r="BN223" s="432"/>
      <c r="BO223" s="432"/>
      <c r="BP223" s="432"/>
      <c r="BQ223" s="432"/>
      <c r="BR223" s="432"/>
    </row>
    <row r="224" spans="55:77" ht="27" hidden="1" customHeight="1" x14ac:dyDescent="0.2">
      <c r="BC224" s="432">
        <v>213</v>
      </c>
      <c r="BD224" s="432"/>
      <c r="BE224" s="432"/>
      <c r="BF224" s="216">
        <f>BF222*30.2/130.2</f>
        <v>584.51612903225816</v>
      </c>
      <c r="BG224" s="435">
        <f>BG223*30.2%</f>
        <v>58.451612903225808</v>
      </c>
      <c r="BH224" s="435"/>
      <c r="BI224" s="435"/>
      <c r="BJ224" s="435"/>
      <c r="BK224" s="435"/>
      <c r="BL224" s="435">
        <f>BL223*30.2%</f>
        <v>526.06451612903231</v>
      </c>
      <c r="BM224" s="435"/>
      <c r="BN224" s="435"/>
      <c r="BO224" s="435"/>
      <c r="BP224" s="435"/>
      <c r="BQ224" s="435"/>
      <c r="BR224" s="435"/>
    </row>
    <row r="225" spans="55:77" ht="8.25" hidden="1" customHeight="1" x14ac:dyDescent="0.2"/>
    <row r="226" spans="55:77" ht="8.25" hidden="1" customHeight="1" x14ac:dyDescent="0.2"/>
    <row r="227" spans="55:77" ht="12.75" hidden="1" customHeight="1" x14ac:dyDescent="0.2">
      <c r="BC227" s="432" t="s">
        <v>280</v>
      </c>
      <c r="BD227" s="432"/>
      <c r="BE227" s="432"/>
      <c r="BF227" s="432"/>
      <c r="BG227" s="432"/>
      <c r="BH227" s="432"/>
      <c r="BI227" s="432"/>
      <c r="BJ227" s="432"/>
      <c r="BK227" s="432"/>
      <c r="BL227" s="432"/>
      <c r="BM227" s="432"/>
      <c r="BN227" s="432"/>
      <c r="BO227" s="432"/>
      <c r="BP227" s="432"/>
      <c r="BQ227" s="432"/>
      <c r="BR227" s="432"/>
      <c r="BS227" s="432"/>
      <c r="BT227" s="432"/>
      <c r="BU227" s="432"/>
      <c r="BV227" s="432"/>
      <c r="BW227" s="432"/>
      <c r="BX227" s="432"/>
      <c r="BY227" s="432"/>
    </row>
    <row r="228" spans="55:77" ht="12.75" hidden="1" customHeight="1" x14ac:dyDescent="0.2">
      <c r="BC228" s="432" t="s">
        <v>126</v>
      </c>
      <c r="BD228" s="432"/>
      <c r="BE228" s="432"/>
      <c r="BF228" s="433">
        <f>200*13</f>
        <v>2600</v>
      </c>
      <c r="BG228" s="433"/>
      <c r="BH228" s="433"/>
      <c r="BI228" s="433"/>
      <c r="BJ228" s="433"/>
      <c r="BK228" s="220" t="s">
        <v>127</v>
      </c>
      <c r="BL228" s="220"/>
      <c r="BM228" s="220"/>
      <c r="BN228" s="220"/>
      <c r="BO228" s="220"/>
      <c r="BP228" s="220"/>
      <c r="BQ228" s="220"/>
      <c r="BR228" s="220"/>
    </row>
    <row r="229" spans="55:77" ht="12.75" hidden="1" customHeight="1" x14ac:dyDescent="0.2">
      <c r="BC229" s="434">
        <v>0.6</v>
      </c>
      <c r="BD229" s="432"/>
      <c r="BE229" s="432"/>
      <c r="BF229" s="216">
        <f>BF228*BC229</f>
        <v>1560</v>
      </c>
      <c r="BG229" s="432" t="s">
        <v>128</v>
      </c>
      <c r="BH229" s="432"/>
      <c r="BI229" s="432"/>
      <c r="BJ229" s="432"/>
      <c r="BK229" s="432"/>
      <c r="BL229" s="432" t="s">
        <v>129</v>
      </c>
      <c r="BM229" s="432"/>
      <c r="BN229" s="432"/>
      <c r="BO229" s="432"/>
      <c r="BP229" s="432"/>
      <c r="BQ229" s="432"/>
      <c r="BR229" s="432"/>
    </row>
    <row r="230" spans="55:77" ht="12.75" hidden="1" customHeight="1" x14ac:dyDescent="0.2">
      <c r="BC230" s="432">
        <v>211</v>
      </c>
      <c r="BD230" s="432"/>
      <c r="BE230" s="432"/>
      <c r="BF230" s="216">
        <f>BF229-BF231</f>
        <v>1198.1566820276498</v>
      </c>
      <c r="BG230" s="435">
        <f>BF230*0.1</f>
        <v>119.81566820276498</v>
      </c>
      <c r="BH230" s="435"/>
      <c r="BI230" s="435"/>
      <c r="BJ230" s="435"/>
      <c r="BK230" s="435"/>
      <c r="BL230" s="435">
        <f>BF230-BG230</f>
        <v>1078.3410138248848</v>
      </c>
      <c r="BM230" s="432"/>
      <c r="BN230" s="432"/>
      <c r="BO230" s="432"/>
      <c r="BP230" s="432"/>
      <c r="BQ230" s="432"/>
      <c r="BR230" s="432"/>
    </row>
    <row r="231" spans="55:77" ht="12.75" hidden="1" customHeight="1" x14ac:dyDescent="0.2">
      <c r="BC231" s="432">
        <v>213</v>
      </c>
      <c r="BD231" s="432"/>
      <c r="BE231" s="432"/>
      <c r="BF231" s="216">
        <f>BF229*30.2/130.2</f>
        <v>361.84331797235023</v>
      </c>
      <c r="BG231" s="435">
        <f>BG230*30.2%</f>
        <v>36.184331797235025</v>
      </c>
      <c r="BH231" s="435"/>
      <c r="BI231" s="435"/>
      <c r="BJ231" s="435"/>
      <c r="BK231" s="435"/>
      <c r="BL231" s="435">
        <f>BL230*30.2%</f>
        <v>325.65898617511522</v>
      </c>
      <c r="BM231" s="435"/>
      <c r="BN231" s="435"/>
      <c r="BO231" s="435"/>
      <c r="BP231" s="435"/>
      <c r="BQ231" s="435"/>
      <c r="BR231" s="435"/>
    </row>
    <row r="232" spans="55:77" ht="12.75" hidden="1" customHeight="1" x14ac:dyDescent="0.2"/>
    <row r="233" spans="55:77" ht="8.25" hidden="1" customHeight="1" x14ac:dyDescent="0.2"/>
    <row r="234" spans="55:77" ht="15" hidden="1" customHeight="1" x14ac:dyDescent="0.2">
      <c r="BC234" s="432" t="s">
        <v>284</v>
      </c>
      <c r="BD234" s="432"/>
      <c r="BE234" s="432"/>
      <c r="BF234" s="432"/>
      <c r="BG234" s="432"/>
      <c r="BH234" s="432"/>
      <c r="BI234" s="432"/>
      <c r="BJ234" s="432"/>
      <c r="BK234" s="432"/>
      <c r="BL234" s="432"/>
      <c r="BM234" s="432"/>
      <c r="BN234" s="432"/>
      <c r="BO234" s="432"/>
      <c r="BP234" s="432"/>
      <c r="BQ234" s="432"/>
      <c r="BR234" s="432"/>
      <c r="BS234" s="432"/>
      <c r="BT234" s="432"/>
      <c r="BU234" s="432"/>
      <c r="BV234" s="432"/>
      <c r="BW234" s="432"/>
      <c r="BX234" s="432"/>
      <c r="BY234" s="432"/>
    </row>
    <row r="235" spans="55:77" ht="15" hidden="1" customHeight="1" x14ac:dyDescent="0.2">
      <c r="BC235" s="432" t="s">
        <v>126</v>
      </c>
      <c r="BD235" s="432"/>
      <c r="BE235" s="432"/>
      <c r="BF235" s="433">
        <f>200*20</f>
        <v>4000</v>
      </c>
      <c r="BG235" s="433"/>
      <c r="BH235" s="433"/>
      <c r="BI235" s="433"/>
      <c r="BJ235" s="433"/>
      <c r="BK235" s="220" t="s">
        <v>127</v>
      </c>
      <c r="BL235" s="220"/>
      <c r="BM235" s="220"/>
      <c r="BN235" s="220"/>
      <c r="BO235" s="220"/>
      <c r="BP235" s="220"/>
      <c r="BQ235" s="220"/>
      <c r="BR235" s="220"/>
    </row>
    <row r="236" spans="55:77" ht="15" hidden="1" customHeight="1" x14ac:dyDescent="0.2">
      <c r="BC236" s="434">
        <v>0.6</v>
      </c>
      <c r="BD236" s="432"/>
      <c r="BE236" s="432"/>
      <c r="BF236" s="216">
        <f>BF235*BC236</f>
        <v>2400</v>
      </c>
      <c r="BG236" s="432" t="s">
        <v>128</v>
      </c>
      <c r="BH236" s="432"/>
      <c r="BI236" s="432"/>
      <c r="BJ236" s="432"/>
      <c r="BK236" s="432"/>
      <c r="BL236" s="432" t="s">
        <v>129</v>
      </c>
      <c r="BM236" s="432"/>
      <c r="BN236" s="432"/>
      <c r="BO236" s="432"/>
      <c r="BP236" s="432"/>
      <c r="BQ236" s="432"/>
      <c r="BR236" s="432"/>
    </row>
    <row r="237" spans="55:77" ht="15" hidden="1" customHeight="1" x14ac:dyDescent="0.2">
      <c r="BC237" s="432">
        <v>211</v>
      </c>
      <c r="BD237" s="432"/>
      <c r="BE237" s="432"/>
      <c r="BF237" s="216">
        <f>BF236-BF238</f>
        <v>1843.3179723502303</v>
      </c>
      <c r="BG237" s="435">
        <f>BF237*0.1</f>
        <v>184.33179723502303</v>
      </c>
      <c r="BH237" s="435"/>
      <c r="BI237" s="435"/>
      <c r="BJ237" s="435"/>
      <c r="BK237" s="435"/>
      <c r="BL237" s="435">
        <f>BF237-BG237</f>
        <v>1658.9861751152073</v>
      </c>
      <c r="BM237" s="432"/>
      <c r="BN237" s="432"/>
      <c r="BO237" s="432"/>
      <c r="BP237" s="432"/>
      <c r="BQ237" s="432"/>
      <c r="BR237" s="432"/>
    </row>
    <row r="238" spans="55:77" ht="15" hidden="1" customHeight="1" x14ac:dyDescent="0.2">
      <c r="BC238" s="432">
        <v>213</v>
      </c>
      <c r="BD238" s="432"/>
      <c r="BE238" s="432"/>
      <c r="BF238" s="216">
        <f>BF236*30.2/130.2</f>
        <v>556.68202764976968</v>
      </c>
      <c r="BG238" s="435">
        <f>BG237*30.2%</f>
        <v>55.668202764976954</v>
      </c>
      <c r="BH238" s="435"/>
      <c r="BI238" s="435"/>
      <c r="BJ238" s="435"/>
      <c r="BK238" s="435"/>
      <c r="BL238" s="435">
        <f>BL237*30.2%</f>
        <v>501.0138248847926</v>
      </c>
      <c r="BM238" s="435"/>
      <c r="BN238" s="435"/>
      <c r="BO238" s="435"/>
      <c r="BP238" s="435"/>
      <c r="BQ238" s="435"/>
      <c r="BR238" s="435"/>
    </row>
    <row r="239" spans="55:77" ht="15" hidden="1" customHeight="1" x14ac:dyDescent="0.2"/>
    <row r="240" spans="55:77" ht="8.25" hidden="1" customHeight="1" x14ac:dyDescent="0.2"/>
    <row r="241" spans="55:77" ht="15.75" hidden="1" customHeight="1" x14ac:dyDescent="0.2">
      <c r="BC241" s="432" t="s">
        <v>297</v>
      </c>
      <c r="BD241" s="432"/>
      <c r="BE241" s="432"/>
      <c r="BF241" s="432"/>
      <c r="BG241" s="432"/>
      <c r="BH241" s="432"/>
      <c r="BI241" s="432"/>
      <c r="BJ241" s="432"/>
      <c r="BK241" s="432"/>
      <c r="BL241" s="432"/>
      <c r="BM241" s="432"/>
      <c r="BN241" s="432"/>
      <c r="BO241" s="432"/>
      <c r="BP241" s="432"/>
      <c r="BQ241" s="432"/>
      <c r="BR241" s="432"/>
      <c r="BS241" s="432"/>
      <c r="BT241" s="432"/>
      <c r="BU241" s="432"/>
      <c r="BV241" s="432"/>
      <c r="BW241" s="432"/>
      <c r="BX241" s="432"/>
      <c r="BY241" s="432"/>
    </row>
    <row r="242" spans="55:77" ht="15.75" hidden="1" customHeight="1" x14ac:dyDescent="0.2">
      <c r="BC242" s="432" t="s">
        <v>126</v>
      </c>
      <c r="BD242" s="432"/>
      <c r="BE242" s="432"/>
      <c r="BF242" s="433">
        <f>200*28</f>
        <v>5600</v>
      </c>
      <c r="BG242" s="433"/>
      <c r="BH242" s="433"/>
      <c r="BI242" s="433"/>
      <c r="BJ242" s="433"/>
      <c r="BK242" s="220" t="s">
        <v>127</v>
      </c>
      <c r="BL242" s="220"/>
      <c r="BM242" s="220"/>
      <c r="BN242" s="220"/>
      <c r="BO242" s="220"/>
      <c r="BP242" s="220"/>
      <c r="BQ242" s="220"/>
      <c r="BR242" s="220"/>
    </row>
    <row r="243" spans="55:77" ht="15.75" hidden="1" customHeight="1" x14ac:dyDescent="0.2">
      <c r="BC243" s="434">
        <v>0.6</v>
      </c>
      <c r="BD243" s="432"/>
      <c r="BE243" s="432"/>
      <c r="BF243" s="216">
        <f>BF242*BC243</f>
        <v>3360</v>
      </c>
      <c r="BG243" s="432" t="s">
        <v>128</v>
      </c>
      <c r="BH243" s="432"/>
      <c r="BI243" s="432"/>
      <c r="BJ243" s="432"/>
      <c r="BK243" s="432"/>
      <c r="BL243" s="432" t="s">
        <v>129</v>
      </c>
      <c r="BM243" s="432"/>
      <c r="BN243" s="432"/>
      <c r="BO243" s="432"/>
      <c r="BP243" s="432"/>
      <c r="BQ243" s="432"/>
      <c r="BR243" s="432"/>
    </row>
    <row r="244" spans="55:77" ht="15.75" hidden="1" customHeight="1" x14ac:dyDescent="0.2">
      <c r="BC244" s="432">
        <v>211</v>
      </c>
      <c r="BD244" s="432"/>
      <c r="BE244" s="432"/>
      <c r="BF244" s="216">
        <f>BF243-BF245</f>
        <v>2580.6451612903224</v>
      </c>
      <c r="BG244" s="435">
        <f>BF244*0.1</f>
        <v>258.06451612903226</v>
      </c>
      <c r="BH244" s="435"/>
      <c r="BI244" s="435"/>
      <c r="BJ244" s="435"/>
      <c r="BK244" s="435"/>
      <c r="BL244" s="435">
        <f>BF244-BG244</f>
        <v>2322.5806451612902</v>
      </c>
      <c r="BM244" s="432"/>
      <c r="BN244" s="432"/>
      <c r="BO244" s="432"/>
      <c r="BP244" s="432"/>
      <c r="BQ244" s="432"/>
      <c r="BR244" s="432"/>
    </row>
    <row r="245" spans="55:77" ht="15.75" hidden="1" customHeight="1" x14ac:dyDescent="0.2">
      <c r="BC245" s="432">
        <v>213</v>
      </c>
      <c r="BD245" s="432"/>
      <c r="BE245" s="432"/>
      <c r="BF245" s="216">
        <f>BF243*30.2/130.2</f>
        <v>779.35483870967744</v>
      </c>
      <c r="BG245" s="435">
        <f>BG244*30.2%</f>
        <v>77.935483870967744</v>
      </c>
      <c r="BH245" s="435"/>
      <c r="BI245" s="435"/>
      <c r="BJ245" s="435"/>
      <c r="BK245" s="435"/>
      <c r="BL245" s="435">
        <f>BL244*30.2%</f>
        <v>701.41935483870964</v>
      </c>
      <c r="BM245" s="435"/>
      <c r="BN245" s="435"/>
      <c r="BO245" s="435"/>
      <c r="BP245" s="435"/>
      <c r="BQ245" s="435"/>
      <c r="BR245" s="435"/>
    </row>
    <row r="246" spans="55:77" ht="15.75" hidden="1" customHeight="1" x14ac:dyDescent="0.2"/>
    <row r="247" spans="55:77" ht="8.25" hidden="1" customHeight="1" x14ac:dyDescent="0.2"/>
    <row r="248" spans="55:77" ht="15" hidden="1" customHeight="1" x14ac:dyDescent="0.2">
      <c r="BC248" s="432" t="s">
        <v>305</v>
      </c>
      <c r="BD248" s="432"/>
      <c r="BE248" s="432"/>
      <c r="BF248" s="432"/>
      <c r="BG248" s="432"/>
      <c r="BH248" s="432"/>
      <c r="BI248" s="432"/>
      <c r="BJ248" s="432"/>
      <c r="BK248" s="432"/>
      <c r="BL248" s="432"/>
      <c r="BM248" s="432"/>
      <c r="BN248" s="432"/>
      <c r="BO248" s="432"/>
      <c r="BP248" s="432"/>
      <c r="BQ248" s="432"/>
      <c r="BR248" s="432"/>
      <c r="BS248" s="432"/>
      <c r="BT248" s="432"/>
      <c r="BU248" s="432"/>
      <c r="BV248" s="432"/>
      <c r="BW248" s="432"/>
      <c r="BX248" s="432"/>
      <c r="BY248" s="432"/>
    </row>
    <row r="249" spans="55:77" ht="15" hidden="1" customHeight="1" x14ac:dyDescent="0.2">
      <c r="BC249" s="432" t="s">
        <v>126</v>
      </c>
      <c r="BD249" s="432"/>
      <c r="BE249" s="432"/>
      <c r="BF249" s="433">
        <f>200*15</f>
        <v>3000</v>
      </c>
      <c r="BG249" s="433"/>
      <c r="BH249" s="433"/>
      <c r="BI249" s="433"/>
      <c r="BJ249" s="433"/>
      <c r="BK249" s="220" t="s">
        <v>127</v>
      </c>
      <c r="BL249" s="220"/>
      <c r="BM249" s="220"/>
      <c r="BN249" s="220"/>
      <c r="BO249" s="220"/>
      <c r="BP249" s="220"/>
      <c r="BQ249" s="220"/>
      <c r="BR249" s="220"/>
    </row>
    <row r="250" spans="55:77" ht="15" hidden="1" customHeight="1" x14ac:dyDescent="0.2">
      <c r="BC250" s="434">
        <v>0.6</v>
      </c>
      <c r="BD250" s="432"/>
      <c r="BE250" s="432"/>
      <c r="BF250" s="216">
        <f>BF249*BC250</f>
        <v>1800</v>
      </c>
      <c r="BG250" s="432" t="s">
        <v>128</v>
      </c>
      <c r="BH250" s="432"/>
      <c r="BI250" s="432"/>
      <c r="BJ250" s="432"/>
      <c r="BK250" s="432"/>
      <c r="BL250" s="432" t="s">
        <v>129</v>
      </c>
      <c r="BM250" s="432"/>
      <c r="BN250" s="432"/>
      <c r="BO250" s="432"/>
      <c r="BP250" s="432"/>
      <c r="BQ250" s="432"/>
      <c r="BR250" s="432"/>
    </row>
    <row r="251" spans="55:77" ht="15" hidden="1" customHeight="1" x14ac:dyDescent="0.2">
      <c r="BC251" s="432">
        <v>211</v>
      </c>
      <c r="BD251" s="432"/>
      <c r="BE251" s="432"/>
      <c r="BF251" s="216">
        <f>BF250-BF252</f>
        <v>1382.4884792626729</v>
      </c>
      <c r="BG251" s="435">
        <f>BF251*0.1</f>
        <v>138.2488479262673</v>
      </c>
      <c r="BH251" s="435"/>
      <c r="BI251" s="435"/>
      <c r="BJ251" s="435"/>
      <c r="BK251" s="435"/>
      <c r="BL251" s="435">
        <f>BF251-BG251</f>
        <v>1244.2396313364056</v>
      </c>
      <c r="BM251" s="432"/>
      <c r="BN251" s="432"/>
      <c r="BO251" s="432"/>
      <c r="BP251" s="432"/>
      <c r="BQ251" s="432"/>
      <c r="BR251" s="432"/>
    </row>
    <row r="252" spans="55:77" ht="15" hidden="1" customHeight="1" x14ac:dyDescent="0.2">
      <c r="BC252" s="432">
        <v>213</v>
      </c>
      <c r="BD252" s="432"/>
      <c r="BE252" s="432"/>
      <c r="BF252" s="216">
        <f>BF250*30.2/130.2</f>
        <v>417.5115207373272</v>
      </c>
      <c r="BG252" s="435">
        <f>BG251*30.2%</f>
        <v>41.751152073732726</v>
      </c>
      <c r="BH252" s="435"/>
      <c r="BI252" s="435"/>
      <c r="BJ252" s="435"/>
      <c r="BK252" s="435"/>
      <c r="BL252" s="435">
        <f>BL251*30.2%</f>
        <v>375.76036866359448</v>
      </c>
      <c r="BM252" s="435"/>
      <c r="BN252" s="435"/>
      <c r="BO252" s="435"/>
      <c r="BP252" s="435"/>
      <c r="BQ252" s="435"/>
      <c r="BR252" s="435"/>
    </row>
    <row r="253" spans="55:77" ht="15" hidden="1" customHeight="1" x14ac:dyDescent="0.2"/>
    <row r="254" spans="55:77" ht="8.25" hidden="1" customHeight="1" x14ac:dyDescent="0.2"/>
    <row r="255" spans="55:77" ht="15" hidden="1" customHeight="1" x14ac:dyDescent="0.2">
      <c r="BC255" s="432" t="s">
        <v>306</v>
      </c>
      <c r="BD255" s="432"/>
      <c r="BE255" s="432"/>
      <c r="BF255" s="432"/>
      <c r="BG255" s="432"/>
      <c r="BH255" s="432"/>
      <c r="BI255" s="432"/>
      <c r="BJ255" s="432"/>
      <c r="BK255" s="432"/>
      <c r="BL255" s="432"/>
      <c r="BM255" s="432"/>
      <c r="BN255" s="432"/>
      <c r="BO255" s="432"/>
      <c r="BP255" s="432"/>
      <c r="BQ255" s="432"/>
      <c r="BR255" s="432"/>
      <c r="BS255" s="432"/>
      <c r="BT255" s="432"/>
      <c r="BU255" s="432"/>
      <c r="BV255" s="432"/>
      <c r="BW255" s="432"/>
      <c r="BX255" s="432"/>
      <c r="BY255" s="432"/>
    </row>
    <row r="256" spans="55:77" ht="15" hidden="1" customHeight="1" x14ac:dyDescent="0.2">
      <c r="BC256" s="432" t="s">
        <v>126</v>
      </c>
      <c r="BD256" s="432"/>
      <c r="BE256" s="432"/>
      <c r="BF256" s="433">
        <f>200*27</f>
        <v>5400</v>
      </c>
      <c r="BG256" s="433"/>
      <c r="BH256" s="433"/>
      <c r="BI256" s="433"/>
      <c r="BJ256" s="433"/>
      <c r="BK256" s="220" t="s">
        <v>127</v>
      </c>
      <c r="BL256" s="220"/>
      <c r="BM256" s="220"/>
      <c r="BN256" s="220"/>
      <c r="BO256" s="220"/>
      <c r="BP256" s="220"/>
      <c r="BQ256" s="220"/>
      <c r="BR256" s="220"/>
    </row>
    <row r="257" spans="55:77" ht="15" hidden="1" customHeight="1" x14ac:dyDescent="0.2">
      <c r="BC257" s="434">
        <v>0.6</v>
      </c>
      <c r="BD257" s="432"/>
      <c r="BE257" s="432"/>
      <c r="BF257" s="216">
        <f>BF256*BC257</f>
        <v>3240</v>
      </c>
      <c r="BG257" s="432" t="s">
        <v>128</v>
      </c>
      <c r="BH257" s="432"/>
      <c r="BI257" s="432"/>
      <c r="BJ257" s="432"/>
      <c r="BK257" s="432"/>
      <c r="BL257" s="432" t="s">
        <v>129</v>
      </c>
      <c r="BM257" s="432"/>
      <c r="BN257" s="432"/>
      <c r="BO257" s="432"/>
      <c r="BP257" s="432"/>
      <c r="BQ257" s="432"/>
      <c r="BR257" s="432"/>
    </row>
    <row r="258" spans="55:77" ht="15" hidden="1" customHeight="1" x14ac:dyDescent="0.2">
      <c r="BC258" s="432">
        <v>211</v>
      </c>
      <c r="BD258" s="432"/>
      <c r="BE258" s="432"/>
      <c r="BF258" s="216">
        <f>BF257-BF259</f>
        <v>2488.4792626728113</v>
      </c>
      <c r="BG258" s="435">
        <f>BF258*0.1</f>
        <v>248.84792626728114</v>
      </c>
      <c r="BH258" s="435"/>
      <c r="BI258" s="435"/>
      <c r="BJ258" s="435"/>
      <c r="BK258" s="435"/>
      <c r="BL258" s="435">
        <f>BF258-BG258</f>
        <v>2239.63133640553</v>
      </c>
      <c r="BM258" s="432"/>
      <c r="BN258" s="432"/>
      <c r="BO258" s="432"/>
      <c r="BP258" s="432"/>
      <c r="BQ258" s="432"/>
      <c r="BR258" s="432"/>
    </row>
    <row r="259" spans="55:77" ht="15" hidden="1" customHeight="1" x14ac:dyDescent="0.2">
      <c r="BC259" s="432">
        <v>213</v>
      </c>
      <c r="BD259" s="432"/>
      <c r="BE259" s="432"/>
      <c r="BF259" s="216">
        <f>BF257*30.2/130.2</f>
        <v>751.52073732718895</v>
      </c>
      <c r="BG259" s="435">
        <f>BG258*30.2%</f>
        <v>75.152073732718904</v>
      </c>
      <c r="BH259" s="435"/>
      <c r="BI259" s="435"/>
      <c r="BJ259" s="435"/>
      <c r="BK259" s="435"/>
      <c r="BL259" s="435">
        <f>BL258*30.2%</f>
        <v>676.36866359447004</v>
      </c>
      <c r="BM259" s="435"/>
      <c r="BN259" s="435"/>
      <c r="BO259" s="435"/>
      <c r="BP259" s="435"/>
      <c r="BQ259" s="435"/>
      <c r="BR259" s="435"/>
    </row>
    <row r="260" spans="55:77" ht="15" hidden="1" customHeight="1" x14ac:dyDescent="0.2">
      <c r="BC260" s="432" t="s">
        <v>338</v>
      </c>
      <c r="BD260" s="432"/>
      <c r="BE260" s="432"/>
      <c r="BF260" s="432"/>
      <c r="BG260" s="432"/>
      <c r="BH260" s="432"/>
      <c r="BI260" s="432"/>
      <c r="BJ260" s="432"/>
      <c r="BK260" s="432"/>
      <c r="BL260" s="432"/>
      <c r="BM260" s="432"/>
      <c r="BN260" s="432"/>
      <c r="BO260" s="432"/>
      <c r="BP260" s="432"/>
      <c r="BQ260" s="432"/>
      <c r="BR260" s="432"/>
      <c r="BS260" s="432"/>
      <c r="BT260" s="432"/>
      <c r="BU260" s="432"/>
      <c r="BV260" s="432"/>
      <c r="BW260" s="432"/>
      <c r="BX260" s="432"/>
      <c r="BY260" s="432"/>
    </row>
    <row r="261" spans="55:77" ht="12" hidden="1" x14ac:dyDescent="0.2">
      <c r="BC261" s="432" t="s">
        <v>126</v>
      </c>
      <c r="BD261" s="432"/>
      <c r="BE261" s="432"/>
      <c r="BF261" s="433">
        <f>200*28</f>
        <v>5600</v>
      </c>
      <c r="BG261" s="433"/>
      <c r="BH261" s="433"/>
      <c r="BI261" s="433"/>
      <c r="BJ261" s="433"/>
      <c r="BK261" s="227" t="s">
        <v>127</v>
      </c>
      <c r="BL261" s="227"/>
      <c r="BM261" s="227"/>
      <c r="BN261" s="227"/>
      <c r="BO261" s="227"/>
      <c r="BP261" s="227"/>
      <c r="BQ261" s="227"/>
      <c r="BR261" s="227"/>
    </row>
    <row r="262" spans="55:77" ht="12" hidden="1" x14ac:dyDescent="0.2">
      <c r="BC262" s="434">
        <v>0.6</v>
      </c>
      <c r="BD262" s="432"/>
      <c r="BE262" s="432"/>
      <c r="BF262" s="216">
        <f>BF261*BC262</f>
        <v>3360</v>
      </c>
      <c r="BG262" s="432" t="s">
        <v>128</v>
      </c>
      <c r="BH262" s="432"/>
      <c r="BI262" s="432"/>
      <c r="BJ262" s="432"/>
      <c r="BK262" s="432"/>
      <c r="BL262" s="432" t="s">
        <v>129</v>
      </c>
      <c r="BM262" s="432"/>
      <c r="BN262" s="432"/>
      <c r="BO262" s="432"/>
      <c r="BP262" s="432"/>
      <c r="BQ262" s="432"/>
      <c r="BR262" s="432"/>
    </row>
    <row r="263" spans="55:77" ht="12" hidden="1" x14ac:dyDescent="0.2">
      <c r="BC263" s="432">
        <v>211</v>
      </c>
      <c r="BD263" s="432"/>
      <c r="BE263" s="432"/>
      <c r="BF263" s="216">
        <f>BF262-BF264</f>
        <v>2580.6451612903224</v>
      </c>
      <c r="BG263" s="435">
        <f>BF263*0.1</f>
        <v>258.06451612903226</v>
      </c>
      <c r="BH263" s="435"/>
      <c r="BI263" s="435"/>
      <c r="BJ263" s="435"/>
      <c r="BK263" s="435"/>
      <c r="BL263" s="435">
        <f>BF263-BG263</f>
        <v>2322.5806451612902</v>
      </c>
      <c r="BM263" s="432"/>
      <c r="BN263" s="432"/>
      <c r="BO263" s="432"/>
      <c r="BP263" s="432"/>
      <c r="BQ263" s="432"/>
      <c r="BR263" s="432"/>
    </row>
    <row r="264" spans="55:77" ht="12" hidden="1" x14ac:dyDescent="0.2">
      <c r="BC264" s="432">
        <v>213</v>
      </c>
      <c r="BD264" s="432"/>
      <c r="BE264" s="432"/>
      <c r="BF264" s="216">
        <f>BF262*30.2/130.2</f>
        <v>779.35483870967744</v>
      </c>
      <c r="BG264" s="435">
        <f>BG263*30.2%</f>
        <v>77.935483870967744</v>
      </c>
      <c r="BH264" s="435"/>
      <c r="BI264" s="435"/>
      <c r="BJ264" s="435"/>
      <c r="BK264" s="435"/>
      <c r="BL264" s="435">
        <f>BL263*30.2%</f>
        <v>701.41935483870964</v>
      </c>
      <c r="BM264" s="435"/>
      <c r="BN264" s="435"/>
      <c r="BO264" s="435"/>
      <c r="BP264" s="435"/>
      <c r="BQ264" s="435"/>
      <c r="BR264" s="435"/>
    </row>
    <row r="265" spans="55:77" ht="8.25" hidden="1" customHeight="1" x14ac:dyDescent="0.2"/>
    <row r="266" spans="55:77" ht="8.25" hidden="1" customHeight="1" x14ac:dyDescent="0.2"/>
    <row r="267" spans="55:77" ht="8.25" hidden="1" customHeight="1" x14ac:dyDescent="0.2"/>
    <row r="268" spans="55:77" ht="12" hidden="1" x14ac:dyDescent="0.2">
      <c r="BC268" s="432" t="s">
        <v>348</v>
      </c>
      <c r="BD268" s="432"/>
      <c r="BE268" s="432"/>
      <c r="BF268" s="432"/>
      <c r="BG268" s="432"/>
      <c r="BH268" s="432"/>
      <c r="BI268" s="432"/>
      <c r="BJ268" s="432"/>
      <c r="BK268" s="432"/>
      <c r="BL268" s="432"/>
      <c r="BM268" s="432"/>
      <c r="BN268" s="432"/>
      <c r="BO268" s="432"/>
      <c r="BP268" s="432"/>
      <c r="BQ268" s="432"/>
      <c r="BR268" s="432"/>
      <c r="BS268" s="432"/>
      <c r="BT268" s="432"/>
      <c r="BU268" s="432"/>
      <c r="BV268" s="432"/>
      <c r="BW268" s="432"/>
      <c r="BX268" s="432"/>
      <c r="BY268" s="432"/>
    </row>
    <row r="269" spans="55:77" ht="12" hidden="1" x14ac:dyDescent="0.2">
      <c r="BC269" s="432" t="s">
        <v>126</v>
      </c>
      <c r="BD269" s="432"/>
      <c r="BE269" s="432"/>
      <c r="BF269" s="433">
        <f>200*11</f>
        <v>2200</v>
      </c>
      <c r="BG269" s="433"/>
      <c r="BH269" s="433"/>
      <c r="BI269" s="433"/>
      <c r="BJ269" s="433"/>
      <c r="BK269" s="228" t="s">
        <v>127</v>
      </c>
      <c r="BL269" s="228"/>
      <c r="BM269" s="228"/>
      <c r="BN269" s="228"/>
      <c r="BO269" s="228"/>
      <c r="BP269" s="228"/>
      <c r="BQ269" s="228"/>
      <c r="BR269" s="228"/>
    </row>
    <row r="270" spans="55:77" ht="12" hidden="1" x14ac:dyDescent="0.2">
      <c r="BC270" s="434">
        <v>0.6</v>
      </c>
      <c r="BD270" s="432"/>
      <c r="BE270" s="432"/>
      <c r="BF270" s="216">
        <f>BF269*BC270</f>
        <v>1320</v>
      </c>
      <c r="BG270" s="432" t="s">
        <v>128</v>
      </c>
      <c r="BH270" s="432"/>
      <c r="BI270" s="432"/>
      <c r="BJ270" s="432"/>
      <c r="BK270" s="432"/>
      <c r="BL270" s="432" t="s">
        <v>129</v>
      </c>
      <c r="BM270" s="432"/>
      <c r="BN270" s="432"/>
      <c r="BO270" s="432"/>
      <c r="BP270" s="432"/>
      <c r="BQ270" s="432"/>
      <c r="BR270" s="432"/>
    </row>
    <row r="271" spans="55:77" ht="12" hidden="1" x14ac:dyDescent="0.2">
      <c r="BC271" s="432">
        <v>211</v>
      </c>
      <c r="BD271" s="432"/>
      <c r="BE271" s="432"/>
      <c r="BF271" s="216">
        <f>BF270-BF272</f>
        <v>1013.8248847926267</v>
      </c>
      <c r="BG271" s="435">
        <f>BF271*0.1</f>
        <v>101.38248847926268</v>
      </c>
      <c r="BH271" s="435"/>
      <c r="BI271" s="435"/>
      <c r="BJ271" s="435"/>
      <c r="BK271" s="435"/>
      <c r="BL271" s="435">
        <f>BF271-BG271</f>
        <v>912.44239631336404</v>
      </c>
      <c r="BM271" s="432"/>
      <c r="BN271" s="432"/>
      <c r="BO271" s="432"/>
      <c r="BP271" s="432"/>
      <c r="BQ271" s="432"/>
      <c r="BR271" s="432"/>
    </row>
    <row r="272" spans="55:77" ht="12" hidden="1" x14ac:dyDescent="0.2">
      <c r="BC272" s="432">
        <v>213</v>
      </c>
      <c r="BD272" s="432"/>
      <c r="BE272" s="432"/>
      <c r="BF272" s="216">
        <f>BF270*30.2/130.2</f>
        <v>306.17511520737332</v>
      </c>
      <c r="BG272" s="435">
        <f>BG271*30.2%</f>
        <v>30.617511520737327</v>
      </c>
      <c r="BH272" s="435"/>
      <c r="BI272" s="435"/>
      <c r="BJ272" s="435"/>
      <c r="BK272" s="435"/>
      <c r="BL272" s="435">
        <f>BL271*30.2%</f>
        <v>275.55760368663596</v>
      </c>
      <c r="BM272" s="435"/>
      <c r="BN272" s="435"/>
      <c r="BO272" s="435"/>
      <c r="BP272" s="435"/>
      <c r="BQ272" s="435"/>
      <c r="BR272" s="435"/>
    </row>
    <row r="273" spans="55:98" ht="12" hidden="1" x14ac:dyDescent="0.2"/>
    <row r="274" spans="55:98" ht="8.25" hidden="1" customHeight="1" x14ac:dyDescent="0.2"/>
    <row r="275" spans="55:98" ht="12" hidden="1" x14ac:dyDescent="0.2">
      <c r="BC275" s="432" t="s">
        <v>367</v>
      </c>
      <c r="BD275" s="432"/>
      <c r="BE275" s="432"/>
      <c r="BF275" s="432"/>
      <c r="BG275" s="432"/>
      <c r="BH275" s="432"/>
      <c r="BI275" s="432"/>
      <c r="BJ275" s="432"/>
      <c r="BK275" s="432"/>
      <c r="BL275" s="432"/>
      <c r="BM275" s="432"/>
      <c r="BN275" s="432"/>
      <c r="BO275" s="432"/>
      <c r="BP275" s="432"/>
      <c r="BQ275" s="432"/>
      <c r="BR275" s="432"/>
      <c r="BS275" s="432"/>
      <c r="BT275" s="432"/>
      <c r="BU275" s="432"/>
      <c r="BV275" s="432"/>
      <c r="BW275" s="432"/>
      <c r="BX275" s="432"/>
      <c r="BY275" s="432"/>
    </row>
    <row r="276" spans="55:98" ht="12" hidden="1" x14ac:dyDescent="0.2">
      <c r="BC276" s="432" t="s">
        <v>126</v>
      </c>
      <c r="BD276" s="432"/>
      <c r="BE276" s="432"/>
      <c r="BF276" s="433">
        <f>200*9</f>
        <v>1800</v>
      </c>
      <c r="BG276" s="433"/>
      <c r="BH276" s="433"/>
      <c r="BI276" s="433"/>
      <c r="BJ276" s="433"/>
      <c r="BK276" s="232" t="s">
        <v>127</v>
      </c>
      <c r="BL276" s="232"/>
      <c r="BM276" s="232"/>
      <c r="BN276" s="232"/>
      <c r="BO276" s="232"/>
      <c r="BP276" s="232"/>
      <c r="BQ276" s="232"/>
      <c r="BR276" s="232"/>
    </row>
    <row r="277" spans="55:98" ht="15" hidden="1" x14ac:dyDescent="0.25">
      <c r="BC277" s="434">
        <v>0.6</v>
      </c>
      <c r="BD277" s="432"/>
      <c r="BE277" s="432"/>
      <c r="BF277" s="216">
        <f>BF276*BC277</f>
        <v>1080</v>
      </c>
      <c r="BG277" s="432" t="s">
        <v>128</v>
      </c>
      <c r="BH277" s="432"/>
      <c r="BI277" s="432"/>
      <c r="BJ277" s="432"/>
      <c r="BK277" s="432"/>
      <c r="BL277" s="432" t="s">
        <v>129</v>
      </c>
      <c r="BM277" s="432"/>
      <c r="BN277" s="432"/>
      <c r="BO277" s="432"/>
      <c r="BP277" s="432"/>
      <c r="BQ277" s="432"/>
      <c r="BR277" s="432"/>
      <c r="CD277" s="432" t="s">
        <v>368</v>
      </c>
      <c r="CE277" s="443"/>
      <c r="CF277" s="443"/>
      <c r="CG277" s="443"/>
      <c r="CH277" s="443"/>
      <c r="CI277" s="443"/>
      <c r="CJ277" s="443"/>
      <c r="CK277" s="443"/>
      <c r="CN277" s="432" t="s">
        <v>366</v>
      </c>
      <c r="CO277" s="443"/>
      <c r="CP277" s="443"/>
      <c r="CQ277" s="443"/>
      <c r="CR277" s="443"/>
      <c r="CS277" s="443"/>
      <c r="CT277" s="443"/>
    </row>
    <row r="278" spans="55:98" ht="15" hidden="1" x14ac:dyDescent="0.25">
      <c r="BC278" s="432">
        <v>211</v>
      </c>
      <c r="BD278" s="432"/>
      <c r="BE278" s="432"/>
      <c r="BF278" s="216">
        <f>BF277-BF279</f>
        <v>829.49308755760364</v>
      </c>
      <c r="BG278" s="435">
        <f>BF278*0.2</f>
        <v>165.89861751152074</v>
      </c>
      <c r="BH278" s="435"/>
      <c r="BI278" s="435"/>
      <c r="BJ278" s="435"/>
      <c r="BK278" s="435"/>
      <c r="BL278" s="435">
        <f>BF278-BG278</f>
        <v>663.59447004608296</v>
      </c>
      <c r="BM278" s="432"/>
      <c r="BN278" s="432"/>
      <c r="BO278" s="432"/>
      <c r="BP278" s="432"/>
      <c r="BQ278" s="432"/>
      <c r="BR278" s="432"/>
      <c r="CD278" s="437">
        <f>BG278*15/20</f>
        <v>124.42396313364057</v>
      </c>
      <c r="CE278" s="446"/>
      <c r="CF278" s="446"/>
      <c r="CG278" s="446"/>
      <c r="CH278" s="446"/>
      <c r="CI278" s="446"/>
      <c r="CJ278" s="446"/>
      <c r="CK278" s="446"/>
      <c r="CN278" s="840">
        <f>BG278*5/20+0.01</f>
        <v>41.484654377880183</v>
      </c>
      <c r="CO278" s="841"/>
      <c r="CP278" s="841"/>
      <c r="CQ278" s="841"/>
      <c r="CR278" s="841"/>
      <c r="CS278" s="841"/>
      <c r="CT278" s="841"/>
    </row>
    <row r="279" spans="55:98" ht="12" hidden="1" x14ac:dyDescent="0.2">
      <c r="BC279" s="432">
        <v>213</v>
      </c>
      <c r="BD279" s="432"/>
      <c r="BE279" s="432"/>
      <c r="BF279" s="216">
        <f>BF277*30.2/130.2</f>
        <v>250.50691244239633</v>
      </c>
      <c r="BG279" s="435">
        <f>BG278*30.2%</f>
        <v>50.10138248847926</v>
      </c>
      <c r="BH279" s="435"/>
      <c r="BI279" s="435"/>
      <c r="BJ279" s="435"/>
      <c r="BK279" s="435"/>
      <c r="BL279" s="435">
        <f>BL278*30.2%</f>
        <v>200.40552995391704</v>
      </c>
      <c r="BM279" s="435"/>
      <c r="BN279" s="435"/>
      <c r="BO279" s="435"/>
      <c r="BP279" s="435"/>
      <c r="BQ279" s="435"/>
      <c r="BR279" s="435"/>
    </row>
    <row r="280" spans="55:98" ht="8.25" hidden="1" customHeight="1" x14ac:dyDescent="0.2"/>
    <row r="281" spans="55:98" ht="8.25" hidden="1" customHeight="1" x14ac:dyDescent="0.2"/>
    <row r="282" spans="55:98" ht="12" hidden="1" x14ac:dyDescent="0.2">
      <c r="BC282" s="432" t="s">
        <v>382</v>
      </c>
      <c r="BD282" s="432"/>
      <c r="BE282" s="432"/>
      <c r="BF282" s="432"/>
      <c r="BG282" s="432"/>
      <c r="BH282" s="432"/>
      <c r="BI282" s="432"/>
      <c r="BJ282" s="432"/>
      <c r="BK282" s="432"/>
      <c r="BL282" s="432"/>
      <c r="BM282" s="432"/>
      <c r="BN282" s="432"/>
      <c r="BO282" s="432"/>
      <c r="BP282" s="432"/>
      <c r="BQ282" s="432"/>
      <c r="BR282" s="432"/>
      <c r="BS282" s="432"/>
      <c r="BT282" s="432"/>
      <c r="BU282" s="432"/>
      <c r="BV282" s="432"/>
      <c r="BW282" s="432"/>
      <c r="BX282" s="432"/>
      <c r="BY282" s="432"/>
    </row>
    <row r="283" spans="55:98" ht="12" hidden="1" x14ac:dyDescent="0.2">
      <c r="BC283" s="432" t="s">
        <v>126</v>
      </c>
      <c r="BD283" s="432"/>
      <c r="BE283" s="432"/>
      <c r="BF283" s="433">
        <f>200*4</f>
        <v>800</v>
      </c>
      <c r="BG283" s="433"/>
      <c r="BH283" s="433"/>
      <c r="BI283" s="433"/>
      <c r="BJ283" s="433"/>
      <c r="BK283" s="240" t="s">
        <v>127</v>
      </c>
      <c r="BL283" s="240"/>
      <c r="BM283" s="240"/>
      <c r="BN283" s="240"/>
      <c r="BO283" s="240"/>
      <c r="BP283" s="240"/>
      <c r="BQ283" s="240"/>
      <c r="BR283" s="240"/>
    </row>
    <row r="284" spans="55:98" ht="15" hidden="1" x14ac:dyDescent="0.25">
      <c r="BC284" s="434">
        <v>0.6</v>
      </c>
      <c r="BD284" s="432"/>
      <c r="BE284" s="432"/>
      <c r="BF284" s="216">
        <f>BF283*BC284</f>
        <v>480</v>
      </c>
      <c r="BG284" s="432" t="s">
        <v>128</v>
      </c>
      <c r="BH284" s="432"/>
      <c r="BI284" s="432"/>
      <c r="BJ284" s="432"/>
      <c r="BK284" s="432"/>
      <c r="BL284" s="432" t="s">
        <v>129</v>
      </c>
      <c r="BM284" s="432"/>
      <c r="BN284" s="432"/>
      <c r="BO284" s="432"/>
      <c r="BP284" s="432"/>
      <c r="BQ284" s="432"/>
      <c r="BR284" s="432"/>
      <c r="CD284" s="432" t="s">
        <v>368</v>
      </c>
      <c r="CE284" s="443"/>
      <c r="CF284" s="443"/>
      <c r="CG284" s="443"/>
      <c r="CH284" s="443"/>
      <c r="CI284" s="443"/>
      <c r="CJ284" s="443"/>
      <c r="CK284" s="443"/>
      <c r="CN284" s="432" t="s">
        <v>366</v>
      </c>
      <c r="CO284" s="443"/>
      <c r="CP284" s="443"/>
      <c r="CQ284" s="443"/>
      <c r="CR284" s="443"/>
      <c r="CS284" s="443"/>
      <c r="CT284" s="443"/>
    </row>
    <row r="285" spans="55:98" ht="15" hidden="1" x14ac:dyDescent="0.25">
      <c r="BC285" s="432">
        <v>211</v>
      </c>
      <c r="BD285" s="432"/>
      <c r="BE285" s="432"/>
      <c r="BF285" s="216">
        <f>BF284-BF286</f>
        <v>368.66359447004606</v>
      </c>
      <c r="BG285" s="435">
        <f>BF285*0.2</f>
        <v>73.73271889400921</v>
      </c>
      <c r="BH285" s="435"/>
      <c r="BI285" s="435"/>
      <c r="BJ285" s="435"/>
      <c r="BK285" s="435"/>
      <c r="BL285" s="436">
        <f>BF285-BG285</f>
        <v>294.93087557603684</v>
      </c>
      <c r="BM285" s="445"/>
      <c r="BN285" s="445"/>
      <c r="BO285" s="445"/>
      <c r="BP285" s="445"/>
      <c r="BQ285" s="445"/>
      <c r="BR285" s="445"/>
      <c r="CD285" s="437">
        <f>BG285*15/20-0.01</f>
        <v>55.289539170506913</v>
      </c>
      <c r="CE285" s="446"/>
      <c r="CF285" s="446"/>
      <c r="CG285" s="446"/>
      <c r="CH285" s="446"/>
      <c r="CI285" s="446"/>
      <c r="CJ285" s="446"/>
      <c r="CK285" s="446"/>
      <c r="CN285" s="840">
        <f>BG285*5/20+0.01</f>
        <v>18.443179723502304</v>
      </c>
      <c r="CO285" s="841"/>
      <c r="CP285" s="841"/>
      <c r="CQ285" s="841"/>
      <c r="CR285" s="841"/>
      <c r="CS285" s="841"/>
      <c r="CT285" s="841"/>
    </row>
    <row r="286" spans="55:98" ht="12" hidden="1" x14ac:dyDescent="0.2">
      <c r="BC286" s="432">
        <v>213</v>
      </c>
      <c r="BD286" s="432"/>
      <c r="BE286" s="432"/>
      <c r="BF286" s="216">
        <f>BF284*30.2/130.2</f>
        <v>111.33640552995392</v>
      </c>
      <c r="BG286" s="435">
        <f>BG285*30.2%</f>
        <v>22.267281105990779</v>
      </c>
      <c r="BH286" s="435"/>
      <c r="BI286" s="435"/>
      <c r="BJ286" s="435"/>
      <c r="BK286" s="435"/>
      <c r="BL286" s="435">
        <f>BL285*30.2%</f>
        <v>89.069124423963117</v>
      </c>
      <c r="BM286" s="435"/>
      <c r="BN286" s="435"/>
      <c r="BO286" s="435"/>
      <c r="BP286" s="435"/>
      <c r="BQ286" s="435"/>
      <c r="BR286" s="435"/>
    </row>
    <row r="287" spans="55:98" ht="12" hidden="1" x14ac:dyDescent="0.2">
      <c r="CL287" s="236"/>
    </row>
    <row r="288" spans="55:98" ht="12" hidden="1" x14ac:dyDescent="0.2"/>
    <row r="289" spans="55:98" ht="12" hidden="1" x14ac:dyDescent="0.2">
      <c r="BC289" s="432" t="s">
        <v>396</v>
      </c>
      <c r="BD289" s="432"/>
      <c r="BE289" s="432"/>
      <c r="BF289" s="432"/>
      <c r="BG289" s="432"/>
      <c r="BH289" s="432"/>
      <c r="BI289" s="432"/>
      <c r="BJ289" s="432"/>
      <c r="BK289" s="432"/>
      <c r="BL289" s="432"/>
      <c r="BM289" s="432"/>
      <c r="BN289" s="432"/>
      <c r="BO289" s="432"/>
      <c r="BP289" s="432"/>
      <c r="BQ289" s="432"/>
      <c r="BR289" s="432"/>
      <c r="BS289" s="432"/>
      <c r="BT289" s="432"/>
      <c r="BU289" s="432"/>
      <c r="BV289" s="432"/>
      <c r="BW289" s="432"/>
      <c r="BX289" s="432"/>
      <c r="BY289" s="432"/>
    </row>
    <row r="290" spans="55:98" ht="12" hidden="1" x14ac:dyDescent="0.2">
      <c r="BC290" s="432" t="s">
        <v>126</v>
      </c>
      <c r="BD290" s="432"/>
      <c r="BE290" s="432"/>
      <c r="BF290" s="433">
        <f>200*20</f>
        <v>4000</v>
      </c>
      <c r="BG290" s="433"/>
      <c r="BH290" s="433"/>
      <c r="BI290" s="433"/>
      <c r="BJ290" s="433"/>
      <c r="BK290" s="244" t="s">
        <v>127</v>
      </c>
      <c r="BL290" s="244"/>
      <c r="BM290" s="244"/>
      <c r="BN290" s="244"/>
      <c r="BO290" s="244"/>
      <c r="BP290" s="244"/>
      <c r="BQ290" s="244"/>
      <c r="BR290" s="244"/>
    </row>
    <row r="291" spans="55:98" ht="15" hidden="1" x14ac:dyDescent="0.25">
      <c r="BC291" s="434">
        <v>0.6</v>
      </c>
      <c r="BD291" s="432"/>
      <c r="BE291" s="432"/>
      <c r="BF291" s="216">
        <f>BF290*BC291</f>
        <v>2400</v>
      </c>
      <c r="BG291" s="432" t="s">
        <v>128</v>
      </c>
      <c r="BH291" s="432"/>
      <c r="BI291" s="432"/>
      <c r="BJ291" s="432"/>
      <c r="BK291" s="432"/>
      <c r="BL291" s="432" t="s">
        <v>129</v>
      </c>
      <c r="BM291" s="432"/>
      <c r="BN291" s="432"/>
      <c r="BO291" s="432"/>
      <c r="BP291" s="432"/>
      <c r="BQ291" s="432"/>
      <c r="BR291" s="432"/>
      <c r="CD291" s="432" t="s">
        <v>368</v>
      </c>
      <c r="CE291" s="443"/>
      <c r="CF291" s="443"/>
      <c r="CG291" s="443"/>
      <c r="CH291" s="443"/>
      <c r="CI291" s="443"/>
      <c r="CJ291" s="443"/>
      <c r="CK291" s="443"/>
      <c r="CN291" s="432" t="s">
        <v>366</v>
      </c>
      <c r="CO291" s="443"/>
      <c r="CP291" s="443"/>
      <c r="CQ291" s="443"/>
      <c r="CR291" s="443"/>
      <c r="CS291" s="443"/>
      <c r="CT291" s="443"/>
    </row>
    <row r="292" spans="55:98" ht="15" hidden="1" x14ac:dyDescent="0.25">
      <c r="BC292" s="432">
        <v>211</v>
      </c>
      <c r="BD292" s="432"/>
      <c r="BE292" s="432"/>
      <c r="BF292" s="216">
        <f>BF291-BF293</f>
        <v>1843.3179723502303</v>
      </c>
      <c r="BG292" s="435">
        <f>BF292*0.2</f>
        <v>368.66359447004606</v>
      </c>
      <c r="BH292" s="435"/>
      <c r="BI292" s="435"/>
      <c r="BJ292" s="435"/>
      <c r="BK292" s="435"/>
      <c r="BL292" s="436">
        <f>BF292-BG292</f>
        <v>1474.6543778801843</v>
      </c>
      <c r="BM292" s="445"/>
      <c r="BN292" s="445"/>
      <c r="BO292" s="445"/>
      <c r="BP292" s="445"/>
      <c r="BQ292" s="445"/>
      <c r="BR292" s="445"/>
      <c r="CD292" s="437">
        <f>BG292*15/20-0.01</f>
        <v>276.48769585253456</v>
      </c>
      <c r="CE292" s="446"/>
      <c r="CF292" s="446"/>
      <c r="CG292" s="446"/>
      <c r="CH292" s="446"/>
      <c r="CI292" s="446"/>
      <c r="CJ292" s="446"/>
      <c r="CK292" s="446"/>
      <c r="CN292" s="840">
        <f>BG292*5/20+0.01</f>
        <v>92.175898617511521</v>
      </c>
      <c r="CO292" s="841"/>
      <c r="CP292" s="841"/>
      <c r="CQ292" s="841"/>
      <c r="CR292" s="841"/>
      <c r="CS292" s="841"/>
      <c r="CT292" s="841"/>
    </row>
    <row r="293" spans="55:98" ht="12" hidden="1" x14ac:dyDescent="0.2">
      <c r="BC293" s="432">
        <v>213</v>
      </c>
      <c r="BD293" s="432"/>
      <c r="BE293" s="432"/>
      <c r="BF293" s="216">
        <f>BF291*30.2/130.2</f>
        <v>556.68202764976968</v>
      </c>
      <c r="BG293" s="435">
        <f>BG292*30.2%</f>
        <v>111.33640552995391</v>
      </c>
      <c r="BH293" s="435"/>
      <c r="BI293" s="435"/>
      <c r="BJ293" s="435"/>
      <c r="BK293" s="435"/>
      <c r="BL293" s="435">
        <f>BL292*30.2%</f>
        <v>445.34562211981563</v>
      </c>
      <c r="BM293" s="435"/>
      <c r="BN293" s="435"/>
      <c r="BO293" s="435"/>
      <c r="BP293" s="435"/>
      <c r="BQ293" s="435"/>
      <c r="BR293" s="435"/>
    </row>
    <row r="294" spans="55:98" ht="8.25" hidden="1" customHeight="1" x14ac:dyDescent="0.2"/>
    <row r="295" spans="55:98" ht="8.25" hidden="1" customHeight="1" x14ac:dyDescent="0.2"/>
    <row r="296" spans="55:98" ht="8.25" hidden="1" customHeight="1" x14ac:dyDescent="0.2"/>
    <row r="297" spans="55:98" ht="12" hidden="1" x14ac:dyDescent="0.2">
      <c r="CL297" s="236"/>
    </row>
    <row r="298" spans="55:98" ht="12" hidden="1" x14ac:dyDescent="0.2">
      <c r="BC298" s="432" t="s">
        <v>406</v>
      </c>
      <c r="BD298" s="432"/>
      <c r="BE298" s="432"/>
      <c r="BF298" s="432"/>
      <c r="BG298" s="432"/>
      <c r="BH298" s="432"/>
      <c r="BI298" s="432"/>
      <c r="BJ298" s="432"/>
      <c r="BK298" s="432"/>
      <c r="BL298" s="432"/>
      <c r="BM298" s="432"/>
      <c r="BN298" s="432"/>
      <c r="BO298" s="432"/>
      <c r="BP298" s="432"/>
      <c r="BQ298" s="432"/>
      <c r="BR298" s="432"/>
      <c r="BS298" s="432"/>
      <c r="BT298" s="432"/>
      <c r="BU298" s="432"/>
      <c r="BV298" s="432"/>
      <c r="BW298" s="432"/>
      <c r="BX298" s="432"/>
      <c r="BY298" s="432"/>
    </row>
    <row r="299" spans="55:98" ht="12" hidden="1" x14ac:dyDescent="0.2">
      <c r="BC299" s="432" t="s">
        <v>126</v>
      </c>
      <c r="BD299" s="432"/>
      <c r="BE299" s="432"/>
      <c r="BF299" s="433">
        <f>200*19</f>
        <v>3800</v>
      </c>
      <c r="BG299" s="433"/>
      <c r="BH299" s="433"/>
      <c r="BI299" s="433"/>
      <c r="BJ299" s="433"/>
      <c r="BK299" s="247" t="s">
        <v>127</v>
      </c>
      <c r="BL299" s="247"/>
      <c r="BM299" s="247"/>
      <c r="BN299" s="247"/>
      <c r="BO299" s="247"/>
      <c r="BP299" s="247"/>
      <c r="BQ299" s="247"/>
      <c r="BR299" s="247"/>
    </row>
    <row r="300" spans="55:98" ht="15" hidden="1" x14ac:dyDescent="0.25">
      <c r="BC300" s="434">
        <v>0.6</v>
      </c>
      <c r="BD300" s="432"/>
      <c r="BE300" s="432"/>
      <c r="BF300" s="216">
        <f>BF299*BC300</f>
        <v>2280</v>
      </c>
      <c r="BG300" s="432" t="s">
        <v>128</v>
      </c>
      <c r="BH300" s="432"/>
      <c r="BI300" s="432"/>
      <c r="BJ300" s="432"/>
      <c r="BK300" s="432"/>
      <c r="BL300" s="432" t="s">
        <v>129</v>
      </c>
      <c r="BM300" s="432"/>
      <c r="BN300" s="432"/>
      <c r="BO300" s="432"/>
      <c r="BP300" s="432"/>
      <c r="BQ300" s="432"/>
      <c r="BR300" s="432"/>
      <c r="CD300" s="432" t="s">
        <v>368</v>
      </c>
      <c r="CE300" s="443"/>
      <c r="CF300" s="443"/>
      <c r="CG300" s="443"/>
      <c r="CH300" s="443"/>
      <c r="CI300" s="443"/>
      <c r="CJ300" s="443"/>
      <c r="CK300" s="443"/>
      <c r="CN300" s="432" t="s">
        <v>366</v>
      </c>
      <c r="CO300" s="443"/>
      <c r="CP300" s="443"/>
      <c r="CQ300" s="443"/>
      <c r="CR300" s="443"/>
      <c r="CS300" s="443"/>
      <c r="CT300" s="443"/>
    </row>
    <row r="301" spans="55:98" ht="15" hidden="1" x14ac:dyDescent="0.25">
      <c r="BC301" s="432">
        <v>211</v>
      </c>
      <c r="BD301" s="432"/>
      <c r="BE301" s="432"/>
      <c r="BF301" s="216">
        <f>BF300-BF302</f>
        <v>1751.1520737327187</v>
      </c>
      <c r="BG301" s="435">
        <f>BF301*0.2</f>
        <v>350.23041474654377</v>
      </c>
      <c r="BH301" s="435"/>
      <c r="BI301" s="435"/>
      <c r="BJ301" s="435"/>
      <c r="BK301" s="435"/>
      <c r="BL301" s="436">
        <f>BF301-BG301</f>
        <v>1400.9216589861749</v>
      </c>
      <c r="BM301" s="445"/>
      <c r="BN301" s="445"/>
      <c r="BO301" s="445"/>
      <c r="BP301" s="445"/>
      <c r="BQ301" s="445"/>
      <c r="BR301" s="445"/>
      <c r="CD301" s="437">
        <f>BG301*15/20-0.01</f>
        <v>262.66281105990782</v>
      </c>
      <c r="CE301" s="446"/>
      <c r="CF301" s="446"/>
      <c r="CG301" s="446"/>
      <c r="CH301" s="446"/>
      <c r="CI301" s="446"/>
      <c r="CJ301" s="446"/>
      <c r="CK301" s="446"/>
      <c r="CN301" s="840">
        <f>BG301*5/20+0.01</f>
        <v>87.567603686635948</v>
      </c>
      <c r="CO301" s="841"/>
      <c r="CP301" s="841"/>
      <c r="CQ301" s="841"/>
      <c r="CR301" s="841"/>
      <c r="CS301" s="841"/>
      <c r="CT301" s="841"/>
    </row>
    <row r="302" spans="55:98" ht="12" hidden="1" x14ac:dyDescent="0.2">
      <c r="BC302" s="432">
        <v>213</v>
      </c>
      <c r="BD302" s="432"/>
      <c r="BE302" s="432"/>
      <c r="BF302" s="216">
        <f>BF300*30.2/130.2</f>
        <v>528.8479262672812</v>
      </c>
      <c r="BG302" s="435">
        <f>BG301*30.2%</f>
        <v>105.76958525345621</v>
      </c>
      <c r="BH302" s="435"/>
      <c r="BI302" s="435"/>
      <c r="BJ302" s="435"/>
      <c r="BK302" s="435"/>
      <c r="BL302" s="435">
        <f>BL301*30.2%</f>
        <v>423.0783410138248</v>
      </c>
      <c r="BM302" s="435"/>
      <c r="BN302" s="435"/>
      <c r="BO302" s="435"/>
      <c r="BP302" s="435"/>
      <c r="BQ302" s="435"/>
      <c r="BR302" s="435"/>
    </row>
    <row r="303" spans="55:98" ht="12" hidden="1" x14ac:dyDescent="0.2"/>
    <row r="304" spans="55:98" ht="8.25" hidden="1" customHeight="1" x14ac:dyDescent="0.2"/>
    <row r="305" spans="55:98" ht="8.25" hidden="1" customHeight="1" x14ac:dyDescent="0.2"/>
    <row r="306" spans="55:98" ht="8.25" hidden="1" customHeight="1" x14ac:dyDescent="0.2"/>
    <row r="307" spans="55:98" ht="8.25" hidden="1" customHeight="1" x14ac:dyDescent="0.2"/>
    <row r="308" spans="55:98" ht="8.25" hidden="1" customHeight="1" x14ac:dyDescent="0.2"/>
    <row r="309" spans="55:98" ht="15" hidden="1" x14ac:dyDescent="0.25">
      <c r="BE309" s="253">
        <f>BG263+BG271+CN278+CN285+CN292+CN301</f>
        <v>599.11834101382487</v>
      </c>
    </row>
    <row r="310" spans="55:98" ht="8.25" hidden="1" customHeight="1" x14ac:dyDescent="0.2"/>
    <row r="311" spans="55:98" ht="8.25" hidden="1" customHeight="1" x14ac:dyDescent="0.2"/>
    <row r="312" spans="55:98" ht="12" hidden="1" x14ac:dyDescent="0.2">
      <c r="BC312" s="432" t="s">
        <v>436</v>
      </c>
      <c r="BD312" s="432"/>
      <c r="BE312" s="432"/>
      <c r="BF312" s="432"/>
      <c r="BG312" s="432"/>
      <c r="BH312" s="432"/>
      <c r="BI312" s="432"/>
      <c r="BJ312" s="432"/>
      <c r="BK312" s="432"/>
      <c r="BL312" s="432"/>
      <c r="BM312" s="432"/>
      <c r="BN312" s="432"/>
      <c r="BO312" s="432"/>
      <c r="BP312" s="432"/>
      <c r="BQ312" s="432"/>
      <c r="BR312" s="432"/>
      <c r="BS312" s="432"/>
      <c r="BT312" s="432"/>
      <c r="BU312" s="432"/>
      <c r="BV312" s="432"/>
      <c r="BW312" s="432"/>
      <c r="BX312" s="432"/>
      <c r="BY312" s="432"/>
    </row>
    <row r="313" spans="55:98" ht="12" hidden="1" x14ac:dyDescent="0.2">
      <c r="BC313" s="432" t="s">
        <v>126</v>
      </c>
      <c r="BD313" s="432"/>
      <c r="BE313" s="432"/>
      <c r="BF313" s="433">
        <f>200*8</f>
        <v>1600</v>
      </c>
      <c r="BG313" s="433"/>
      <c r="BH313" s="433"/>
      <c r="BI313" s="433"/>
      <c r="BJ313" s="433"/>
      <c r="BK313" s="250" t="s">
        <v>127</v>
      </c>
      <c r="BL313" s="250"/>
      <c r="BM313" s="250"/>
      <c r="BN313" s="250"/>
      <c r="BO313" s="250"/>
      <c r="BP313" s="250"/>
      <c r="BQ313" s="250"/>
      <c r="BR313" s="250"/>
    </row>
    <row r="314" spans="55:98" ht="15" hidden="1" x14ac:dyDescent="0.25">
      <c r="BC314" s="434">
        <v>0.6</v>
      </c>
      <c r="BD314" s="432"/>
      <c r="BE314" s="432"/>
      <c r="BF314" s="216">
        <f>BF313*BC314</f>
        <v>960</v>
      </c>
      <c r="BG314" s="432" t="s">
        <v>128</v>
      </c>
      <c r="BH314" s="432"/>
      <c r="BI314" s="432"/>
      <c r="BJ314" s="432"/>
      <c r="BK314" s="432"/>
      <c r="BL314" s="432" t="s">
        <v>129</v>
      </c>
      <c r="BM314" s="432"/>
      <c r="BN314" s="432"/>
      <c r="BO314" s="432"/>
      <c r="BP314" s="432"/>
      <c r="BQ314" s="432"/>
      <c r="BR314" s="432"/>
      <c r="CD314" s="432" t="s">
        <v>368</v>
      </c>
      <c r="CE314" s="443"/>
      <c r="CF314" s="443"/>
      <c r="CG314" s="443"/>
      <c r="CH314" s="443"/>
      <c r="CI314" s="443"/>
      <c r="CJ314" s="443"/>
      <c r="CK314" s="443"/>
      <c r="CN314" s="432" t="s">
        <v>366</v>
      </c>
      <c r="CO314" s="443"/>
      <c r="CP314" s="443"/>
      <c r="CQ314" s="443"/>
      <c r="CR314" s="443"/>
      <c r="CS314" s="443"/>
      <c r="CT314" s="443"/>
    </row>
    <row r="315" spans="55:98" ht="15" hidden="1" x14ac:dyDescent="0.25">
      <c r="BC315" s="432">
        <v>211</v>
      </c>
      <c r="BD315" s="432"/>
      <c r="BE315" s="432"/>
      <c r="BF315" s="216">
        <f>BF314-BF316</f>
        <v>737.32718894009213</v>
      </c>
      <c r="BG315" s="435">
        <f>BF315*0.2</f>
        <v>147.46543778801842</v>
      </c>
      <c r="BH315" s="435"/>
      <c r="BI315" s="435"/>
      <c r="BJ315" s="435"/>
      <c r="BK315" s="435"/>
      <c r="BL315" s="436">
        <f>BF315-BG315</f>
        <v>589.86175115207368</v>
      </c>
      <c r="BM315" s="445"/>
      <c r="BN315" s="445"/>
      <c r="BO315" s="445"/>
      <c r="BP315" s="445"/>
      <c r="BQ315" s="445"/>
      <c r="BR315" s="445"/>
      <c r="CD315" s="437">
        <f>BG315*15/20-0.01</f>
        <v>110.58907834101382</v>
      </c>
      <c r="CE315" s="446"/>
      <c r="CF315" s="446"/>
      <c r="CG315" s="446"/>
      <c r="CH315" s="446"/>
      <c r="CI315" s="446"/>
      <c r="CJ315" s="446"/>
      <c r="CK315" s="446"/>
      <c r="CN315" s="840">
        <f>BG315*5/20+0.01</f>
        <v>36.876359447004603</v>
      </c>
      <c r="CO315" s="841"/>
      <c r="CP315" s="841"/>
      <c r="CQ315" s="841"/>
      <c r="CR315" s="841"/>
      <c r="CS315" s="841"/>
      <c r="CT315" s="841"/>
    </row>
    <row r="316" spans="55:98" ht="12" hidden="1" x14ac:dyDescent="0.2">
      <c r="BC316" s="432">
        <v>213</v>
      </c>
      <c r="BD316" s="432"/>
      <c r="BE316" s="432"/>
      <c r="BF316" s="216">
        <f>BF314*30.2/130.2</f>
        <v>222.67281105990784</v>
      </c>
      <c r="BG316" s="435">
        <f>BG315*30.2%</f>
        <v>44.534562211981559</v>
      </c>
      <c r="BH316" s="435"/>
      <c r="BI316" s="435"/>
      <c r="BJ316" s="435"/>
      <c r="BK316" s="435"/>
      <c r="BL316" s="435">
        <f>BL315*30.2%</f>
        <v>178.13824884792623</v>
      </c>
      <c r="BM316" s="435"/>
      <c r="BN316" s="435"/>
      <c r="BO316" s="435"/>
      <c r="BP316" s="435"/>
      <c r="BQ316" s="435"/>
      <c r="BR316" s="435"/>
    </row>
    <row r="317" spans="55:98" ht="8.25" hidden="1" customHeight="1" x14ac:dyDescent="0.2"/>
    <row r="318" spans="55:98" ht="8.25" hidden="1" customHeight="1" x14ac:dyDescent="0.2"/>
    <row r="319" spans="55:98" ht="8.25" hidden="1" customHeight="1" x14ac:dyDescent="0.2"/>
    <row r="320" spans="55:98" ht="12" hidden="1" x14ac:dyDescent="0.2">
      <c r="BC320" s="432" t="s">
        <v>446</v>
      </c>
      <c r="BD320" s="432"/>
      <c r="BE320" s="432"/>
      <c r="BF320" s="432"/>
      <c r="BG320" s="432"/>
      <c r="BH320" s="432"/>
      <c r="BI320" s="432"/>
      <c r="BJ320" s="432"/>
      <c r="BK320" s="432"/>
      <c r="BL320" s="432"/>
      <c r="BM320" s="432"/>
      <c r="BN320" s="432"/>
      <c r="BO320" s="432"/>
      <c r="BP320" s="432"/>
      <c r="BQ320" s="432"/>
      <c r="BR320" s="432"/>
      <c r="BS320" s="432"/>
      <c r="BT320" s="432"/>
      <c r="BU320" s="432"/>
      <c r="BV320" s="432"/>
      <c r="BW320" s="432"/>
      <c r="BX320" s="432"/>
      <c r="BY320" s="432"/>
    </row>
    <row r="321" spans="55:98" ht="12" hidden="1" x14ac:dyDescent="0.2">
      <c r="BC321" s="432" t="s">
        <v>126</v>
      </c>
      <c r="BD321" s="432"/>
      <c r="BE321" s="432"/>
      <c r="BF321" s="433">
        <f>200*24</f>
        <v>4800</v>
      </c>
      <c r="BG321" s="433"/>
      <c r="BH321" s="433"/>
      <c r="BI321" s="433"/>
      <c r="BJ321" s="433"/>
      <c r="BK321" s="286" t="s">
        <v>127</v>
      </c>
      <c r="BL321" s="286"/>
      <c r="BM321" s="286"/>
      <c r="BN321" s="286"/>
      <c r="BO321" s="286"/>
      <c r="BP321" s="286"/>
      <c r="BQ321" s="286"/>
      <c r="BR321" s="286"/>
    </row>
    <row r="322" spans="55:98" ht="15" hidden="1" x14ac:dyDescent="0.25">
      <c r="BC322" s="434">
        <v>0.6</v>
      </c>
      <c r="BD322" s="432"/>
      <c r="BE322" s="432"/>
      <c r="BF322" s="216">
        <f>BF321*BC322</f>
        <v>2880</v>
      </c>
      <c r="BG322" s="432" t="s">
        <v>128</v>
      </c>
      <c r="BH322" s="432"/>
      <c r="BI322" s="432"/>
      <c r="BJ322" s="432"/>
      <c r="BK322" s="432"/>
      <c r="BL322" s="432" t="s">
        <v>129</v>
      </c>
      <c r="BM322" s="432"/>
      <c r="BN322" s="432"/>
      <c r="BO322" s="432"/>
      <c r="BP322" s="432"/>
      <c r="BQ322" s="432"/>
      <c r="BR322" s="432"/>
      <c r="CD322" s="432" t="s">
        <v>368</v>
      </c>
      <c r="CE322" s="443"/>
      <c r="CF322" s="443"/>
      <c r="CG322" s="443"/>
      <c r="CH322" s="443"/>
      <c r="CI322" s="443"/>
      <c r="CJ322" s="443"/>
      <c r="CK322" s="443"/>
      <c r="CN322" s="432" t="s">
        <v>366</v>
      </c>
      <c r="CO322" s="443"/>
      <c r="CP322" s="443"/>
      <c r="CQ322" s="443"/>
      <c r="CR322" s="443"/>
      <c r="CS322" s="443"/>
      <c r="CT322" s="443"/>
    </row>
    <row r="323" spans="55:98" ht="15" hidden="1" x14ac:dyDescent="0.25">
      <c r="BC323" s="432">
        <v>211</v>
      </c>
      <c r="BD323" s="432"/>
      <c r="BE323" s="432"/>
      <c r="BF323" s="216">
        <f>BF322-BF324</f>
        <v>2211.9815668202764</v>
      </c>
      <c r="BG323" s="435">
        <f>BF323*0.2</f>
        <v>442.39631336405529</v>
      </c>
      <c r="BH323" s="435"/>
      <c r="BI323" s="435"/>
      <c r="BJ323" s="435"/>
      <c r="BK323" s="435"/>
      <c r="BL323" s="436">
        <f>BF323-BG323</f>
        <v>1769.5852534562212</v>
      </c>
      <c r="BM323" s="445"/>
      <c r="BN323" s="445"/>
      <c r="BO323" s="445"/>
      <c r="BP323" s="445"/>
      <c r="BQ323" s="445"/>
      <c r="BR323" s="445"/>
      <c r="CD323" s="437">
        <f>BG323*15/20-0.01</f>
        <v>331.78723502304149</v>
      </c>
      <c r="CE323" s="446"/>
      <c r="CF323" s="446"/>
      <c r="CG323" s="446"/>
      <c r="CH323" s="446"/>
      <c r="CI323" s="446"/>
      <c r="CJ323" s="446"/>
      <c r="CK323" s="446"/>
      <c r="CN323" s="840">
        <f>BG323*5/20+0.01</f>
        <v>110.60907834101383</v>
      </c>
      <c r="CO323" s="841"/>
      <c r="CP323" s="841"/>
      <c r="CQ323" s="841"/>
      <c r="CR323" s="841"/>
      <c r="CS323" s="841"/>
      <c r="CT323" s="841"/>
    </row>
    <row r="324" spans="55:98" ht="12" hidden="1" x14ac:dyDescent="0.2">
      <c r="BC324" s="432">
        <v>213</v>
      </c>
      <c r="BD324" s="432"/>
      <c r="BE324" s="432"/>
      <c r="BF324" s="216">
        <f>BF322*30.2/130.2</f>
        <v>668.01843317972362</v>
      </c>
      <c r="BG324" s="435">
        <f>BG323*30.2%</f>
        <v>133.60368663594468</v>
      </c>
      <c r="BH324" s="435"/>
      <c r="BI324" s="435"/>
      <c r="BJ324" s="435"/>
      <c r="BK324" s="435"/>
      <c r="BL324" s="435">
        <f>BL323*30.2%</f>
        <v>534.41474654377873</v>
      </c>
      <c r="BM324" s="435"/>
      <c r="BN324" s="435"/>
      <c r="BO324" s="435"/>
      <c r="BP324" s="435"/>
      <c r="BQ324" s="435"/>
      <c r="BR324" s="435"/>
    </row>
    <row r="325" spans="55:98" ht="8.25" hidden="1" customHeight="1" x14ac:dyDescent="0.2"/>
    <row r="326" spans="55:98" ht="8.25" hidden="1" customHeight="1" x14ac:dyDescent="0.2"/>
    <row r="327" spans="55:98" ht="8.25" hidden="1" customHeight="1" x14ac:dyDescent="0.2"/>
    <row r="328" spans="55:98" ht="12" hidden="1" x14ac:dyDescent="0.2">
      <c r="BC328" s="432" t="s">
        <v>454</v>
      </c>
      <c r="BD328" s="432"/>
      <c r="BE328" s="432"/>
      <c r="BF328" s="432"/>
      <c r="BG328" s="432"/>
      <c r="BH328" s="432"/>
      <c r="BI328" s="432"/>
      <c r="BJ328" s="432"/>
      <c r="BK328" s="432"/>
      <c r="BL328" s="432"/>
      <c r="BM328" s="432"/>
      <c r="BN328" s="432"/>
      <c r="BO328" s="432"/>
      <c r="BP328" s="432"/>
      <c r="BQ328" s="432"/>
      <c r="BR328" s="432"/>
      <c r="BS328" s="432"/>
      <c r="BT328" s="432"/>
      <c r="BU328" s="432"/>
      <c r="BV328" s="432"/>
      <c r="BW328" s="432"/>
      <c r="BX328" s="432"/>
      <c r="BY328" s="432"/>
    </row>
    <row r="329" spans="55:98" ht="12" hidden="1" x14ac:dyDescent="0.2">
      <c r="BC329" s="432" t="s">
        <v>126</v>
      </c>
      <c r="BD329" s="432"/>
      <c r="BE329" s="432"/>
      <c r="BF329" s="433">
        <f>200*41</f>
        <v>8200</v>
      </c>
      <c r="BG329" s="433"/>
      <c r="BH329" s="433"/>
      <c r="BI329" s="433"/>
      <c r="BJ329" s="433"/>
      <c r="BK329" s="289" t="s">
        <v>127</v>
      </c>
      <c r="BL329" s="289"/>
      <c r="BM329" s="289"/>
      <c r="BN329" s="289"/>
      <c r="BO329" s="289"/>
      <c r="BP329" s="289"/>
      <c r="BQ329" s="289"/>
      <c r="BR329" s="289"/>
    </row>
    <row r="330" spans="55:98" ht="15" hidden="1" x14ac:dyDescent="0.25">
      <c r="BC330" s="434">
        <v>0.6</v>
      </c>
      <c r="BD330" s="432"/>
      <c r="BE330" s="432"/>
      <c r="BF330" s="216">
        <f>BF329*BC330</f>
        <v>4920</v>
      </c>
      <c r="BG330" s="432" t="s">
        <v>128</v>
      </c>
      <c r="BH330" s="432"/>
      <c r="BI330" s="432"/>
      <c r="BJ330" s="432"/>
      <c r="BK330" s="432"/>
      <c r="BL330" s="432" t="s">
        <v>129</v>
      </c>
      <c r="BM330" s="432"/>
      <c r="BN330" s="432"/>
      <c r="BO330" s="432"/>
      <c r="BP330" s="432"/>
      <c r="BQ330" s="432"/>
      <c r="BR330" s="432"/>
      <c r="CD330" s="432" t="s">
        <v>368</v>
      </c>
      <c r="CE330" s="443"/>
      <c r="CF330" s="443"/>
      <c r="CG330" s="443"/>
      <c r="CH330" s="443"/>
      <c r="CI330" s="443"/>
      <c r="CJ330" s="443"/>
      <c r="CK330" s="443"/>
      <c r="CN330" s="432" t="s">
        <v>366</v>
      </c>
      <c r="CO330" s="443"/>
      <c r="CP330" s="443"/>
      <c r="CQ330" s="443"/>
      <c r="CR330" s="443"/>
      <c r="CS330" s="443"/>
      <c r="CT330" s="443"/>
    </row>
    <row r="331" spans="55:98" ht="15" hidden="1" x14ac:dyDescent="0.25">
      <c r="BC331" s="432">
        <v>211</v>
      </c>
      <c r="BD331" s="432"/>
      <c r="BE331" s="432"/>
      <c r="BF331" s="216">
        <f>BF330-BF332</f>
        <v>3778.8018433179723</v>
      </c>
      <c r="BG331" s="435">
        <f>BF331*0.2</f>
        <v>755.76036866359448</v>
      </c>
      <c r="BH331" s="435"/>
      <c r="BI331" s="435"/>
      <c r="BJ331" s="435"/>
      <c r="BK331" s="435"/>
      <c r="BL331" s="436">
        <f>BF331-BG331</f>
        <v>3023.0414746543779</v>
      </c>
      <c r="BM331" s="445"/>
      <c r="BN331" s="445"/>
      <c r="BO331" s="445"/>
      <c r="BP331" s="445"/>
      <c r="BQ331" s="445"/>
      <c r="BR331" s="445"/>
      <c r="CD331" s="437">
        <f>BG331*15/20-0.01</f>
        <v>566.8102764976959</v>
      </c>
      <c r="CE331" s="446"/>
      <c r="CF331" s="446"/>
      <c r="CG331" s="446"/>
      <c r="CH331" s="446"/>
      <c r="CI331" s="446"/>
      <c r="CJ331" s="446"/>
      <c r="CK331" s="446"/>
      <c r="CN331" s="840">
        <f>BG331*5/20+0.01</f>
        <v>188.95009216589861</v>
      </c>
      <c r="CO331" s="841"/>
      <c r="CP331" s="841"/>
      <c r="CQ331" s="841"/>
      <c r="CR331" s="841"/>
      <c r="CS331" s="841"/>
      <c r="CT331" s="841"/>
    </row>
    <row r="332" spans="55:98" ht="12" hidden="1" x14ac:dyDescent="0.2">
      <c r="BC332" s="432">
        <v>213</v>
      </c>
      <c r="BD332" s="432"/>
      <c r="BE332" s="432"/>
      <c r="BF332" s="216">
        <f>BF330*30.2/130.2</f>
        <v>1141.1981566820277</v>
      </c>
      <c r="BG332" s="435">
        <f>BG331*30.2%</f>
        <v>228.23963133640552</v>
      </c>
      <c r="BH332" s="435"/>
      <c r="BI332" s="435"/>
      <c r="BJ332" s="435"/>
      <c r="BK332" s="435"/>
      <c r="BL332" s="435">
        <f>BL331*30.2%</f>
        <v>912.95852534562209</v>
      </c>
      <c r="BM332" s="435"/>
      <c r="BN332" s="435"/>
      <c r="BO332" s="435"/>
      <c r="BP332" s="435"/>
      <c r="BQ332" s="435"/>
      <c r="BR332" s="435"/>
    </row>
    <row r="333" spans="55:98" ht="8.25" hidden="1" customHeight="1" x14ac:dyDescent="0.2"/>
    <row r="334" spans="55:98" ht="8.25" hidden="1" customHeight="1" x14ac:dyDescent="0.2"/>
    <row r="335" spans="55:98" ht="8.25" hidden="1" customHeight="1" x14ac:dyDescent="0.2"/>
    <row r="336" spans="55:98" ht="12" hidden="1" x14ac:dyDescent="0.2">
      <c r="BC336" s="432" t="s">
        <v>468</v>
      </c>
      <c r="BD336" s="432"/>
      <c r="BE336" s="432"/>
      <c r="BF336" s="432"/>
      <c r="BG336" s="432"/>
      <c r="BH336" s="432"/>
      <c r="BI336" s="432"/>
      <c r="BJ336" s="432"/>
      <c r="BK336" s="432"/>
      <c r="BL336" s="432"/>
      <c r="BM336" s="432"/>
      <c r="BN336" s="432"/>
      <c r="BO336" s="432"/>
      <c r="BP336" s="432"/>
      <c r="BQ336" s="432"/>
      <c r="BR336" s="432"/>
      <c r="BS336" s="432"/>
      <c r="BT336" s="432"/>
      <c r="BU336" s="432"/>
      <c r="BV336" s="432"/>
      <c r="BW336" s="432"/>
      <c r="BX336" s="432"/>
      <c r="BY336" s="432"/>
    </row>
    <row r="337" spans="55:98" ht="12" hidden="1" x14ac:dyDescent="0.2">
      <c r="BC337" s="432" t="s">
        <v>126</v>
      </c>
      <c r="BD337" s="432"/>
      <c r="BE337" s="432"/>
      <c r="BF337" s="433">
        <f>200*50</f>
        <v>10000</v>
      </c>
      <c r="BG337" s="433"/>
      <c r="BH337" s="433"/>
      <c r="BI337" s="433"/>
      <c r="BJ337" s="433"/>
      <c r="BK337" s="291" t="s">
        <v>127</v>
      </c>
      <c r="BL337" s="291"/>
      <c r="BM337" s="291"/>
      <c r="BN337" s="291"/>
      <c r="BO337" s="291"/>
      <c r="BP337" s="291"/>
      <c r="BQ337" s="291"/>
      <c r="BR337" s="291"/>
    </row>
    <row r="338" spans="55:98" ht="15" hidden="1" x14ac:dyDescent="0.25">
      <c r="BC338" s="434">
        <v>0.6</v>
      </c>
      <c r="BD338" s="432"/>
      <c r="BE338" s="432"/>
      <c r="BF338" s="216">
        <f>BF337*BC338</f>
        <v>6000</v>
      </c>
      <c r="BG338" s="432" t="s">
        <v>128</v>
      </c>
      <c r="BH338" s="432"/>
      <c r="BI338" s="432"/>
      <c r="BJ338" s="432"/>
      <c r="BK338" s="432"/>
      <c r="BL338" s="432" t="s">
        <v>129</v>
      </c>
      <c r="BM338" s="432"/>
      <c r="BN338" s="432"/>
      <c r="BO338" s="432"/>
      <c r="BP338" s="432"/>
      <c r="BQ338" s="432"/>
      <c r="BR338" s="432"/>
      <c r="CD338" s="432" t="s">
        <v>368</v>
      </c>
      <c r="CE338" s="443"/>
      <c r="CF338" s="443"/>
      <c r="CG338" s="443"/>
      <c r="CH338" s="443"/>
      <c r="CI338" s="443"/>
      <c r="CJ338" s="443"/>
      <c r="CK338" s="443"/>
      <c r="CN338" s="432" t="s">
        <v>366</v>
      </c>
      <c r="CO338" s="443"/>
      <c r="CP338" s="443"/>
      <c r="CQ338" s="443"/>
      <c r="CR338" s="443"/>
      <c r="CS338" s="443"/>
      <c r="CT338" s="443"/>
    </row>
    <row r="339" spans="55:98" ht="15" hidden="1" x14ac:dyDescent="0.25">
      <c r="BC339" s="432">
        <v>211</v>
      </c>
      <c r="BD339" s="432"/>
      <c r="BE339" s="432"/>
      <c r="BF339" s="216">
        <f>BF338-BF340</f>
        <v>4608.294930875576</v>
      </c>
      <c r="BG339" s="435">
        <f>BF339*0.2</f>
        <v>921.65898617511527</v>
      </c>
      <c r="BH339" s="435"/>
      <c r="BI339" s="435"/>
      <c r="BJ339" s="435"/>
      <c r="BK339" s="435"/>
      <c r="BL339" s="436">
        <f>BF339-BG339</f>
        <v>3686.6359447004606</v>
      </c>
      <c r="BM339" s="445"/>
      <c r="BN339" s="445"/>
      <c r="BO339" s="445"/>
      <c r="BP339" s="445"/>
      <c r="BQ339" s="445"/>
      <c r="BR339" s="445"/>
      <c r="CD339" s="437">
        <f>BG339*15/20-0.01</f>
        <v>691.23423963133655</v>
      </c>
      <c r="CE339" s="446"/>
      <c r="CF339" s="446"/>
      <c r="CG339" s="446"/>
      <c r="CH339" s="446"/>
      <c r="CI339" s="446"/>
      <c r="CJ339" s="446"/>
      <c r="CK339" s="446"/>
      <c r="CN339" s="840">
        <f>BG339*5/20+0.01</f>
        <v>230.42474654377878</v>
      </c>
      <c r="CO339" s="841"/>
      <c r="CP339" s="841"/>
      <c r="CQ339" s="841"/>
      <c r="CR339" s="841"/>
      <c r="CS339" s="841"/>
      <c r="CT339" s="841"/>
    </row>
    <row r="340" spans="55:98" ht="12" hidden="1" x14ac:dyDescent="0.2">
      <c r="BC340" s="432">
        <v>213</v>
      </c>
      <c r="BD340" s="432"/>
      <c r="BE340" s="432"/>
      <c r="BF340" s="216">
        <f>BF338*30.2/130.2</f>
        <v>1391.705069124424</v>
      </c>
      <c r="BG340" s="435">
        <f>BG339*30.2%</f>
        <v>278.34101382488478</v>
      </c>
      <c r="BH340" s="435"/>
      <c r="BI340" s="435"/>
      <c r="BJ340" s="435"/>
      <c r="BK340" s="435"/>
      <c r="BL340" s="435">
        <f>BL339*30.2%</f>
        <v>1113.3640552995391</v>
      </c>
      <c r="BM340" s="435"/>
      <c r="BN340" s="435"/>
      <c r="BO340" s="435"/>
      <c r="BP340" s="435"/>
      <c r="BQ340" s="435"/>
      <c r="BR340" s="435"/>
    </row>
    <row r="341" spans="55:98" ht="8.25" hidden="1" customHeight="1" x14ac:dyDescent="0.2"/>
    <row r="342" spans="55:98" ht="8.25" hidden="1" customHeight="1" x14ac:dyDescent="0.2"/>
    <row r="343" spans="55:98" ht="12" hidden="1" x14ac:dyDescent="0.2">
      <c r="BC343" s="432" t="s">
        <v>477</v>
      </c>
      <c r="BD343" s="432"/>
      <c r="BE343" s="432"/>
      <c r="BF343" s="432"/>
      <c r="BG343" s="432"/>
      <c r="BH343" s="432"/>
      <c r="BI343" s="432"/>
      <c r="BJ343" s="432"/>
      <c r="BK343" s="432"/>
      <c r="BL343" s="432"/>
      <c r="BM343" s="432"/>
      <c r="BN343" s="432"/>
      <c r="BO343" s="432"/>
      <c r="BP343" s="432"/>
      <c r="BQ343" s="432"/>
      <c r="BR343" s="432"/>
      <c r="BS343" s="432"/>
      <c r="BT343" s="432"/>
      <c r="BU343" s="432"/>
      <c r="BV343" s="432"/>
      <c r="BW343" s="432"/>
      <c r="BX343" s="432"/>
      <c r="BY343" s="432"/>
    </row>
    <row r="344" spans="55:98" ht="12" hidden="1" x14ac:dyDescent="0.2">
      <c r="BC344" s="432" t="s">
        <v>126</v>
      </c>
      <c r="BD344" s="432"/>
      <c r="BE344" s="432"/>
      <c r="BF344" s="433">
        <f>200*25</f>
        <v>5000</v>
      </c>
      <c r="BG344" s="433"/>
      <c r="BH344" s="433"/>
      <c r="BI344" s="433"/>
      <c r="BJ344" s="433"/>
      <c r="BK344" s="293" t="s">
        <v>127</v>
      </c>
      <c r="BL344" s="293"/>
      <c r="BM344" s="293"/>
      <c r="BN344" s="293"/>
      <c r="BO344" s="293"/>
      <c r="BP344" s="293"/>
      <c r="BQ344" s="293"/>
      <c r="BR344" s="293"/>
    </row>
    <row r="345" spans="55:98" ht="15" hidden="1" x14ac:dyDescent="0.25">
      <c r="BC345" s="434">
        <v>0.6</v>
      </c>
      <c r="BD345" s="432"/>
      <c r="BE345" s="432"/>
      <c r="BF345" s="216">
        <f>BF344*BC345</f>
        <v>3000</v>
      </c>
      <c r="BG345" s="432" t="s">
        <v>128</v>
      </c>
      <c r="BH345" s="432"/>
      <c r="BI345" s="432"/>
      <c r="BJ345" s="432"/>
      <c r="BK345" s="432"/>
      <c r="BL345" s="432" t="s">
        <v>129</v>
      </c>
      <c r="BM345" s="432"/>
      <c r="BN345" s="432"/>
      <c r="BO345" s="432"/>
      <c r="BP345" s="432"/>
      <c r="BQ345" s="432"/>
      <c r="BR345" s="432"/>
      <c r="CD345" s="432" t="s">
        <v>368</v>
      </c>
      <c r="CE345" s="443"/>
      <c r="CF345" s="443"/>
      <c r="CG345" s="443"/>
      <c r="CH345" s="443"/>
      <c r="CI345" s="443"/>
      <c r="CJ345" s="443"/>
      <c r="CK345" s="443"/>
      <c r="CN345" s="432" t="s">
        <v>366</v>
      </c>
      <c r="CO345" s="443"/>
      <c r="CP345" s="443"/>
      <c r="CQ345" s="443"/>
      <c r="CR345" s="443"/>
      <c r="CS345" s="443"/>
      <c r="CT345" s="443"/>
    </row>
    <row r="346" spans="55:98" ht="15" hidden="1" x14ac:dyDescent="0.25">
      <c r="BC346" s="432">
        <v>211</v>
      </c>
      <c r="BD346" s="432"/>
      <c r="BE346" s="432"/>
      <c r="BF346" s="216">
        <f>BF345-BF347</f>
        <v>2304.147465437788</v>
      </c>
      <c r="BG346" s="435">
        <f>BF346*0.2</f>
        <v>460.82949308755764</v>
      </c>
      <c r="BH346" s="435"/>
      <c r="BI346" s="435"/>
      <c r="BJ346" s="435"/>
      <c r="BK346" s="435"/>
      <c r="BL346" s="436">
        <f>BF346-BG346</f>
        <v>1843.3179723502303</v>
      </c>
      <c r="BM346" s="445"/>
      <c r="BN346" s="445"/>
      <c r="BO346" s="445"/>
      <c r="BP346" s="445"/>
      <c r="BQ346" s="445"/>
      <c r="BR346" s="445"/>
      <c r="CD346" s="437">
        <f>BG346*15/20-0.01</f>
        <v>345.61211981566828</v>
      </c>
      <c r="CE346" s="446"/>
      <c r="CF346" s="446"/>
      <c r="CG346" s="446"/>
      <c r="CH346" s="446"/>
      <c r="CI346" s="446"/>
      <c r="CJ346" s="446"/>
      <c r="CK346" s="446"/>
      <c r="CN346" s="840">
        <f>BG346*5/20+0.01</f>
        <v>115.2173732718894</v>
      </c>
      <c r="CO346" s="841"/>
      <c r="CP346" s="841"/>
      <c r="CQ346" s="841"/>
      <c r="CR346" s="841"/>
      <c r="CS346" s="841"/>
      <c r="CT346" s="841"/>
    </row>
    <row r="347" spans="55:98" ht="12" hidden="1" x14ac:dyDescent="0.2">
      <c r="BC347" s="432">
        <v>213</v>
      </c>
      <c r="BD347" s="432"/>
      <c r="BE347" s="432"/>
      <c r="BF347" s="216">
        <f>BF345*30.2/130.2</f>
        <v>695.85253456221199</v>
      </c>
      <c r="BG347" s="435">
        <f>BG346*30.2%</f>
        <v>139.17050691244239</v>
      </c>
      <c r="BH347" s="435"/>
      <c r="BI347" s="435"/>
      <c r="BJ347" s="435"/>
      <c r="BK347" s="435"/>
      <c r="BL347" s="435">
        <f>BL346*30.2%</f>
        <v>556.68202764976957</v>
      </c>
      <c r="BM347" s="435"/>
      <c r="BN347" s="435"/>
      <c r="BO347" s="435"/>
      <c r="BP347" s="435"/>
      <c r="BQ347" s="435"/>
      <c r="BR347" s="435"/>
    </row>
    <row r="348" spans="55:98" ht="8.25" hidden="1" customHeight="1" x14ac:dyDescent="0.2"/>
    <row r="349" spans="55:98" ht="8.25" hidden="1" customHeight="1" x14ac:dyDescent="0.2"/>
    <row r="350" spans="55:98" ht="8.25" hidden="1" customHeight="1" x14ac:dyDescent="0.2"/>
    <row r="351" spans="55:98" ht="12" hidden="1" x14ac:dyDescent="0.2">
      <c r="BC351" s="432" t="s">
        <v>484</v>
      </c>
      <c r="BD351" s="432"/>
      <c r="BE351" s="432"/>
      <c r="BF351" s="432"/>
      <c r="BG351" s="432"/>
      <c r="BH351" s="432"/>
      <c r="BI351" s="432"/>
      <c r="BJ351" s="432"/>
      <c r="BK351" s="432"/>
      <c r="BL351" s="432"/>
      <c r="BM351" s="432"/>
      <c r="BN351" s="432"/>
      <c r="BO351" s="432"/>
      <c r="BP351" s="432"/>
      <c r="BQ351" s="432"/>
      <c r="BR351" s="432"/>
      <c r="BS351" s="432"/>
      <c r="BT351" s="432"/>
      <c r="BU351" s="432"/>
      <c r="BV351" s="432"/>
      <c r="BW351" s="432"/>
      <c r="BX351" s="432"/>
      <c r="BY351" s="432"/>
    </row>
    <row r="352" spans="55:98" ht="12" hidden="1" x14ac:dyDescent="0.2">
      <c r="BC352" s="432" t="s">
        <v>126</v>
      </c>
      <c r="BD352" s="432"/>
      <c r="BE352" s="432"/>
      <c r="BF352" s="433">
        <f>200*16</f>
        <v>3200</v>
      </c>
      <c r="BG352" s="433"/>
      <c r="BH352" s="433"/>
      <c r="BI352" s="433"/>
      <c r="BJ352" s="433"/>
      <c r="BK352" s="295" t="s">
        <v>127</v>
      </c>
      <c r="BL352" s="295"/>
      <c r="BM352" s="295"/>
      <c r="BN352" s="295"/>
      <c r="BO352" s="295"/>
      <c r="BP352" s="295"/>
      <c r="BQ352" s="295"/>
      <c r="BR352" s="295"/>
    </row>
    <row r="353" spans="55:98" ht="15" hidden="1" x14ac:dyDescent="0.25">
      <c r="BC353" s="434">
        <v>0.6</v>
      </c>
      <c r="BD353" s="432"/>
      <c r="BE353" s="432"/>
      <c r="BF353" s="216">
        <f>BF352*BC353</f>
        <v>1920</v>
      </c>
      <c r="BG353" s="432" t="s">
        <v>128</v>
      </c>
      <c r="BH353" s="432"/>
      <c r="BI353" s="432"/>
      <c r="BJ353" s="432"/>
      <c r="BK353" s="432"/>
      <c r="BL353" s="432" t="s">
        <v>129</v>
      </c>
      <c r="BM353" s="432"/>
      <c r="BN353" s="432"/>
      <c r="BO353" s="432"/>
      <c r="BP353" s="432"/>
      <c r="BQ353" s="432"/>
      <c r="BR353" s="432"/>
      <c r="CD353" s="432" t="s">
        <v>368</v>
      </c>
      <c r="CE353" s="443"/>
      <c r="CF353" s="443"/>
      <c r="CG353" s="443"/>
      <c r="CH353" s="443"/>
      <c r="CI353" s="443"/>
      <c r="CJ353" s="443"/>
      <c r="CK353" s="443"/>
      <c r="CN353" s="432" t="s">
        <v>366</v>
      </c>
      <c r="CO353" s="443"/>
      <c r="CP353" s="443"/>
      <c r="CQ353" s="443"/>
      <c r="CR353" s="443"/>
      <c r="CS353" s="443"/>
      <c r="CT353" s="443"/>
    </row>
    <row r="354" spans="55:98" ht="15" hidden="1" x14ac:dyDescent="0.25">
      <c r="BC354" s="432">
        <v>211</v>
      </c>
      <c r="BD354" s="432"/>
      <c r="BE354" s="432"/>
      <c r="BF354" s="216">
        <f>BF353-BF355</f>
        <v>1474.6543778801843</v>
      </c>
      <c r="BG354" s="435">
        <f>BF354*0.2</f>
        <v>294.93087557603684</v>
      </c>
      <c r="BH354" s="435"/>
      <c r="BI354" s="435"/>
      <c r="BJ354" s="435"/>
      <c r="BK354" s="435"/>
      <c r="BL354" s="436">
        <f>BF354-BG354</f>
        <v>1179.7235023041474</v>
      </c>
      <c r="BM354" s="445"/>
      <c r="BN354" s="445"/>
      <c r="BO354" s="445"/>
      <c r="BP354" s="445"/>
      <c r="BQ354" s="445"/>
      <c r="BR354" s="445"/>
      <c r="CD354" s="437">
        <f>BG354*15/20-0.01</f>
        <v>221.18815668202765</v>
      </c>
      <c r="CE354" s="446"/>
      <c r="CF354" s="446"/>
      <c r="CG354" s="446"/>
      <c r="CH354" s="446"/>
      <c r="CI354" s="446"/>
      <c r="CJ354" s="446"/>
      <c r="CK354" s="446"/>
      <c r="CN354" s="840">
        <f>BG354*5/20+0.01</f>
        <v>73.742718894009215</v>
      </c>
      <c r="CO354" s="841"/>
      <c r="CP354" s="841"/>
      <c r="CQ354" s="841"/>
      <c r="CR354" s="841"/>
      <c r="CS354" s="841"/>
      <c r="CT354" s="841"/>
    </row>
    <row r="355" spans="55:98" ht="12" hidden="1" x14ac:dyDescent="0.2">
      <c r="BC355" s="432">
        <v>213</v>
      </c>
      <c r="BD355" s="432"/>
      <c r="BE355" s="432"/>
      <c r="BF355" s="216">
        <f>BF353*30.2/130.2</f>
        <v>445.34562211981569</v>
      </c>
      <c r="BG355" s="435">
        <f>BG354*30.2%</f>
        <v>89.069124423963117</v>
      </c>
      <c r="BH355" s="435"/>
      <c r="BI355" s="435"/>
      <c r="BJ355" s="435"/>
      <c r="BK355" s="435"/>
      <c r="BL355" s="435">
        <f>BL354*30.2%</f>
        <v>356.27649769585247</v>
      </c>
      <c r="BM355" s="435"/>
      <c r="BN355" s="435"/>
      <c r="BO355" s="435"/>
      <c r="BP355" s="435"/>
      <c r="BQ355" s="435"/>
      <c r="BR355" s="435"/>
    </row>
    <row r="356" spans="55:98" ht="8.25" hidden="1" customHeight="1" x14ac:dyDescent="0.2"/>
    <row r="357" spans="55:98" ht="8.25" hidden="1" customHeight="1" x14ac:dyDescent="0.2"/>
    <row r="358" spans="55:98" ht="8.25" hidden="1" customHeight="1" x14ac:dyDescent="0.2"/>
    <row r="359" spans="55:98" ht="12" hidden="1" x14ac:dyDescent="0.2">
      <c r="BC359" s="432" t="s">
        <v>496</v>
      </c>
      <c r="BD359" s="432"/>
      <c r="BE359" s="432"/>
      <c r="BF359" s="432"/>
      <c r="BG359" s="432"/>
      <c r="BH359" s="432"/>
      <c r="BI359" s="432"/>
      <c r="BJ359" s="432"/>
      <c r="BK359" s="432"/>
      <c r="BL359" s="432"/>
      <c r="BM359" s="432"/>
      <c r="BN359" s="432"/>
      <c r="BO359" s="432"/>
      <c r="BP359" s="432"/>
      <c r="BQ359" s="432"/>
      <c r="BR359" s="432"/>
      <c r="BS359" s="432"/>
      <c r="BT359" s="432"/>
      <c r="BU359" s="432"/>
      <c r="BV359" s="432"/>
      <c r="BW359" s="432"/>
      <c r="BX359" s="432"/>
      <c r="BY359" s="432"/>
    </row>
    <row r="360" spans="55:98" ht="12" hidden="1" x14ac:dyDescent="0.2">
      <c r="BC360" s="432" t="s">
        <v>126</v>
      </c>
      <c r="BD360" s="432"/>
      <c r="BE360" s="432"/>
      <c r="BF360" s="433">
        <f>200*13</f>
        <v>2600</v>
      </c>
      <c r="BG360" s="433"/>
      <c r="BH360" s="433"/>
      <c r="BI360" s="433"/>
      <c r="BJ360" s="433"/>
      <c r="BK360" s="297" t="s">
        <v>127</v>
      </c>
      <c r="BL360" s="297"/>
      <c r="BM360" s="297"/>
      <c r="BN360" s="297"/>
      <c r="BO360" s="297"/>
      <c r="BP360" s="297"/>
      <c r="BQ360" s="297"/>
      <c r="BR360" s="297"/>
    </row>
    <row r="361" spans="55:98" ht="15" hidden="1" x14ac:dyDescent="0.25">
      <c r="BC361" s="434">
        <v>0.6</v>
      </c>
      <c r="BD361" s="432"/>
      <c r="BE361" s="432"/>
      <c r="BF361" s="216">
        <f>BF360*BC361</f>
        <v>1560</v>
      </c>
      <c r="BG361" s="432" t="s">
        <v>128</v>
      </c>
      <c r="BH361" s="432"/>
      <c r="BI361" s="432"/>
      <c r="BJ361" s="432"/>
      <c r="BK361" s="432"/>
      <c r="BL361" s="432" t="s">
        <v>129</v>
      </c>
      <c r="BM361" s="432"/>
      <c r="BN361" s="432"/>
      <c r="BO361" s="432"/>
      <c r="BP361" s="432"/>
      <c r="BQ361" s="432"/>
      <c r="BR361" s="432"/>
      <c r="CD361" s="432" t="s">
        <v>368</v>
      </c>
      <c r="CE361" s="443"/>
      <c r="CF361" s="443"/>
      <c r="CG361" s="443"/>
      <c r="CH361" s="443"/>
      <c r="CI361" s="443"/>
      <c r="CJ361" s="443"/>
      <c r="CK361" s="443"/>
      <c r="CN361" s="432" t="s">
        <v>366</v>
      </c>
      <c r="CO361" s="443"/>
      <c r="CP361" s="443"/>
      <c r="CQ361" s="443"/>
      <c r="CR361" s="443"/>
      <c r="CS361" s="443"/>
      <c r="CT361" s="443"/>
    </row>
    <row r="362" spans="55:98" ht="15" hidden="1" x14ac:dyDescent="0.25">
      <c r="BC362" s="432">
        <v>211</v>
      </c>
      <c r="BD362" s="432"/>
      <c r="BE362" s="432"/>
      <c r="BF362" s="216">
        <f>BF361-BF363</f>
        <v>1198.1566820276498</v>
      </c>
      <c r="BG362" s="435">
        <f>BF362*0.2</f>
        <v>239.63133640552996</v>
      </c>
      <c r="BH362" s="435"/>
      <c r="BI362" s="435"/>
      <c r="BJ362" s="435"/>
      <c r="BK362" s="435"/>
      <c r="BL362" s="436">
        <f>BF362-BG362</f>
        <v>958.52534562211986</v>
      </c>
      <c r="BM362" s="445"/>
      <c r="BN362" s="445"/>
      <c r="BO362" s="445"/>
      <c r="BP362" s="445"/>
      <c r="BQ362" s="445"/>
      <c r="BR362" s="445"/>
      <c r="CD362" s="437">
        <f>BG362*15/20-0.01</f>
        <v>179.71350230414748</v>
      </c>
      <c r="CE362" s="446"/>
      <c r="CF362" s="446"/>
      <c r="CG362" s="446"/>
      <c r="CH362" s="446"/>
      <c r="CI362" s="446"/>
      <c r="CJ362" s="446"/>
      <c r="CK362" s="446"/>
      <c r="CN362" s="840">
        <f>BG362*5/20+0.01</f>
        <v>59.917834101382489</v>
      </c>
      <c r="CO362" s="841"/>
      <c r="CP362" s="841"/>
      <c r="CQ362" s="841"/>
      <c r="CR362" s="841"/>
      <c r="CS362" s="841"/>
      <c r="CT362" s="841"/>
    </row>
    <row r="363" spans="55:98" ht="12" hidden="1" x14ac:dyDescent="0.2">
      <c r="BC363" s="432">
        <v>213</v>
      </c>
      <c r="BD363" s="432"/>
      <c r="BE363" s="432"/>
      <c r="BF363" s="216">
        <f>BF361*30.2/130.2</f>
        <v>361.84331797235023</v>
      </c>
      <c r="BG363" s="435">
        <f>BG362*30.2%</f>
        <v>72.36866359447005</v>
      </c>
      <c r="BH363" s="435"/>
      <c r="BI363" s="435"/>
      <c r="BJ363" s="435"/>
      <c r="BK363" s="435"/>
      <c r="BL363" s="435">
        <f>BL362*30.2%</f>
        <v>289.4746543778802</v>
      </c>
      <c r="BM363" s="435"/>
      <c r="BN363" s="435"/>
      <c r="BO363" s="435"/>
      <c r="BP363" s="435"/>
      <c r="BQ363" s="435"/>
      <c r="BR363" s="435"/>
    </row>
    <row r="364" spans="55:98" ht="8.25" hidden="1" customHeight="1" x14ac:dyDescent="0.2"/>
    <row r="365" spans="55:98" ht="8.25" hidden="1" customHeight="1" x14ac:dyDescent="0.2"/>
    <row r="366" spans="55:98" ht="8.25" hidden="1" customHeight="1" x14ac:dyDescent="0.2"/>
    <row r="367" spans="55:98" ht="12" hidden="1" x14ac:dyDescent="0.2">
      <c r="BC367" s="432" t="s">
        <v>502</v>
      </c>
      <c r="BD367" s="432"/>
      <c r="BE367" s="432"/>
      <c r="BF367" s="432"/>
      <c r="BG367" s="432"/>
      <c r="BH367" s="432"/>
      <c r="BI367" s="432"/>
      <c r="BJ367" s="432"/>
      <c r="BK367" s="432"/>
      <c r="BL367" s="432"/>
      <c r="BM367" s="432"/>
      <c r="BN367" s="432"/>
      <c r="BO367" s="432"/>
      <c r="BP367" s="432"/>
      <c r="BQ367" s="432"/>
      <c r="BR367" s="432"/>
      <c r="BS367" s="432"/>
      <c r="BT367" s="432"/>
      <c r="BU367" s="432"/>
      <c r="BV367" s="432"/>
      <c r="BW367" s="432"/>
      <c r="BX367" s="432"/>
      <c r="BY367" s="432"/>
    </row>
    <row r="368" spans="55:98" ht="12" hidden="1" x14ac:dyDescent="0.2">
      <c r="BC368" s="432" t="s">
        <v>126</v>
      </c>
      <c r="BD368" s="432"/>
      <c r="BE368" s="432"/>
      <c r="BF368" s="433">
        <f>200*34</f>
        <v>6800</v>
      </c>
      <c r="BG368" s="433"/>
      <c r="BH368" s="433"/>
      <c r="BI368" s="433"/>
      <c r="BJ368" s="433"/>
      <c r="BK368" s="300" t="s">
        <v>127</v>
      </c>
      <c r="BL368" s="300"/>
      <c r="BM368" s="300"/>
      <c r="BN368" s="300"/>
      <c r="BO368" s="300"/>
      <c r="BP368" s="300"/>
      <c r="BQ368" s="300"/>
      <c r="BR368" s="300"/>
    </row>
    <row r="369" spans="3:98" ht="15" hidden="1" x14ac:dyDescent="0.25">
      <c r="BC369" s="434">
        <v>0.6</v>
      </c>
      <c r="BD369" s="432"/>
      <c r="BE369" s="432"/>
      <c r="BF369" s="216">
        <f>BF368*BC369</f>
        <v>4080</v>
      </c>
      <c r="BG369" s="432" t="s">
        <v>128</v>
      </c>
      <c r="BH369" s="432"/>
      <c r="BI369" s="432"/>
      <c r="BJ369" s="432"/>
      <c r="BK369" s="432"/>
      <c r="BL369" s="432" t="s">
        <v>129</v>
      </c>
      <c r="BM369" s="432"/>
      <c r="BN369" s="432"/>
      <c r="BO369" s="432"/>
      <c r="BP369" s="432"/>
      <c r="BQ369" s="432"/>
      <c r="BR369" s="432"/>
      <c r="CD369" s="432" t="s">
        <v>368</v>
      </c>
      <c r="CE369" s="443"/>
      <c r="CF369" s="443"/>
      <c r="CG369" s="443"/>
      <c r="CH369" s="443"/>
      <c r="CI369" s="443"/>
      <c r="CJ369" s="443"/>
      <c r="CK369" s="443"/>
      <c r="CN369" s="432" t="s">
        <v>366</v>
      </c>
      <c r="CO369" s="443"/>
      <c r="CP369" s="443"/>
      <c r="CQ369" s="443"/>
      <c r="CR369" s="443"/>
      <c r="CS369" s="443"/>
      <c r="CT369" s="443"/>
    </row>
    <row r="370" spans="3:98" ht="15" hidden="1" x14ac:dyDescent="0.25">
      <c r="BC370" s="432">
        <v>211</v>
      </c>
      <c r="BD370" s="432"/>
      <c r="BE370" s="432"/>
      <c r="BF370" s="216">
        <f>BF369-BF371</f>
        <v>3133.6405529953918</v>
      </c>
      <c r="BG370" s="435">
        <f>BF370*0.2</f>
        <v>626.72811059907838</v>
      </c>
      <c r="BH370" s="435"/>
      <c r="BI370" s="435"/>
      <c r="BJ370" s="435"/>
      <c r="BK370" s="435"/>
      <c r="BL370" s="436">
        <f>BF370-BG370</f>
        <v>2506.9124423963135</v>
      </c>
      <c r="BM370" s="445"/>
      <c r="BN370" s="445"/>
      <c r="BO370" s="445"/>
      <c r="BP370" s="445"/>
      <c r="BQ370" s="445"/>
      <c r="BR370" s="445"/>
      <c r="CD370" s="437">
        <f>BG370*15/20-0.01</f>
        <v>470.03608294930876</v>
      </c>
      <c r="CE370" s="446"/>
      <c r="CF370" s="446"/>
      <c r="CG370" s="446"/>
      <c r="CH370" s="446"/>
      <c r="CI370" s="446"/>
      <c r="CJ370" s="446"/>
      <c r="CK370" s="446"/>
      <c r="CN370" s="840">
        <f>BG370*5/20+0.01</f>
        <v>156.69202764976959</v>
      </c>
      <c r="CO370" s="841"/>
      <c r="CP370" s="841"/>
      <c r="CQ370" s="841"/>
      <c r="CR370" s="841"/>
      <c r="CS370" s="841"/>
      <c r="CT370" s="841"/>
    </row>
    <row r="371" spans="3:98" ht="12" hidden="1" x14ac:dyDescent="0.2">
      <c r="BC371" s="432">
        <v>213</v>
      </c>
      <c r="BD371" s="432"/>
      <c r="BE371" s="432"/>
      <c r="BF371" s="216">
        <f>BF369*30.2/130.2</f>
        <v>946.35944700460834</v>
      </c>
      <c r="BG371" s="435">
        <f>BG370*30.2%</f>
        <v>189.27188940092165</v>
      </c>
      <c r="BH371" s="435"/>
      <c r="BI371" s="435"/>
      <c r="BJ371" s="435"/>
      <c r="BK371" s="435"/>
      <c r="BL371" s="435">
        <f>BL370*30.2%</f>
        <v>757.08755760368661</v>
      </c>
      <c r="BM371" s="435"/>
      <c r="BN371" s="435"/>
      <c r="BO371" s="435"/>
      <c r="BP371" s="435"/>
      <c r="BQ371" s="435"/>
      <c r="BR371" s="435"/>
    </row>
    <row r="372" spans="3:98" ht="8.25" hidden="1" customHeight="1" x14ac:dyDescent="0.2"/>
    <row r="373" spans="3:98" ht="8.25" hidden="1" customHeight="1" x14ac:dyDescent="0.2"/>
    <row r="374" spans="3:98" ht="8.25" hidden="1" customHeight="1" x14ac:dyDescent="0.2"/>
    <row r="375" spans="3:98" ht="12" hidden="1" x14ac:dyDescent="0.2">
      <c r="BC375" s="432" t="s">
        <v>536</v>
      </c>
      <c r="BD375" s="432"/>
      <c r="BE375" s="432"/>
      <c r="BF375" s="432"/>
      <c r="BG375" s="432"/>
      <c r="BH375" s="432"/>
      <c r="BI375" s="432"/>
      <c r="BJ375" s="432"/>
      <c r="BK375" s="432"/>
      <c r="BL375" s="432"/>
      <c r="BM375" s="432"/>
      <c r="BN375" s="432"/>
      <c r="BO375" s="432"/>
      <c r="BP375" s="432"/>
      <c r="BQ375" s="432"/>
      <c r="BR375" s="432"/>
      <c r="BS375" s="432"/>
      <c r="BT375" s="432"/>
      <c r="BU375" s="432"/>
      <c r="BV375" s="432"/>
      <c r="BW375" s="432"/>
      <c r="BX375" s="432"/>
      <c r="BY375" s="432"/>
    </row>
    <row r="376" spans="3:98" ht="12" hidden="1" x14ac:dyDescent="0.2">
      <c r="BC376" s="432" t="s">
        <v>126</v>
      </c>
      <c r="BD376" s="432"/>
      <c r="BE376" s="432"/>
      <c r="BF376" s="433">
        <f>200*27</f>
        <v>5400</v>
      </c>
      <c r="BG376" s="433"/>
      <c r="BH376" s="433"/>
      <c r="BI376" s="433"/>
      <c r="BJ376" s="433"/>
      <c r="BK376" s="304" t="s">
        <v>127</v>
      </c>
      <c r="BL376" s="304"/>
      <c r="BM376" s="304"/>
      <c r="BN376" s="304"/>
      <c r="BO376" s="304"/>
      <c r="BP376" s="304"/>
      <c r="BQ376" s="304"/>
      <c r="BR376" s="304"/>
    </row>
    <row r="377" spans="3:98" ht="15" hidden="1" x14ac:dyDescent="0.25">
      <c r="BC377" s="434">
        <v>0.6</v>
      </c>
      <c r="BD377" s="432"/>
      <c r="BE377" s="432"/>
      <c r="BF377" s="216">
        <f>BF376*BC377</f>
        <v>3240</v>
      </c>
      <c r="BG377" s="432" t="s">
        <v>128</v>
      </c>
      <c r="BH377" s="432"/>
      <c r="BI377" s="432"/>
      <c r="BJ377" s="432"/>
      <c r="BK377" s="432"/>
      <c r="BL377" s="432" t="s">
        <v>129</v>
      </c>
      <c r="BM377" s="432"/>
      <c r="BN377" s="432"/>
      <c r="BO377" s="432"/>
      <c r="BP377" s="432"/>
      <c r="BQ377" s="432"/>
      <c r="BR377" s="432"/>
      <c r="CD377" s="432" t="s">
        <v>368</v>
      </c>
      <c r="CE377" s="443"/>
      <c r="CF377" s="443"/>
      <c r="CG377" s="443"/>
      <c r="CH377" s="443"/>
      <c r="CI377" s="443"/>
      <c r="CJ377" s="443"/>
      <c r="CK377" s="443"/>
      <c r="CN377" s="432" t="s">
        <v>366</v>
      </c>
      <c r="CO377" s="443"/>
      <c r="CP377" s="443"/>
      <c r="CQ377" s="443"/>
      <c r="CR377" s="443"/>
      <c r="CS377" s="443"/>
      <c r="CT377" s="443"/>
    </row>
    <row r="378" spans="3:98" ht="15" hidden="1" x14ac:dyDescent="0.25">
      <c r="BC378" s="432">
        <v>211</v>
      </c>
      <c r="BD378" s="432"/>
      <c r="BE378" s="432"/>
      <c r="BF378" s="216">
        <f>BF377-BF379</f>
        <v>2488.4792626728113</v>
      </c>
      <c r="BG378" s="435">
        <f>BF378*0.2</f>
        <v>497.69585253456228</v>
      </c>
      <c r="BH378" s="435"/>
      <c r="BI378" s="435"/>
      <c r="BJ378" s="435"/>
      <c r="BK378" s="435"/>
      <c r="BL378" s="436">
        <f>BF378-BG378</f>
        <v>1990.7834101382491</v>
      </c>
      <c r="BM378" s="445"/>
      <c r="BN378" s="445"/>
      <c r="BO378" s="445"/>
      <c r="BP378" s="445"/>
      <c r="BQ378" s="445"/>
      <c r="BR378" s="445"/>
      <c r="CD378" s="437">
        <f>BG378*15/20-0.01</f>
        <v>373.26188940092169</v>
      </c>
      <c r="CE378" s="446"/>
      <c r="CF378" s="446"/>
      <c r="CG378" s="446"/>
      <c r="CH378" s="446"/>
      <c r="CI378" s="446"/>
      <c r="CJ378" s="446"/>
      <c r="CK378" s="446"/>
      <c r="CN378" s="840">
        <f>BG378*5/20+0.01</f>
        <v>124.43396313364057</v>
      </c>
      <c r="CO378" s="841"/>
      <c r="CP378" s="841"/>
      <c r="CQ378" s="841"/>
      <c r="CR378" s="841"/>
      <c r="CS378" s="841"/>
      <c r="CT378" s="841"/>
    </row>
    <row r="379" spans="3:98" ht="12" hidden="1" x14ac:dyDescent="0.2">
      <c r="BC379" s="432">
        <v>213</v>
      </c>
      <c r="BD379" s="432"/>
      <c r="BE379" s="432"/>
      <c r="BF379" s="216">
        <f>BF377*30.2/130.2</f>
        <v>751.52073732718895</v>
      </c>
      <c r="BG379" s="435">
        <f>BG378*30.2%</f>
        <v>150.30414746543781</v>
      </c>
      <c r="BH379" s="435"/>
      <c r="BI379" s="435"/>
      <c r="BJ379" s="435"/>
      <c r="BK379" s="435"/>
      <c r="BL379" s="435">
        <f>BL378*30.2%</f>
        <v>601.21658986175123</v>
      </c>
      <c r="BM379" s="435"/>
      <c r="BN379" s="435"/>
      <c r="BO379" s="435"/>
      <c r="BP379" s="435"/>
      <c r="BQ379" s="435"/>
      <c r="BR379" s="435"/>
    </row>
    <row r="380" spans="3:98" ht="8.25" hidden="1" customHeight="1" x14ac:dyDescent="0.2"/>
    <row r="381" spans="3:98" ht="12" hidden="1" x14ac:dyDescent="0.2">
      <c r="C381" s="117" t="s">
        <v>434</v>
      </c>
    </row>
    <row r="382" spans="3:98" ht="8.25" hidden="1" customHeight="1" x14ac:dyDescent="0.2"/>
    <row r="383" spans="3:98" ht="12" hidden="1" x14ac:dyDescent="0.2">
      <c r="BC383" s="432" t="s">
        <v>552</v>
      </c>
      <c r="BD383" s="432"/>
      <c r="BE383" s="432"/>
      <c r="BF383" s="432"/>
      <c r="BG383" s="432"/>
      <c r="BH383" s="432"/>
      <c r="BI383" s="432"/>
      <c r="BJ383" s="432"/>
      <c r="BK383" s="432"/>
      <c r="BL383" s="432"/>
      <c r="BM383" s="432"/>
      <c r="BN383" s="432"/>
      <c r="BO383" s="432"/>
      <c r="BP383" s="432"/>
      <c r="BQ383" s="432"/>
      <c r="BR383" s="432"/>
      <c r="BS383" s="432"/>
      <c r="BT383" s="432"/>
      <c r="BU383" s="432"/>
      <c r="BV383" s="432"/>
      <c r="BW383" s="432"/>
      <c r="BX383" s="432"/>
      <c r="BY383" s="432"/>
    </row>
    <row r="384" spans="3:98" ht="12" hidden="1" x14ac:dyDescent="0.2">
      <c r="BC384" s="432" t="s">
        <v>126</v>
      </c>
      <c r="BD384" s="432"/>
      <c r="BE384" s="432"/>
      <c r="BF384" s="433">
        <f>200*46</f>
        <v>9200</v>
      </c>
      <c r="BG384" s="433"/>
      <c r="BH384" s="433"/>
      <c r="BI384" s="433"/>
      <c r="BJ384" s="433"/>
      <c r="BK384" s="320" t="s">
        <v>127</v>
      </c>
      <c r="BL384" s="320"/>
      <c r="BM384" s="320"/>
      <c r="BN384" s="320"/>
      <c r="BO384" s="320"/>
      <c r="BP384" s="320"/>
      <c r="BQ384" s="320"/>
      <c r="BR384" s="320"/>
    </row>
    <row r="385" spans="55:98" ht="15" hidden="1" x14ac:dyDescent="0.25">
      <c r="BC385" s="434">
        <v>0.6</v>
      </c>
      <c r="BD385" s="432"/>
      <c r="BE385" s="432"/>
      <c r="BF385" s="216">
        <f>BF384*BC385</f>
        <v>5520</v>
      </c>
      <c r="BG385" s="432" t="s">
        <v>128</v>
      </c>
      <c r="BH385" s="432"/>
      <c r="BI385" s="432"/>
      <c r="BJ385" s="432"/>
      <c r="BK385" s="432"/>
      <c r="BL385" s="432" t="s">
        <v>129</v>
      </c>
      <c r="BM385" s="432"/>
      <c r="BN385" s="432"/>
      <c r="BO385" s="432"/>
      <c r="BP385" s="432"/>
      <c r="BQ385" s="432"/>
      <c r="BR385" s="432"/>
      <c r="CD385" s="432" t="s">
        <v>368</v>
      </c>
      <c r="CE385" s="443"/>
      <c r="CF385" s="443"/>
      <c r="CG385" s="443"/>
      <c r="CH385" s="443"/>
      <c r="CI385" s="443"/>
      <c r="CJ385" s="443"/>
      <c r="CK385" s="443"/>
      <c r="CN385" s="432" t="s">
        <v>366</v>
      </c>
      <c r="CO385" s="443"/>
      <c r="CP385" s="443"/>
      <c r="CQ385" s="443"/>
      <c r="CR385" s="443"/>
      <c r="CS385" s="443"/>
      <c r="CT385" s="443"/>
    </row>
    <row r="386" spans="55:98" ht="15" hidden="1" x14ac:dyDescent="0.25">
      <c r="BC386" s="432">
        <v>211</v>
      </c>
      <c r="BD386" s="432"/>
      <c r="BE386" s="432"/>
      <c r="BF386" s="216">
        <f>BF385-BF387</f>
        <v>4239.6313364055295</v>
      </c>
      <c r="BG386" s="435">
        <f>BF386*0.2</f>
        <v>847.92626728110599</v>
      </c>
      <c r="BH386" s="435"/>
      <c r="BI386" s="435"/>
      <c r="BJ386" s="435"/>
      <c r="BK386" s="435"/>
      <c r="BL386" s="436">
        <f>BF386-BG386</f>
        <v>3391.7050691244235</v>
      </c>
      <c r="BM386" s="445"/>
      <c r="BN386" s="445"/>
      <c r="BO386" s="445"/>
      <c r="BP386" s="445"/>
      <c r="BQ386" s="445"/>
      <c r="BR386" s="445"/>
      <c r="CD386" s="437">
        <f>BG386*15/20-0.01</f>
        <v>635.9347004608295</v>
      </c>
      <c r="CE386" s="446"/>
      <c r="CF386" s="446"/>
      <c r="CG386" s="446"/>
      <c r="CH386" s="446"/>
      <c r="CI386" s="446"/>
      <c r="CJ386" s="446"/>
      <c r="CK386" s="446"/>
      <c r="CN386" s="840">
        <f>BG386*5/20+0.01</f>
        <v>211.99156682027646</v>
      </c>
      <c r="CO386" s="841"/>
      <c r="CP386" s="841"/>
      <c r="CQ386" s="841"/>
      <c r="CR386" s="841"/>
      <c r="CS386" s="841"/>
      <c r="CT386" s="841"/>
    </row>
    <row r="387" spans="55:98" ht="12" hidden="1" x14ac:dyDescent="0.2">
      <c r="BC387" s="432">
        <v>213</v>
      </c>
      <c r="BD387" s="432"/>
      <c r="BE387" s="432"/>
      <c r="BF387" s="216">
        <f>BF385*30.2/130.2</f>
        <v>1280.3686635944703</v>
      </c>
      <c r="BG387" s="435">
        <f>BG386*30.2%</f>
        <v>256.07373271889401</v>
      </c>
      <c r="BH387" s="435"/>
      <c r="BI387" s="435"/>
      <c r="BJ387" s="435"/>
      <c r="BK387" s="435"/>
      <c r="BL387" s="435">
        <f>BL386*30.2%</f>
        <v>1024.2949308755758</v>
      </c>
      <c r="BM387" s="435"/>
      <c r="BN387" s="435"/>
      <c r="BO387" s="435"/>
      <c r="BP387" s="435"/>
      <c r="BQ387" s="435"/>
      <c r="BR387" s="435"/>
    </row>
    <row r="388" spans="55:98" ht="8.25" hidden="1" customHeight="1" x14ac:dyDescent="0.2"/>
    <row r="389" spans="55:98" ht="8.25" hidden="1" customHeight="1" x14ac:dyDescent="0.2"/>
    <row r="390" spans="55:98" ht="12" hidden="1" x14ac:dyDescent="0.2">
      <c r="BC390" s="432" t="s">
        <v>564</v>
      </c>
      <c r="BD390" s="432"/>
      <c r="BE390" s="432"/>
      <c r="BF390" s="432"/>
      <c r="BG390" s="432"/>
      <c r="BH390" s="432"/>
      <c r="BI390" s="432"/>
      <c r="BJ390" s="432"/>
      <c r="BK390" s="432"/>
      <c r="BL390" s="432"/>
      <c r="BM390" s="432"/>
      <c r="BN390" s="432"/>
      <c r="BO390" s="432"/>
      <c r="BP390" s="432"/>
      <c r="BQ390" s="432"/>
      <c r="BR390" s="432"/>
      <c r="BS390" s="432"/>
      <c r="BT390" s="432"/>
      <c r="BU390" s="432"/>
      <c r="BV390" s="432"/>
      <c r="BW390" s="432"/>
      <c r="BX390" s="432"/>
      <c r="BY390" s="432"/>
    </row>
    <row r="391" spans="55:98" ht="12" hidden="1" x14ac:dyDescent="0.2">
      <c r="BC391" s="432" t="s">
        <v>126</v>
      </c>
      <c r="BD391" s="432"/>
      <c r="BE391" s="432"/>
      <c r="BF391" s="433">
        <f>200*45</f>
        <v>9000</v>
      </c>
      <c r="BG391" s="433"/>
      <c r="BH391" s="433"/>
      <c r="BI391" s="433"/>
      <c r="BJ391" s="433"/>
      <c r="BK391" s="324" t="s">
        <v>127</v>
      </c>
      <c r="BL391" s="324"/>
      <c r="BM391" s="324"/>
      <c r="BN391" s="324"/>
      <c r="BO391" s="324"/>
      <c r="BP391" s="324"/>
      <c r="BQ391" s="324"/>
      <c r="BR391" s="324"/>
    </row>
    <row r="392" spans="55:98" ht="15" hidden="1" x14ac:dyDescent="0.25">
      <c r="BC392" s="434">
        <v>0.6</v>
      </c>
      <c r="BD392" s="432"/>
      <c r="BE392" s="432"/>
      <c r="BF392" s="216">
        <f>BF391*BC392</f>
        <v>5400</v>
      </c>
      <c r="BG392" s="432" t="s">
        <v>128</v>
      </c>
      <c r="BH392" s="432"/>
      <c r="BI392" s="432"/>
      <c r="BJ392" s="432"/>
      <c r="BK392" s="432"/>
      <c r="BL392" s="432" t="s">
        <v>129</v>
      </c>
      <c r="BM392" s="432"/>
      <c r="BN392" s="432"/>
      <c r="BO392" s="432"/>
      <c r="BP392" s="432"/>
      <c r="BQ392" s="432"/>
      <c r="BR392" s="432"/>
      <c r="CD392" s="432" t="s">
        <v>368</v>
      </c>
      <c r="CE392" s="443"/>
      <c r="CF392" s="443"/>
      <c r="CG392" s="443"/>
      <c r="CH392" s="443"/>
      <c r="CI392" s="443"/>
      <c r="CJ392" s="443"/>
      <c r="CK392" s="443"/>
      <c r="CN392" s="432" t="s">
        <v>366</v>
      </c>
      <c r="CO392" s="443"/>
      <c r="CP392" s="443"/>
      <c r="CQ392" s="443"/>
      <c r="CR392" s="443"/>
      <c r="CS392" s="443"/>
      <c r="CT392" s="443"/>
    </row>
    <row r="393" spans="55:98" ht="15" hidden="1" x14ac:dyDescent="0.25">
      <c r="BC393" s="432">
        <v>211</v>
      </c>
      <c r="BD393" s="432"/>
      <c r="BE393" s="432"/>
      <c r="BF393" s="216">
        <f>BF392-BF394</f>
        <v>4147.4654377880179</v>
      </c>
      <c r="BG393" s="435">
        <f>BF393*0.2</f>
        <v>829.49308755760364</v>
      </c>
      <c r="BH393" s="435"/>
      <c r="BI393" s="435"/>
      <c r="BJ393" s="435"/>
      <c r="BK393" s="435"/>
      <c r="BL393" s="436">
        <f>BF393-BG393</f>
        <v>3317.9723502304141</v>
      </c>
      <c r="BM393" s="445"/>
      <c r="BN393" s="445"/>
      <c r="BO393" s="445"/>
      <c r="BP393" s="445"/>
      <c r="BQ393" s="445"/>
      <c r="BR393" s="445"/>
      <c r="CD393" s="437">
        <f>BG393*15/20-0.01</f>
        <v>622.10981566820283</v>
      </c>
      <c r="CE393" s="446"/>
      <c r="CF393" s="446"/>
      <c r="CG393" s="446"/>
      <c r="CH393" s="446"/>
      <c r="CI393" s="446"/>
      <c r="CJ393" s="446"/>
      <c r="CK393" s="446"/>
      <c r="CN393" s="840">
        <f>BG393*5/20+0.01</f>
        <v>207.38327188940087</v>
      </c>
      <c r="CO393" s="841"/>
      <c r="CP393" s="841"/>
      <c r="CQ393" s="841"/>
      <c r="CR393" s="841"/>
      <c r="CS393" s="841"/>
      <c r="CT393" s="841"/>
    </row>
    <row r="394" spans="55:98" ht="12" hidden="1" x14ac:dyDescent="0.2">
      <c r="BC394" s="432">
        <v>213</v>
      </c>
      <c r="BD394" s="432"/>
      <c r="BE394" s="432"/>
      <c r="BF394" s="216">
        <f>BF392*30.2/130.2</f>
        <v>1252.5345622119817</v>
      </c>
      <c r="BG394" s="435">
        <f>BG393*30.2%</f>
        <v>250.5069124423963</v>
      </c>
      <c r="BH394" s="435"/>
      <c r="BI394" s="435"/>
      <c r="BJ394" s="435"/>
      <c r="BK394" s="435"/>
      <c r="BL394" s="435">
        <f>BL393*30.2%</f>
        <v>1002.0276497695851</v>
      </c>
      <c r="BM394" s="435"/>
      <c r="BN394" s="435"/>
      <c r="BO394" s="435"/>
      <c r="BP394" s="435"/>
      <c r="BQ394" s="435"/>
      <c r="BR394" s="435"/>
    </row>
    <row r="395" spans="55:98" ht="8.25" hidden="1" customHeight="1" x14ac:dyDescent="0.2"/>
    <row r="396" spans="55:98" ht="8.25" hidden="1" customHeight="1" x14ac:dyDescent="0.2"/>
    <row r="397" spans="55:98" ht="12" hidden="1" x14ac:dyDescent="0.2">
      <c r="BC397" s="432" t="s">
        <v>592</v>
      </c>
      <c r="BD397" s="432"/>
      <c r="BE397" s="432"/>
      <c r="BF397" s="432"/>
      <c r="BG397" s="432"/>
      <c r="BH397" s="432"/>
      <c r="BI397" s="432"/>
      <c r="BJ397" s="432"/>
      <c r="BK397" s="432"/>
      <c r="BL397" s="432"/>
      <c r="BM397" s="432"/>
      <c r="BN397" s="432"/>
      <c r="BO397" s="432"/>
      <c r="BP397" s="432"/>
      <c r="BQ397" s="432"/>
      <c r="BR397" s="432"/>
      <c r="BS397" s="432"/>
      <c r="BT397" s="432"/>
      <c r="BU397" s="432"/>
      <c r="BV397" s="432"/>
      <c r="BW397" s="432"/>
      <c r="BX397" s="432"/>
      <c r="BY397" s="432"/>
    </row>
    <row r="398" spans="55:98" ht="12" hidden="1" x14ac:dyDescent="0.2">
      <c r="BC398" s="432" t="s">
        <v>126</v>
      </c>
      <c r="BD398" s="432"/>
      <c r="BE398" s="432"/>
      <c r="BF398" s="433">
        <f>200*19</f>
        <v>3800</v>
      </c>
      <c r="BG398" s="433"/>
      <c r="BH398" s="433"/>
      <c r="BI398" s="433"/>
      <c r="BJ398" s="433"/>
      <c r="BK398" s="340" t="s">
        <v>127</v>
      </c>
      <c r="BL398" s="340"/>
      <c r="BM398" s="340"/>
      <c r="BN398" s="340"/>
      <c r="BO398" s="340"/>
      <c r="BP398" s="340"/>
      <c r="BQ398" s="340"/>
      <c r="BR398" s="340"/>
    </row>
    <row r="399" spans="55:98" ht="15" hidden="1" x14ac:dyDescent="0.25">
      <c r="BC399" s="434">
        <v>0.6</v>
      </c>
      <c r="BD399" s="432"/>
      <c r="BE399" s="432"/>
      <c r="BF399" s="216">
        <f>BF398*BC399</f>
        <v>2280</v>
      </c>
      <c r="BG399" s="432" t="s">
        <v>128</v>
      </c>
      <c r="BH399" s="432"/>
      <c r="BI399" s="432"/>
      <c r="BJ399" s="432"/>
      <c r="BK399" s="432"/>
      <c r="BL399" s="432" t="s">
        <v>129</v>
      </c>
      <c r="BM399" s="432"/>
      <c r="BN399" s="432"/>
      <c r="BO399" s="432"/>
      <c r="BP399" s="432"/>
      <c r="BQ399" s="432"/>
      <c r="BR399" s="432"/>
      <c r="CD399" s="432" t="s">
        <v>368</v>
      </c>
      <c r="CE399" s="443"/>
      <c r="CF399" s="443"/>
      <c r="CG399" s="443"/>
      <c r="CH399" s="443"/>
      <c r="CI399" s="443"/>
      <c r="CJ399" s="443"/>
      <c r="CK399" s="443"/>
      <c r="CN399" s="432" t="s">
        <v>366</v>
      </c>
      <c r="CO399" s="443"/>
      <c r="CP399" s="443"/>
      <c r="CQ399" s="443"/>
      <c r="CR399" s="443"/>
      <c r="CS399" s="443"/>
      <c r="CT399" s="443"/>
    </row>
    <row r="400" spans="55:98" ht="15" hidden="1" x14ac:dyDescent="0.25">
      <c r="BC400" s="432">
        <v>211</v>
      </c>
      <c r="BD400" s="432"/>
      <c r="BE400" s="432"/>
      <c r="BF400" s="216">
        <f>BF399-BF401</f>
        <v>1751.1520737327187</v>
      </c>
      <c r="BG400" s="435">
        <f>BF400*0.2</f>
        <v>350.23041474654377</v>
      </c>
      <c r="BH400" s="435"/>
      <c r="BI400" s="435"/>
      <c r="BJ400" s="435"/>
      <c r="BK400" s="435"/>
      <c r="BL400" s="436">
        <f>BF400-BG400</f>
        <v>1400.9216589861749</v>
      </c>
      <c r="BM400" s="445"/>
      <c r="BN400" s="445"/>
      <c r="BO400" s="445"/>
      <c r="BP400" s="445"/>
      <c r="BQ400" s="445"/>
      <c r="BR400" s="445"/>
      <c r="CD400" s="437">
        <f>BG400*15/20-0.01</f>
        <v>262.66281105990782</v>
      </c>
      <c r="CE400" s="446"/>
      <c r="CF400" s="446"/>
      <c r="CG400" s="446"/>
      <c r="CH400" s="446"/>
      <c r="CI400" s="446"/>
      <c r="CJ400" s="446"/>
      <c r="CK400" s="446"/>
      <c r="CN400" s="840">
        <f>BG400*5/20+0.01</f>
        <v>87.567603686635948</v>
      </c>
      <c r="CO400" s="841"/>
      <c r="CP400" s="841"/>
      <c r="CQ400" s="841"/>
      <c r="CR400" s="841"/>
      <c r="CS400" s="841"/>
      <c r="CT400" s="841"/>
    </row>
    <row r="401" spans="55:98" ht="12" hidden="1" x14ac:dyDescent="0.2">
      <c r="BC401" s="432">
        <v>213</v>
      </c>
      <c r="BD401" s="432"/>
      <c r="BE401" s="432"/>
      <c r="BF401" s="216">
        <f>BF399*30.2/130.2</f>
        <v>528.8479262672812</v>
      </c>
      <c r="BG401" s="435">
        <f>BG400*30.2%</f>
        <v>105.76958525345621</v>
      </c>
      <c r="BH401" s="435"/>
      <c r="BI401" s="435"/>
      <c r="BJ401" s="435"/>
      <c r="BK401" s="435"/>
      <c r="BL401" s="435">
        <f>BL400*30.2%</f>
        <v>423.0783410138248</v>
      </c>
      <c r="BM401" s="435"/>
      <c r="BN401" s="435"/>
      <c r="BO401" s="435"/>
      <c r="BP401" s="435"/>
      <c r="BQ401" s="435"/>
      <c r="BR401" s="435"/>
    </row>
    <row r="402" spans="55:98" ht="8.25" hidden="1" customHeight="1" x14ac:dyDescent="0.2"/>
    <row r="403" spans="55:98" ht="8.25" hidden="1" customHeight="1" x14ac:dyDescent="0.2"/>
    <row r="404" spans="55:98" ht="8.25" hidden="1" customHeight="1" x14ac:dyDescent="0.2"/>
    <row r="405" spans="55:98" ht="12" hidden="1" x14ac:dyDescent="0.2">
      <c r="BC405" s="432" t="s">
        <v>600</v>
      </c>
      <c r="BD405" s="432"/>
      <c r="BE405" s="432"/>
      <c r="BF405" s="432"/>
      <c r="BG405" s="432"/>
      <c r="BH405" s="432"/>
      <c r="BI405" s="432"/>
      <c r="BJ405" s="432"/>
      <c r="BK405" s="432"/>
      <c r="BL405" s="432"/>
      <c r="BM405" s="432"/>
      <c r="BN405" s="432"/>
      <c r="BO405" s="432"/>
      <c r="BP405" s="432"/>
      <c r="BQ405" s="432"/>
      <c r="BR405" s="432"/>
      <c r="BS405" s="432"/>
      <c r="BT405" s="432"/>
      <c r="BU405" s="432"/>
      <c r="BV405" s="432"/>
      <c r="BW405" s="432"/>
      <c r="BX405" s="432"/>
      <c r="BY405" s="432"/>
    </row>
    <row r="406" spans="55:98" ht="12" hidden="1" x14ac:dyDescent="0.2">
      <c r="BC406" s="432" t="s">
        <v>126</v>
      </c>
      <c r="BD406" s="432"/>
      <c r="BE406" s="432"/>
      <c r="BF406" s="433">
        <f>200*24</f>
        <v>4800</v>
      </c>
      <c r="BG406" s="433"/>
      <c r="BH406" s="433"/>
      <c r="BI406" s="433"/>
      <c r="BJ406" s="433"/>
      <c r="BK406" s="348" t="s">
        <v>127</v>
      </c>
      <c r="BL406" s="348"/>
      <c r="BM406" s="348"/>
      <c r="BN406" s="348"/>
      <c r="BO406" s="348"/>
      <c r="BP406" s="348"/>
      <c r="BQ406" s="348"/>
      <c r="BR406" s="348"/>
    </row>
    <row r="407" spans="55:98" ht="15" hidden="1" x14ac:dyDescent="0.25">
      <c r="BC407" s="434">
        <v>0.6</v>
      </c>
      <c r="BD407" s="432"/>
      <c r="BE407" s="432"/>
      <c r="BF407" s="216">
        <f>BF406*BC407</f>
        <v>2880</v>
      </c>
      <c r="BG407" s="432" t="s">
        <v>128</v>
      </c>
      <c r="BH407" s="432"/>
      <c r="BI407" s="432"/>
      <c r="BJ407" s="432"/>
      <c r="BK407" s="432"/>
      <c r="BL407" s="432" t="s">
        <v>129</v>
      </c>
      <c r="BM407" s="432"/>
      <c r="BN407" s="432"/>
      <c r="BO407" s="432"/>
      <c r="BP407" s="432"/>
      <c r="BQ407" s="432"/>
      <c r="BR407" s="432"/>
      <c r="CD407" s="432" t="s">
        <v>368</v>
      </c>
      <c r="CE407" s="443"/>
      <c r="CF407" s="443"/>
      <c r="CG407" s="443"/>
      <c r="CH407" s="443"/>
      <c r="CI407" s="443"/>
      <c r="CJ407" s="443"/>
      <c r="CK407" s="443"/>
      <c r="CN407" s="432" t="s">
        <v>366</v>
      </c>
      <c r="CO407" s="443"/>
      <c r="CP407" s="443"/>
      <c r="CQ407" s="443"/>
      <c r="CR407" s="443"/>
      <c r="CS407" s="443"/>
      <c r="CT407" s="443"/>
    </row>
    <row r="408" spans="55:98" ht="15" hidden="1" x14ac:dyDescent="0.25">
      <c r="BC408" s="432">
        <v>211</v>
      </c>
      <c r="BD408" s="432"/>
      <c r="BE408" s="432"/>
      <c r="BF408" s="216">
        <f>BF407-BF409</f>
        <v>2211.9815668202764</v>
      </c>
      <c r="BG408" s="435">
        <f>BF408*0.2</f>
        <v>442.39631336405529</v>
      </c>
      <c r="BH408" s="435"/>
      <c r="BI408" s="435"/>
      <c r="BJ408" s="435"/>
      <c r="BK408" s="435"/>
      <c r="BL408" s="436">
        <f>BF408-BG408</f>
        <v>1769.5852534562212</v>
      </c>
      <c r="BM408" s="445"/>
      <c r="BN408" s="445"/>
      <c r="BO408" s="445"/>
      <c r="BP408" s="445"/>
      <c r="BQ408" s="445"/>
      <c r="BR408" s="445"/>
      <c r="CD408" s="437">
        <f>BG408*15/20-0.01</f>
        <v>331.78723502304149</v>
      </c>
      <c r="CE408" s="446"/>
      <c r="CF408" s="446"/>
      <c r="CG408" s="446"/>
      <c r="CH408" s="446"/>
      <c r="CI408" s="446"/>
      <c r="CJ408" s="446"/>
      <c r="CK408" s="446"/>
      <c r="CN408" s="840">
        <f>BG408*5/20+0.01</f>
        <v>110.60907834101383</v>
      </c>
      <c r="CO408" s="841"/>
      <c r="CP408" s="841"/>
      <c r="CQ408" s="841"/>
      <c r="CR408" s="841"/>
      <c r="CS408" s="841"/>
      <c r="CT408" s="841"/>
    </row>
    <row r="409" spans="55:98" ht="12" hidden="1" x14ac:dyDescent="0.2">
      <c r="BC409" s="432">
        <v>213</v>
      </c>
      <c r="BD409" s="432"/>
      <c r="BE409" s="432"/>
      <c r="BF409" s="216">
        <f>BF407*30.2/130.2</f>
        <v>668.01843317972362</v>
      </c>
      <c r="BG409" s="435">
        <f>BG408*30.2%</f>
        <v>133.60368663594468</v>
      </c>
      <c r="BH409" s="435"/>
      <c r="BI409" s="435"/>
      <c r="BJ409" s="435"/>
      <c r="BK409" s="435"/>
      <c r="BL409" s="435">
        <f>BL408*30.2%</f>
        <v>534.41474654377873</v>
      </c>
      <c r="BM409" s="435"/>
      <c r="BN409" s="435"/>
      <c r="BO409" s="435"/>
      <c r="BP409" s="435"/>
      <c r="BQ409" s="435"/>
      <c r="BR409" s="435"/>
    </row>
    <row r="410" spans="55:98" ht="12" hidden="1" x14ac:dyDescent="0.2"/>
    <row r="411" spans="55:98" ht="8.25" hidden="1" customHeight="1" x14ac:dyDescent="0.2"/>
    <row r="412" spans="55:98" ht="8.25" hidden="1" customHeight="1" x14ac:dyDescent="0.2"/>
    <row r="413" spans="55:98" ht="12" hidden="1" x14ac:dyDescent="0.2">
      <c r="BC413" s="432" t="s">
        <v>632</v>
      </c>
      <c r="BD413" s="432"/>
      <c r="BE413" s="432"/>
      <c r="BF413" s="432"/>
      <c r="BG413" s="432"/>
      <c r="BH413" s="432"/>
      <c r="BI413" s="432"/>
      <c r="BJ413" s="432"/>
      <c r="BK413" s="432"/>
      <c r="BL413" s="432"/>
      <c r="BM413" s="432"/>
      <c r="BN413" s="432"/>
      <c r="BO413" s="432"/>
      <c r="BP413" s="432"/>
      <c r="BQ413" s="432"/>
      <c r="BR413" s="432"/>
      <c r="BS413" s="432"/>
      <c r="BT413" s="432"/>
      <c r="BU413" s="432"/>
      <c r="BV413" s="432"/>
      <c r="BW413" s="432"/>
      <c r="BX413" s="432"/>
      <c r="BY413" s="432"/>
    </row>
    <row r="414" spans="55:98" ht="12" hidden="1" x14ac:dyDescent="0.2">
      <c r="BC414" s="432" t="s">
        <v>126</v>
      </c>
      <c r="BD414" s="432"/>
      <c r="BE414" s="432"/>
      <c r="BF414" s="433">
        <f>200*10</f>
        <v>2000</v>
      </c>
      <c r="BG414" s="433"/>
      <c r="BH414" s="433"/>
      <c r="BI414" s="433"/>
      <c r="BJ414" s="433"/>
      <c r="BK414" s="381" t="s">
        <v>127</v>
      </c>
      <c r="BL414" s="381"/>
      <c r="BM414" s="381"/>
      <c r="BN414" s="381"/>
      <c r="BO414" s="381"/>
      <c r="BP414" s="381"/>
      <c r="BQ414" s="381"/>
      <c r="BR414" s="381"/>
    </row>
    <row r="415" spans="55:98" ht="15" hidden="1" x14ac:dyDescent="0.25">
      <c r="BC415" s="434">
        <v>0.6</v>
      </c>
      <c r="BD415" s="432"/>
      <c r="BE415" s="432"/>
      <c r="BF415" s="216">
        <f>BF414*BC415</f>
        <v>1200</v>
      </c>
      <c r="BG415" s="432" t="s">
        <v>128</v>
      </c>
      <c r="BH415" s="432"/>
      <c r="BI415" s="432"/>
      <c r="BJ415" s="432"/>
      <c r="BK415" s="432"/>
      <c r="BL415" s="432" t="s">
        <v>129</v>
      </c>
      <c r="BM415" s="432"/>
      <c r="BN415" s="432"/>
      <c r="BO415" s="432"/>
      <c r="BP415" s="432"/>
      <c r="BQ415" s="432"/>
      <c r="BR415" s="432"/>
      <c r="CD415" s="432" t="s">
        <v>368</v>
      </c>
      <c r="CE415" s="443"/>
      <c r="CF415" s="443"/>
      <c r="CG415" s="443"/>
      <c r="CH415" s="443"/>
      <c r="CI415" s="443"/>
      <c r="CJ415" s="443"/>
      <c r="CK415" s="443"/>
      <c r="CN415" s="432" t="s">
        <v>366</v>
      </c>
      <c r="CO415" s="443"/>
      <c r="CP415" s="443"/>
      <c r="CQ415" s="443"/>
      <c r="CR415" s="443"/>
      <c r="CS415" s="443"/>
      <c r="CT415" s="443"/>
    </row>
    <row r="416" spans="55:98" ht="15" hidden="1" x14ac:dyDescent="0.25">
      <c r="BC416" s="432">
        <v>211</v>
      </c>
      <c r="BD416" s="432"/>
      <c r="BE416" s="432"/>
      <c r="BF416" s="216">
        <f>BF415-BF417</f>
        <v>921.65898617511516</v>
      </c>
      <c r="BG416" s="435">
        <f>BF416*0.2</f>
        <v>184.33179723502303</v>
      </c>
      <c r="BH416" s="435"/>
      <c r="BI416" s="435"/>
      <c r="BJ416" s="435"/>
      <c r="BK416" s="435"/>
      <c r="BL416" s="436">
        <f>BF416-BG416</f>
        <v>737.32718894009213</v>
      </c>
      <c r="BM416" s="445"/>
      <c r="BN416" s="445"/>
      <c r="BO416" s="445"/>
      <c r="BP416" s="445"/>
      <c r="BQ416" s="445"/>
      <c r="BR416" s="445"/>
      <c r="CD416" s="437">
        <f>BG416*15/20-0.01</f>
        <v>138.23884792626728</v>
      </c>
      <c r="CE416" s="446"/>
      <c r="CF416" s="446"/>
      <c r="CG416" s="446"/>
      <c r="CH416" s="446"/>
      <c r="CI416" s="446"/>
      <c r="CJ416" s="446"/>
      <c r="CK416" s="446"/>
      <c r="CN416" s="840">
        <f>BG416*5/20+0.01</f>
        <v>46.092949308755756</v>
      </c>
      <c r="CO416" s="841"/>
      <c r="CP416" s="841"/>
      <c r="CQ416" s="841"/>
      <c r="CR416" s="841"/>
      <c r="CS416" s="841"/>
      <c r="CT416" s="841"/>
    </row>
    <row r="417" spans="55:98" ht="12" hidden="1" x14ac:dyDescent="0.2">
      <c r="BC417" s="432">
        <v>213</v>
      </c>
      <c r="BD417" s="432"/>
      <c r="BE417" s="432"/>
      <c r="BF417" s="216">
        <f>BF415*30.2/130.2</f>
        <v>278.34101382488484</v>
      </c>
      <c r="BG417" s="435">
        <f>BG416*30.2%</f>
        <v>55.668202764976954</v>
      </c>
      <c r="BH417" s="435"/>
      <c r="BI417" s="435"/>
      <c r="BJ417" s="435"/>
      <c r="BK417" s="435"/>
      <c r="BL417" s="435">
        <f>BL416*30.2%</f>
        <v>222.67281105990781</v>
      </c>
      <c r="BM417" s="435"/>
      <c r="BN417" s="435"/>
      <c r="BO417" s="435"/>
      <c r="BP417" s="435"/>
      <c r="BQ417" s="435"/>
      <c r="BR417" s="435"/>
    </row>
    <row r="418" spans="55:98" ht="8.25" hidden="1" customHeight="1" x14ac:dyDescent="0.2"/>
    <row r="419" spans="55:98" ht="8.25" hidden="1" customHeight="1" x14ac:dyDescent="0.2"/>
    <row r="420" spans="55:98" ht="8.25" hidden="1" customHeight="1" x14ac:dyDescent="0.2"/>
    <row r="421" spans="55:98" ht="12" hidden="1" x14ac:dyDescent="0.2">
      <c r="BC421" s="432" t="s">
        <v>650</v>
      </c>
      <c r="BD421" s="432"/>
      <c r="BE421" s="432"/>
      <c r="BF421" s="432"/>
      <c r="BG421" s="432"/>
      <c r="BH421" s="432"/>
      <c r="BI421" s="432"/>
      <c r="BJ421" s="432"/>
      <c r="BK421" s="432"/>
      <c r="BL421" s="432"/>
      <c r="BM421" s="432"/>
      <c r="BN421" s="432"/>
      <c r="BO421" s="432"/>
      <c r="BP421" s="432"/>
      <c r="BQ421" s="432"/>
      <c r="BR421" s="432"/>
      <c r="BS421" s="432"/>
      <c r="BT421" s="432"/>
      <c r="BU421" s="432"/>
      <c r="BV421" s="432"/>
      <c r="BW421" s="432"/>
      <c r="BX421" s="432"/>
      <c r="BY421" s="432"/>
    </row>
    <row r="422" spans="55:98" ht="12" hidden="1" x14ac:dyDescent="0.2">
      <c r="BC422" s="432" t="s">
        <v>126</v>
      </c>
      <c r="BD422" s="432"/>
      <c r="BE422" s="432"/>
      <c r="BF422" s="433">
        <f>200*36</f>
        <v>7200</v>
      </c>
      <c r="BG422" s="433"/>
      <c r="BH422" s="433"/>
      <c r="BI422" s="433"/>
      <c r="BJ422" s="433"/>
      <c r="BK422" s="385" t="s">
        <v>127</v>
      </c>
      <c r="BL422" s="385"/>
      <c r="BM422" s="385"/>
      <c r="BN422" s="385"/>
      <c r="BO422" s="385"/>
      <c r="BP422" s="385"/>
      <c r="BQ422" s="385"/>
      <c r="BR422" s="385"/>
    </row>
    <row r="423" spans="55:98" ht="15" hidden="1" x14ac:dyDescent="0.25">
      <c r="BC423" s="434">
        <v>0.6</v>
      </c>
      <c r="BD423" s="432"/>
      <c r="BE423" s="432"/>
      <c r="BF423" s="216">
        <f>BF422*BC423</f>
        <v>4320</v>
      </c>
      <c r="BG423" s="432" t="s">
        <v>128</v>
      </c>
      <c r="BH423" s="432"/>
      <c r="BI423" s="432"/>
      <c r="BJ423" s="432"/>
      <c r="BK423" s="432"/>
      <c r="BL423" s="432" t="s">
        <v>129</v>
      </c>
      <c r="BM423" s="432"/>
      <c r="BN423" s="432"/>
      <c r="BO423" s="432"/>
      <c r="BP423" s="432"/>
      <c r="BQ423" s="432"/>
      <c r="BR423" s="432"/>
      <c r="CD423" s="432" t="s">
        <v>368</v>
      </c>
      <c r="CE423" s="443"/>
      <c r="CF423" s="443"/>
      <c r="CG423" s="443"/>
      <c r="CH423" s="443"/>
      <c r="CI423" s="443"/>
      <c r="CJ423" s="443"/>
      <c r="CK423" s="443"/>
      <c r="CN423" s="432" t="s">
        <v>366</v>
      </c>
      <c r="CO423" s="443"/>
      <c r="CP423" s="443"/>
      <c r="CQ423" s="443"/>
      <c r="CR423" s="443"/>
      <c r="CS423" s="443"/>
      <c r="CT423" s="443"/>
    </row>
    <row r="424" spans="55:98" ht="15" hidden="1" x14ac:dyDescent="0.25">
      <c r="BC424" s="432">
        <v>211</v>
      </c>
      <c r="BD424" s="432"/>
      <c r="BE424" s="432"/>
      <c r="BF424" s="216">
        <f>BF423-BF425</f>
        <v>3317.9723502304146</v>
      </c>
      <c r="BG424" s="435">
        <f>BF424*0.2</f>
        <v>663.59447004608296</v>
      </c>
      <c r="BH424" s="435"/>
      <c r="BI424" s="435"/>
      <c r="BJ424" s="435"/>
      <c r="BK424" s="435"/>
      <c r="BL424" s="436">
        <f>BF424-BG424</f>
        <v>2654.3778801843318</v>
      </c>
      <c r="BM424" s="445"/>
      <c r="BN424" s="445"/>
      <c r="BO424" s="445"/>
      <c r="BP424" s="445"/>
      <c r="BQ424" s="445"/>
      <c r="BR424" s="445"/>
      <c r="CD424" s="437">
        <f>BG424*15/20-0.01</f>
        <v>497.68585253456229</v>
      </c>
      <c r="CE424" s="446"/>
      <c r="CF424" s="446"/>
      <c r="CG424" s="446"/>
      <c r="CH424" s="446"/>
      <c r="CI424" s="446"/>
      <c r="CJ424" s="446"/>
      <c r="CK424" s="446"/>
      <c r="CN424" s="840">
        <f>BG424*5/20+0.01</f>
        <v>165.90861751152073</v>
      </c>
      <c r="CO424" s="841"/>
      <c r="CP424" s="841"/>
      <c r="CQ424" s="841"/>
      <c r="CR424" s="841"/>
      <c r="CS424" s="841"/>
      <c r="CT424" s="841"/>
    </row>
    <row r="425" spans="55:98" ht="12" hidden="1" x14ac:dyDescent="0.2">
      <c r="BC425" s="432">
        <v>213</v>
      </c>
      <c r="BD425" s="432"/>
      <c r="BE425" s="432"/>
      <c r="BF425" s="216">
        <f>BF423*30.2/130.2</f>
        <v>1002.0276497695853</v>
      </c>
      <c r="BG425" s="435">
        <f>BG424*30.2%</f>
        <v>200.40552995391704</v>
      </c>
      <c r="BH425" s="435"/>
      <c r="BI425" s="435"/>
      <c r="BJ425" s="435"/>
      <c r="BK425" s="435"/>
      <c r="BL425" s="435">
        <f>BL424*30.2%</f>
        <v>801.62211981566816</v>
      </c>
      <c r="BM425" s="435"/>
      <c r="BN425" s="435"/>
      <c r="BO425" s="435"/>
      <c r="BP425" s="435"/>
      <c r="BQ425" s="435"/>
      <c r="BR425" s="435"/>
    </row>
    <row r="426" spans="55:98" ht="8.25" hidden="1" customHeight="1" x14ac:dyDescent="0.2"/>
    <row r="427" spans="55:98" ht="12" x14ac:dyDescent="0.2"/>
    <row r="428" spans="55:98" ht="12" x14ac:dyDescent="0.2">
      <c r="BC428" s="432" t="s">
        <v>688</v>
      </c>
      <c r="BD428" s="432"/>
      <c r="BE428" s="432"/>
      <c r="BF428" s="432"/>
      <c r="BG428" s="432"/>
      <c r="BH428" s="432"/>
      <c r="BI428" s="432"/>
      <c r="BJ428" s="432"/>
      <c r="BK428" s="432"/>
      <c r="BL428" s="432"/>
      <c r="BM428" s="432"/>
      <c r="BN428" s="432"/>
      <c r="BO428" s="432"/>
      <c r="BP428" s="432"/>
      <c r="BQ428" s="432"/>
      <c r="BR428" s="432"/>
      <c r="BS428" s="432"/>
      <c r="BT428" s="432"/>
      <c r="BU428" s="432"/>
      <c r="BV428" s="432"/>
      <c r="BW428" s="432"/>
      <c r="BX428" s="432"/>
      <c r="BY428" s="432"/>
    </row>
    <row r="429" spans="55:98" ht="12" x14ac:dyDescent="0.2">
      <c r="BC429" s="432" t="s">
        <v>126</v>
      </c>
      <c r="BD429" s="432"/>
      <c r="BE429" s="432"/>
      <c r="BF429" s="433">
        <f>250*10</f>
        <v>2500</v>
      </c>
      <c r="BG429" s="433"/>
      <c r="BH429" s="433"/>
      <c r="BI429" s="433"/>
      <c r="BJ429" s="433"/>
      <c r="BK429" s="398" t="s">
        <v>127</v>
      </c>
      <c r="BL429" s="398"/>
      <c r="BM429" s="398"/>
      <c r="BN429" s="398"/>
      <c r="BO429" s="398"/>
      <c r="BP429" s="398"/>
      <c r="BQ429" s="398"/>
      <c r="BR429" s="398"/>
    </row>
    <row r="430" spans="55:98" ht="15" x14ac:dyDescent="0.25">
      <c r="BC430" s="434">
        <v>0.6</v>
      </c>
      <c r="BD430" s="432"/>
      <c r="BE430" s="432"/>
      <c r="BF430" s="216">
        <f>BF429*BC430</f>
        <v>1500</v>
      </c>
      <c r="BG430" s="432" t="s">
        <v>128</v>
      </c>
      <c r="BH430" s="432"/>
      <c r="BI430" s="432"/>
      <c r="BJ430" s="432"/>
      <c r="BK430" s="432"/>
      <c r="BL430" s="432" t="s">
        <v>129</v>
      </c>
      <c r="BM430" s="432"/>
      <c r="BN430" s="432"/>
      <c r="BO430" s="432"/>
      <c r="BP430" s="432"/>
      <c r="BQ430" s="432"/>
      <c r="BR430" s="432"/>
      <c r="CD430" s="432" t="s">
        <v>368</v>
      </c>
      <c r="CE430" s="443"/>
      <c r="CF430" s="443"/>
      <c r="CG430" s="443"/>
      <c r="CH430" s="443"/>
      <c r="CI430" s="443"/>
      <c r="CJ430" s="443"/>
      <c r="CK430" s="443"/>
      <c r="CN430" s="432" t="s">
        <v>366</v>
      </c>
      <c r="CO430" s="443"/>
      <c r="CP430" s="443"/>
      <c r="CQ430" s="443"/>
      <c r="CR430" s="443"/>
      <c r="CS430" s="443"/>
      <c r="CT430" s="443"/>
    </row>
    <row r="431" spans="55:98" ht="15" x14ac:dyDescent="0.25">
      <c r="BC431" s="432">
        <v>211</v>
      </c>
      <c r="BD431" s="432"/>
      <c r="BE431" s="432"/>
      <c r="BF431" s="216">
        <f>BF430-BF432</f>
        <v>1152.073732718894</v>
      </c>
      <c r="BG431" s="435">
        <f>BF431*0.2</f>
        <v>230.41474654377882</v>
      </c>
      <c r="BH431" s="435"/>
      <c r="BI431" s="435"/>
      <c r="BJ431" s="435"/>
      <c r="BK431" s="435"/>
      <c r="BL431" s="436">
        <f>BF431-BG431</f>
        <v>921.65898617511516</v>
      </c>
      <c r="BM431" s="445"/>
      <c r="BN431" s="445"/>
      <c r="BO431" s="445"/>
      <c r="BP431" s="445"/>
      <c r="BQ431" s="445"/>
      <c r="BR431" s="445"/>
      <c r="CD431" s="437">
        <f>BG431*15/20-0.01</f>
        <v>172.80105990783414</v>
      </c>
      <c r="CE431" s="446"/>
      <c r="CF431" s="446"/>
      <c r="CG431" s="446"/>
      <c r="CH431" s="446"/>
      <c r="CI431" s="446"/>
      <c r="CJ431" s="446"/>
      <c r="CK431" s="446"/>
      <c r="CN431" s="840">
        <f>BG431*5/20+0.01</f>
        <v>57.613686635944696</v>
      </c>
      <c r="CO431" s="841"/>
      <c r="CP431" s="841"/>
      <c r="CQ431" s="841"/>
      <c r="CR431" s="841"/>
      <c r="CS431" s="841"/>
      <c r="CT431" s="841"/>
    </row>
    <row r="432" spans="55:98" ht="12" x14ac:dyDescent="0.2">
      <c r="BC432" s="432">
        <v>213</v>
      </c>
      <c r="BD432" s="432"/>
      <c r="BE432" s="432"/>
      <c r="BF432" s="216">
        <f>BF430*30.2/130.2</f>
        <v>347.92626728110599</v>
      </c>
      <c r="BG432" s="435">
        <f>BG431*30.2%</f>
        <v>69.585253456221196</v>
      </c>
      <c r="BH432" s="435"/>
      <c r="BI432" s="435"/>
      <c r="BJ432" s="435"/>
      <c r="BK432" s="435"/>
      <c r="BL432" s="435">
        <f>BL431*30.2%</f>
        <v>278.34101382488478</v>
      </c>
      <c r="BM432" s="435"/>
      <c r="BN432" s="435"/>
      <c r="BO432" s="435"/>
      <c r="BP432" s="435"/>
      <c r="BQ432" s="435"/>
      <c r="BR432" s="435"/>
    </row>
  </sheetData>
  <mergeCells count="920">
    <mergeCell ref="BC417:BE417"/>
    <mergeCell ref="BG417:BK417"/>
    <mergeCell ref="BL417:BR417"/>
    <mergeCell ref="BC413:BY413"/>
    <mergeCell ref="BC414:BE414"/>
    <mergeCell ref="BF414:BJ414"/>
    <mergeCell ref="BC415:BE415"/>
    <mergeCell ref="BG415:BK415"/>
    <mergeCell ref="BL415:BR415"/>
    <mergeCell ref="BG416:BK416"/>
    <mergeCell ref="BL416:BR416"/>
    <mergeCell ref="BC351:BY351"/>
    <mergeCell ref="BC352:BE352"/>
    <mergeCell ref="BF352:BJ352"/>
    <mergeCell ref="BC353:BE353"/>
    <mergeCell ref="CD416:CK416"/>
    <mergeCell ref="CN416:CT416"/>
    <mergeCell ref="CD339:CK339"/>
    <mergeCell ref="CD345:CK345"/>
    <mergeCell ref="BG339:BK339"/>
    <mergeCell ref="BC367:BY367"/>
    <mergeCell ref="BC368:BE368"/>
    <mergeCell ref="BF368:BJ368"/>
    <mergeCell ref="BC369:BE369"/>
    <mergeCell ref="BG369:BK369"/>
    <mergeCell ref="BL369:BR369"/>
    <mergeCell ref="CD369:CK369"/>
    <mergeCell ref="BL339:BR339"/>
    <mergeCell ref="CD361:CK361"/>
    <mergeCell ref="BC363:BE363"/>
    <mergeCell ref="BG363:BK363"/>
    <mergeCell ref="BL363:BR363"/>
    <mergeCell ref="BC360:BE360"/>
    <mergeCell ref="BF360:BJ360"/>
    <mergeCell ref="BC361:BE361"/>
    <mergeCell ref="BC340:BE340"/>
    <mergeCell ref="BG277:BK277"/>
    <mergeCell ref="BL277:BR277"/>
    <mergeCell ref="BC278:BE278"/>
    <mergeCell ref="BG340:BK340"/>
    <mergeCell ref="BL340:BR340"/>
    <mergeCell ref="BC343:BY343"/>
    <mergeCell ref="BC344:BE344"/>
    <mergeCell ref="BF344:BJ344"/>
    <mergeCell ref="CD277:CK277"/>
    <mergeCell ref="CD278:CK278"/>
    <mergeCell ref="BG278:BK278"/>
    <mergeCell ref="BL278:BR278"/>
    <mergeCell ref="BC320:BY320"/>
    <mergeCell ref="BC321:BE321"/>
    <mergeCell ref="BF321:BJ321"/>
    <mergeCell ref="CD284:CK284"/>
    <mergeCell ref="CD300:CK300"/>
    <mergeCell ref="BC302:BE302"/>
    <mergeCell ref="BG302:BK302"/>
    <mergeCell ref="BL302:BR302"/>
    <mergeCell ref="BC300:BE300"/>
    <mergeCell ref="BG300:BK300"/>
    <mergeCell ref="CD292:CK292"/>
    <mergeCell ref="BC298:BY298"/>
    <mergeCell ref="BC299:BE299"/>
    <mergeCell ref="BF299:BJ299"/>
    <mergeCell ref="CD314:CK314"/>
    <mergeCell ref="CN285:CT285"/>
    <mergeCell ref="BC293:BE293"/>
    <mergeCell ref="BG293:BK293"/>
    <mergeCell ref="BL293:BR293"/>
    <mergeCell ref="BC289:BY289"/>
    <mergeCell ref="BC290:BE290"/>
    <mergeCell ref="BF290:BJ290"/>
    <mergeCell ref="BC291:BE291"/>
    <mergeCell ref="BG291:BK291"/>
    <mergeCell ref="BL291:BR291"/>
    <mergeCell ref="BC292:BE292"/>
    <mergeCell ref="BG292:BK292"/>
    <mergeCell ref="BL292:BR292"/>
    <mergeCell ref="CN292:CT292"/>
    <mergeCell ref="BC231:BE231"/>
    <mergeCell ref="BG231:BK231"/>
    <mergeCell ref="BL231:BR231"/>
    <mergeCell ref="BC238:BE238"/>
    <mergeCell ref="BG238:BK238"/>
    <mergeCell ref="BL238:BR238"/>
    <mergeCell ref="BC234:BY234"/>
    <mergeCell ref="BC235:BE235"/>
    <mergeCell ref="BF235:BJ235"/>
    <mergeCell ref="BC236:BE236"/>
    <mergeCell ref="BG236:BK236"/>
    <mergeCell ref="BL236:BR236"/>
    <mergeCell ref="BC237:BE237"/>
    <mergeCell ref="BG237:BK237"/>
    <mergeCell ref="BL237:BR237"/>
    <mergeCell ref="BC245:BE245"/>
    <mergeCell ref="BF276:BJ276"/>
    <mergeCell ref="BC277:BE277"/>
    <mergeCell ref="BG245:BK245"/>
    <mergeCell ref="BC227:BY227"/>
    <mergeCell ref="BC228:BE228"/>
    <mergeCell ref="BF228:BJ228"/>
    <mergeCell ref="BC229:BE229"/>
    <mergeCell ref="BG229:BK229"/>
    <mergeCell ref="BL229:BR229"/>
    <mergeCell ref="BC230:BE230"/>
    <mergeCell ref="BG230:BK230"/>
    <mergeCell ref="BL230:BR230"/>
    <mergeCell ref="BL245:BR245"/>
    <mergeCell ref="BC241:BY241"/>
    <mergeCell ref="BC242:BE242"/>
    <mergeCell ref="BF242:BJ242"/>
    <mergeCell ref="BC243:BE243"/>
    <mergeCell ref="BG243:BK243"/>
    <mergeCell ref="BL243:BR243"/>
    <mergeCell ref="BC244:BE244"/>
    <mergeCell ref="BG244:BK244"/>
    <mergeCell ref="BL244:BR244"/>
    <mergeCell ref="BC248:BY248"/>
    <mergeCell ref="BC224:BE224"/>
    <mergeCell ref="BG224:BK224"/>
    <mergeCell ref="BL224:BR224"/>
    <mergeCell ref="BC220:BY220"/>
    <mergeCell ref="BC221:BE221"/>
    <mergeCell ref="BF221:BJ221"/>
    <mergeCell ref="BC222:BE222"/>
    <mergeCell ref="BG222:BK222"/>
    <mergeCell ref="BL222:BR222"/>
    <mergeCell ref="BC223:BE223"/>
    <mergeCell ref="BG223:BK223"/>
    <mergeCell ref="BL223:BR223"/>
    <mergeCell ref="BC217:BE217"/>
    <mergeCell ref="BG217:BK217"/>
    <mergeCell ref="BL217:BR217"/>
    <mergeCell ref="BC213:BY213"/>
    <mergeCell ref="BC214:BE214"/>
    <mergeCell ref="BF214:BJ214"/>
    <mergeCell ref="BC215:BE215"/>
    <mergeCell ref="BG215:BK215"/>
    <mergeCell ref="BL215:BR215"/>
    <mergeCell ref="BC216:BE216"/>
    <mergeCell ref="BG216:BK216"/>
    <mergeCell ref="BL216:BR216"/>
    <mergeCell ref="BC201:BE201"/>
    <mergeCell ref="BG201:BK201"/>
    <mergeCell ref="BL201:BR201"/>
    <mergeCell ref="BC197:BY197"/>
    <mergeCell ref="BC198:BE198"/>
    <mergeCell ref="BF198:BJ198"/>
    <mergeCell ref="BC199:BE199"/>
    <mergeCell ref="BG199:BK199"/>
    <mergeCell ref="BL199:BR199"/>
    <mergeCell ref="BC200:BE200"/>
    <mergeCell ref="BG200:BK200"/>
    <mergeCell ref="BL200:BR200"/>
    <mergeCell ref="BC194:BE194"/>
    <mergeCell ref="BG194:BK194"/>
    <mergeCell ref="BL194:BR194"/>
    <mergeCell ref="BC177:BE177"/>
    <mergeCell ref="BG177:BK177"/>
    <mergeCell ref="BL177:BR177"/>
    <mergeCell ref="BC173:BY173"/>
    <mergeCell ref="BC174:BE174"/>
    <mergeCell ref="BF174:BJ174"/>
    <mergeCell ref="BC175:BE175"/>
    <mergeCell ref="BG175:BK175"/>
    <mergeCell ref="BL175:BR175"/>
    <mergeCell ref="BC176:BE176"/>
    <mergeCell ref="BG176:BK176"/>
    <mergeCell ref="BL176:BR176"/>
    <mergeCell ref="BC185:BE185"/>
    <mergeCell ref="BG185:BK185"/>
    <mergeCell ref="BL185:BR185"/>
    <mergeCell ref="BC181:BY181"/>
    <mergeCell ref="BC182:BE182"/>
    <mergeCell ref="BF182:BJ182"/>
    <mergeCell ref="BC183:BE183"/>
    <mergeCell ref="BG183:BK183"/>
    <mergeCell ref="BL183:BR183"/>
    <mergeCell ref="BC170:BE170"/>
    <mergeCell ref="BG170:BK170"/>
    <mergeCell ref="BL170:BR170"/>
    <mergeCell ref="BC166:BY166"/>
    <mergeCell ref="BC167:BE167"/>
    <mergeCell ref="BF167:BJ167"/>
    <mergeCell ref="BC168:BE168"/>
    <mergeCell ref="BG168:BK168"/>
    <mergeCell ref="BL168:BR168"/>
    <mergeCell ref="BC169:BE169"/>
    <mergeCell ref="BG169:BK169"/>
    <mergeCell ref="BL169:BR169"/>
    <mergeCell ref="A12:S12"/>
    <mergeCell ref="U12:W12"/>
    <mergeCell ref="A14:S14"/>
    <mergeCell ref="U14:W14"/>
    <mergeCell ref="A16:S16"/>
    <mergeCell ref="U16:W16"/>
    <mergeCell ref="A7:BA7"/>
    <mergeCell ref="A8:BA8"/>
    <mergeCell ref="C10:E10"/>
    <mergeCell ref="G10:L10"/>
    <mergeCell ref="N10:Q10"/>
    <mergeCell ref="AH10:AI10"/>
    <mergeCell ref="AJ10:AL10"/>
    <mergeCell ref="AN10:AT10"/>
    <mergeCell ref="AV10:AY10"/>
    <mergeCell ref="Y16:AA16"/>
    <mergeCell ref="U10:AG10"/>
    <mergeCell ref="AX19:BB19"/>
    <mergeCell ref="A20:G22"/>
    <mergeCell ref="H20:AB22"/>
    <mergeCell ref="AC20:AG22"/>
    <mergeCell ref="AH20:AM22"/>
    <mergeCell ref="AN20:AR22"/>
    <mergeCell ref="AS20:AW22"/>
    <mergeCell ref="AX20:BB22"/>
    <mergeCell ref="H34:M34"/>
    <mergeCell ref="AS34:AW34"/>
    <mergeCell ref="AX34:BB34"/>
    <mergeCell ref="AO35:AR35"/>
    <mergeCell ref="AS35:AW35"/>
    <mergeCell ref="AX35:BB35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H51:K51"/>
    <mergeCell ref="AS51:AW51"/>
    <mergeCell ref="AX51:BB51"/>
    <mergeCell ref="AO52:AR52"/>
    <mergeCell ref="AS52:AW52"/>
    <mergeCell ref="AX52:BB52"/>
    <mergeCell ref="AX37:BB39"/>
    <mergeCell ref="A40:BB4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37:G39"/>
    <mergeCell ref="H37:AB39"/>
    <mergeCell ref="AC37:AG39"/>
    <mergeCell ref="AH37:AM39"/>
    <mergeCell ref="AN37:AR39"/>
    <mergeCell ref="AS37:AW39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AX63:BB67"/>
    <mergeCell ref="H64:M64"/>
    <mergeCell ref="N64:P64"/>
    <mergeCell ref="R64:V64"/>
    <mergeCell ref="I66:K66"/>
    <mergeCell ref="R59:V59"/>
    <mergeCell ref="Z61:AB61"/>
    <mergeCell ref="M66:O66"/>
    <mergeCell ref="Q66:S66"/>
    <mergeCell ref="U66:W66"/>
    <mergeCell ref="Z66:AB66"/>
    <mergeCell ref="H61:X61"/>
    <mergeCell ref="A68:G72"/>
    <mergeCell ref="AC68:AG72"/>
    <mergeCell ref="U71:W71"/>
    <mergeCell ref="Z71:AB71"/>
    <mergeCell ref="A63:G67"/>
    <mergeCell ref="AC63:AG67"/>
    <mergeCell ref="AH73:AM77"/>
    <mergeCell ref="AN73:AR77"/>
    <mergeCell ref="AS73:AW77"/>
    <mergeCell ref="AH63:AM67"/>
    <mergeCell ref="AN63:AR67"/>
    <mergeCell ref="AS63:AW67"/>
    <mergeCell ref="AX73:BB77"/>
    <mergeCell ref="H74:M74"/>
    <mergeCell ref="N74:P74"/>
    <mergeCell ref="R74:V74"/>
    <mergeCell ref="I76:K76"/>
    <mergeCell ref="AH68:AM72"/>
    <mergeCell ref="AN68:AR72"/>
    <mergeCell ref="AS68:AW72"/>
    <mergeCell ref="AX68:BB72"/>
    <mergeCell ref="H69:M69"/>
    <mergeCell ref="N69:P69"/>
    <mergeCell ref="R69:V69"/>
    <mergeCell ref="I71:K71"/>
    <mergeCell ref="M71:O71"/>
    <mergeCell ref="Q71:S71"/>
    <mergeCell ref="M76:O76"/>
    <mergeCell ref="Q76:S76"/>
    <mergeCell ref="U76:W76"/>
    <mergeCell ref="Z76:AB76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AX78:BB82"/>
    <mergeCell ref="H79:M79"/>
    <mergeCell ref="N79:P79"/>
    <mergeCell ref="R79:V79"/>
    <mergeCell ref="I81:K81"/>
    <mergeCell ref="M81:O81"/>
    <mergeCell ref="Q81:S81"/>
    <mergeCell ref="AS83:AW83"/>
    <mergeCell ref="AX83:BB83"/>
    <mergeCell ref="AO84:AR84"/>
    <mergeCell ref="AS84:AW84"/>
    <mergeCell ref="AX84:BB84"/>
    <mergeCell ref="A86:N86"/>
    <mergeCell ref="O86:AN86"/>
    <mergeCell ref="AO86:AU86"/>
    <mergeCell ref="AV86:BB86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103:Z103"/>
    <mergeCell ref="AA103:AF103"/>
    <mergeCell ref="AG103:AL103"/>
    <mergeCell ref="AM103:AT103"/>
    <mergeCell ref="AU103:BB103"/>
    <mergeCell ref="AU106:BB106"/>
    <mergeCell ref="A107:Z107"/>
    <mergeCell ref="AA107:AF107"/>
    <mergeCell ref="AU107:BB107"/>
    <mergeCell ref="A108:Z108"/>
    <mergeCell ref="AA108:AF108"/>
    <mergeCell ref="AU108:BB108"/>
    <mergeCell ref="A104:Z104"/>
    <mergeCell ref="AA104:AF104"/>
    <mergeCell ref="AG104:AL124"/>
    <mergeCell ref="AM104:AT124"/>
    <mergeCell ref="AU104:BB104"/>
    <mergeCell ref="A105:Z105"/>
    <mergeCell ref="AA105:AF105"/>
    <mergeCell ref="AU105:BB105"/>
    <mergeCell ref="A106:Z106"/>
    <mergeCell ref="AA106:AF106"/>
    <mergeCell ref="A111:Z111"/>
    <mergeCell ref="AA111:AF111"/>
    <mergeCell ref="AU111:BB111"/>
    <mergeCell ref="A112:Z112"/>
    <mergeCell ref="AA112:AF112"/>
    <mergeCell ref="AU112:BB112"/>
    <mergeCell ref="A109:Z109"/>
    <mergeCell ref="AA109:AF109"/>
    <mergeCell ref="AU109:BB109"/>
    <mergeCell ref="A110:Z110"/>
    <mergeCell ref="AA110:AF110"/>
    <mergeCell ref="AU110:BB110"/>
    <mergeCell ref="A115:Z115"/>
    <mergeCell ref="AA115:AF115"/>
    <mergeCell ref="AU115:BB115"/>
    <mergeCell ref="A116:Z116"/>
    <mergeCell ref="AA116:AF116"/>
    <mergeCell ref="AU116:BB116"/>
    <mergeCell ref="A113:Z113"/>
    <mergeCell ref="AA113:AF113"/>
    <mergeCell ref="AU113:BB113"/>
    <mergeCell ref="A114:Z114"/>
    <mergeCell ref="AA114:AF114"/>
    <mergeCell ref="AU114:BB114"/>
    <mergeCell ref="A119:Z119"/>
    <mergeCell ref="AA119:AF119"/>
    <mergeCell ref="AU119:BB119"/>
    <mergeCell ref="A120:Z120"/>
    <mergeCell ref="AA120:AF120"/>
    <mergeCell ref="AU120:BB120"/>
    <mergeCell ref="A117:Z117"/>
    <mergeCell ref="AA117:AF117"/>
    <mergeCell ref="AU117:BB117"/>
    <mergeCell ref="A118:Z118"/>
    <mergeCell ref="AA118:AF118"/>
    <mergeCell ref="AU118:BB118"/>
    <mergeCell ref="A123:Z123"/>
    <mergeCell ref="AA123:AF123"/>
    <mergeCell ref="AU123:BB123"/>
    <mergeCell ref="A124:Z124"/>
    <mergeCell ref="AA124:AF124"/>
    <mergeCell ref="AU124:BB124"/>
    <mergeCell ref="A121:Z121"/>
    <mergeCell ref="AA121:AF121"/>
    <mergeCell ref="AU121:BB121"/>
    <mergeCell ref="A122:Z122"/>
    <mergeCell ref="AA122:AF122"/>
    <mergeCell ref="AU122:BB122"/>
    <mergeCell ref="A125:Z125"/>
    <mergeCell ref="AA125:AF125"/>
    <mergeCell ref="AG125:AL125"/>
    <mergeCell ref="AM125:AT125"/>
    <mergeCell ref="AU125:BB125"/>
    <mergeCell ref="A129:Z129"/>
    <mergeCell ref="AA129:AF129"/>
    <mergeCell ref="AG129:AL129"/>
    <mergeCell ref="AM129:AT129"/>
    <mergeCell ref="AU129:BB129"/>
    <mergeCell ref="A132:Z132"/>
    <mergeCell ref="AA132:AF132"/>
    <mergeCell ref="AU132:BB132"/>
    <mergeCell ref="A133:Z133"/>
    <mergeCell ref="AA133:AF133"/>
    <mergeCell ref="AU133:BB133"/>
    <mergeCell ref="A130:Z130"/>
    <mergeCell ref="AA130:AF130"/>
    <mergeCell ref="AG130:AL130"/>
    <mergeCell ref="AM130:AT130"/>
    <mergeCell ref="AU130:BB130"/>
    <mergeCell ref="A131:Z131"/>
    <mergeCell ref="AA131:AF131"/>
    <mergeCell ref="AG131:AL136"/>
    <mergeCell ref="AM131:AT136"/>
    <mergeCell ref="AU131:BB131"/>
    <mergeCell ref="A136:Z136"/>
    <mergeCell ref="AA136:AF136"/>
    <mergeCell ref="AU136:BB136"/>
    <mergeCell ref="A137:Z137"/>
    <mergeCell ref="AA137:AF137"/>
    <mergeCell ref="AG137:AL137"/>
    <mergeCell ref="AM137:AT137"/>
    <mergeCell ref="AU137:BB137"/>
    <mergeCell ref="A134:Z134"/>
    <mergeCell ref="AA134:AF134"/>
    <mergeCell ref="AU134:BB134"/>
    <mergeCell ref="A135:Z135"/>
    <mergeCell ref="AA135:AF135"/>
    <mergeCell ref="AU135:BB135"/>
    <mergeCell ref="AD141:AP141"/>
    <mergeCell ref="AQ141:AT141"/>
    <mergeCell ref="AU141:AX141"/>
    <mergeCell ref="AY141:BB141"/>
    <mergeCell ref="H142:L142"/>
    <mergeCell ref="M142:Q142"/>
    <mergeCell ref="AD142:AI142"/>
    <mergeCell ref="AJ142:AP142"/>
    <mergeCell ref="AQ142:AT142"/>
    <mergeCell ref="AU142:AX142"/>
    <mergeCell ref="H141:L141"/>
    <mergeCell ref="M141:Q141"/>
    <mergeCell ref="R141:U142"/>
    <mergeCell ref="V141:Y142"/>
    <mergeCell ref="Z141:AC142"/>
    <mergeCell ref="AY142:BB142"/>
    <mergeCell ref="A143:G143"/>
    <mergeCell ref="H143:L143"/>
    <mergeCell ref="M143:Q143"/>
    <mergeCell ref="R143:U143"/>
    <mergeCell ref="V143:Y143"/>
    <mergeCell ref="Z143:AC143"/>
    <mergeCell ref="AD143:AI143"/>
    <mergeCell ref="AJ143:AP143"/>
    <mergeCell ref="AQ143:AT143"/>
    <mergeCell ref="A141:G142"/>
    <mergeCell ref="AU143:AX143"/>
    <mergeCell ref="AY143:BB143"/>
    <mergeCell ref="A144:G144"/>
    <mergeCell ref="H144:L144"/>
    <mergeCell ref="M144:Q144"/>
    <mergeCell ref="R144:U147"/>
    <mergeCell ref="V144:Y147"/>
    <mergeCell ref="Z144:AC147"/>
    <mergeCell ref="AD144:AI144"/>
    <mergeCell ref="AJ144:AP144"/>
    <mergeCell ref="AQ144:AT144"/>
    <mergeCell ref="AU144:AX144"/>
    <mergeCell ref="AY144:BB144"/>
    <mergeCell ref="A145:G145"/>
    <mergeCell ref="H145:L145"/>
    <mergeCell ref="M145:Q145"/>
    <mergeCell ref="AD145:AI145"/>
    <mergeCell ref="AJ145:AP145"/>
    <mergeCell ref="AQ145:AT145"/>
    <mergeCell ref="AU145:AX145"/>
    <mergeCell ref="AY145:BB145"/>
    <mergeCell ref="A146:G146"/>
    <mergeCell ref="H146:L146"/>
    <mergeCell ref="M146:Q146"/>
    <mergeCell ref="AD146:AI146"/>
    <mergeCell ref="AJ146:AP146"/>
    <mergeCell ref="AQ146:AT146"/>
    <mergeCell ref="AU146:AX146"/>
    <mergeCell ref="AY146:BB146"/>
    <mergeCell ref="AU147:AX147"/>
    <mergeCell ref="AY147:BB147"/>
    <mergeCell ref="A148:G148"/>
    <mergeCell ref="H148:L148"/>
    <mergeCell ref="M148:Q148"/>
    <mergeCell ref="R148:U148"/>
    <mergeCell ref="V148:Y148"/>
    <mergeCell ref="Z148:AC148"/>
    <mergeCell ref="AD148:AI148"/>
    <mergeCell ref="AJ148:AP148"/>
    <mergeCell ref="A147:G147"/>
    <mergeCell ref="H147:L147"/>
    <mergeCell ref="M147:Q147"/>
    <mergeCell ref="AD147:AI147"/>
    <mergeCell ref="AJ147:AP147"/>
    <mergeCell ref="AQ147:AT147"/>
    <mergeCell ref="AQ148:AT148"/>
    <mergeCell ref="AU148:AX148"/>
    <mergeCell ref="AY148:BB148"/>
    <mergeCell ref="A149:F149"/>
    <mergeCell ref="H149:L149"/>
    <mergeCell ref="M149:Q149"/>
    <mergeCell ref="R149:U149"/>
    <mergeCell ref="V149:Y149"/>
    <mergeCell ref="Z149:AC149"/>
    <mergeCell ref="AD149:AI149"/>
    <mergeCell ref="AJ149:AP149"/>
    <mergeCell ref="AQ149:AT149"/>
    <mergeCell ref="AU149:AX149"/>
    <mergeCell ref="AY149:BB149"/>
    <mergeCell ref="B154:S155"/>
    <mergeCell ref="AM154:BC155"/>
    <mergeCell ref="AD150:AI150"/>
    <mergeCell ref="AJ150:AP150"/>
    <mergeCell ref="AQ150:AT150"/>
    <mergeCell ref="AU150:AX150"/>
    <mergeCell ref="AY150:BB150"/>
    <mergeCell ref="BC151:BD151"/>
    <mergeCell ref="A150:G150"/>
    <mergeCell ref="H150:L150"/>
    <mergeCell ref="M150:Q150"/>
    <mergeCell ref="R150:U150"/>
    <mergeCell ref="V150:Y150"/>
    <mergeCell ref="Z150:AC150"/>
    <mergeCell ref="BC152:BD152"/>
    <mergeCell ref="B153:S153"/>
    <mergeCell ref="AM153:BD153"/>
    <mergeCell ref="BC162:BE162"/>
    <mergeCell ref="BG162:BK162"/>
    <mergeCell ref="BL162:BR162"/>
    <mergeCell ref="BC158:BY158"/>
    <mergeCell ref="BC159:BE159"/>
    <mergeCell ref="BF159:BJ159"/>
    <mergeCell ref="BC160:BE160"/>
    <mergeCell ref="BG160:BK160"/>
    <mergeCell ref="BL160:BR160"/>
    <mergeCell ref="BC161:BE161"/>
    <mergeCell ref="BG161:BK161"/>
    <mergeCell ref="BL161:BR161"/>
    <mergeCell ref="BC184:BE184"/>
    <mergeCell ref="BG184:BK184"/>
    <mergeCell ref="BL184:BR184"/>
    <mergeCell ref="BC193:BE193"/>
    <mergeCell ref="BG193:BK193"/>
    <mergeCell ref="BL193:BR193"/>
    <mergeCell ref="BC189:BY189"/>
    <mergeCell ref="BC191:BE191"/>
    <mergeCell ref="BC192:BE192"/>
    <mergeCell ref="BG192:BK192"/>
    <mergeCell ref="BL192:BR192"/>
    <mergeCell ref="BC190:BY190"/>
    <mergeCell ref="BF191:BJ191"/>
    <mergeCell ref="BC209:BE209"/>
    <mergeCell ref="BG209:BK209"/>
    <mergeCell ref="BL209:BR209"/>
    <mergeCell ref="BC205:BY205"/>
    <mergeCell ref="BC206:BE206"/>
    <mergeCell ref="BF206:BJ206"/>
    <mergeCell ref="BC207:BE207"/>
    <mergeCell ref="BG207:BK207"/>
    <mergeCell ref="BL207:BR207"/>
    <mergeCell ref="BC208:BE208"/>
    <mergeCell ref="BG208:BK208"/>
    <mergeCell ref="BL208:BR208"/>
    <mergeCell ref="BC249:BE249"/>
    <mergeCell ref="BF249:BJ249"/>
    <mergeCell ref="BC250:BE250"/>
    <mergeCell ref="BG250:BK250"/>
    <mergeCell ref="BL250:BR250"/>
    <mergeCell ref="BC251:BE251"/>
    <mergeCell ref="BG251:BK251"/>
    <mergeCell ref="BL251:BR251"/>
    <mergeCell ref="BC252:BE252"/>
    <mergeCell ref="BG252:BK252"/>
    <mergeCell ref="BL252:BR252"/>
    <mergeCell ref="BC255:BY255"/>
    <mergeCell ref="BC256:BE256"/>
    <mergeCell ref="BF256:BJ256"/>
    <mergeCell ref="BC257:BE257"/>
    <mergeCell ref="BG257:BK257"/>
    <mergeCell ref="BL257:BR257"/>
    <mergeCell ref="BC264:BE264"/>
    <mergeCell ref="BG264:BK264"/>
    <mergeCell ref="BL264:BR264"/>
    <mergeCell ref="BC268:BY268"/>
    <mergeCell ref="BC269:BE269"/>
    <mergeCell ref="BF269:BJ269"/>
    <mergeCell ref="BC270:BE270"/>
    <mergeCell ref="BG270:BK270"/>
    <mergeCell ref="BC258:BE258"/>
    <mergeCell ref="BG258:BK258"/>
    <mergeCell ref="BL258:BR258"/>
    <mergeCell ref="BC259:BE259"/>
    <mergeCell ref="BG259:BK259"/>
    <mergeCell ref="BL259:BR259"/>
    <mergeCell ref="BC260:BY260"/>
    <mergeCell ref="BC261:BE261"/>
    <mergeCell ref="BF261:BJ261"/>
    <mergeCell ref="BC262:BE262"/>
    <mergeCell ref="BG262:BK262"/>
    <mergeCell ref="BL262:BR262"/>
    <mergeCell ref="BC263:BE263"/>
    <mergeCell ref="BG263:BK263"/>
    <mergeCell ref="BL263:BR263"/>
    <mergeCell ref="BL270:BR270"/>
    <mergeCell ref="BG272:BK272"/>
    <mergeCell ref="BL272:BR272"/>
    <mergeCell ref="CD291:CK291"/>
    <mergeCell ref="CN291:CT291"/>
    <mergeCell ref="BC279:BE279"/>
    <mergeCell ref="BG279:BK279"/>
    <mergeCell ref="BL279:BR279"/>
    <mergeCell ref="BC286:BE286"/>
    <mergeCell ref="BG286:BK286"/>
    <mergeCell ref="BL286:BR286"/>
    <mergeCell ref="BC282:BY282"/>
    <mergeCell ref="BC283:BE283"/>
    <mergeCell ref="BF283:BJ283"/>
    <mergeCell ref="BC284:BE284"/>
    <mergeCell ref="BG284:BK284"/>
    <mergeCell ref="CN277:CT277"/>
    <mergeCell ref="CN278:CT278"/>
    <mergeCell ref="BC275:BY275"/>
    <mergeCell ref="BC276:BE276"/>
    <mergeCell ref="CN284:CT284"/>
    <mergeCell ref="BC285:BE285"/>
    <mergeCell ref="BG285:BK285"/>
    <mergeCell ref="BL285:BR285"/>
    <mergeCell ref="CD285:CK285"/>
    <mergeCell ref="CN314:CT314"/>
    <mergeCell ref="BC315:BE315"/>
    <mergeCell ref="BG315:BK315"/>
    <mergeCell ref="BL315:BR315"/>
    <mergeCell ref="CD315:CK315"/>
    <mergeCell ref="CN315:CT315"/>
    <mergeCell ref="BL300:BR300"/>
    <mergeCell ref="BC312:BY312"/>
    <mergeCell ref="BC313:BE313"/>
    <mergeCell ref="BF313:BJ313"/>
    <mergeCell ref="BC314:BE314"/>
    <mergeCell ref="BG314:BK314"/>
    <mergeCell ref="BL314:BR314"/>
    <mergeCell ref="CN300:CT300"/>
    <mergeCell ref="BC301:BE301"/>
    <mergeCell ref="BG301:BK301"/>
    <mergeCell ref="BL301:BR301"/>
    <mergeCell ref="CD301:CK301"/>
    <mergeCell ref="CN301:CT301"/>
    <mergeCell ref="CN338:CT338"/>
    <mergeCell ref="BL331:BR331"/>
    <mergeCell ref="CD331:CK331"/>
    <mergeCell ref="CN331:CT331"/>
    <mergeCell ref="BC324:BE324"/>
    <mergeCell ref="BG324:BK324"/>
    <mergeCell ref="BL324:BR324"/>
    <mergeCell ref="BC332:BE332"/>
    <mergeCell ref="BG332:BK332"/>
    <mergeCell ref="BL332:BR332"/>
    <mergeCell ref="BC328:BY328"/>
    <mergeCell ref="BC329:BE329"/>
    <mergeCell ref="BF329:BJ329"/>
    <mergeCell ref="BC330:BE330"/>
    <mergeCell ref="BG330:BK330"/>
    <mergeCell ref="BL330:BR330"/>
    <mergeCell ref="BL338:BR338"/>
    <mergeCell ref="CD338:CK338"/>
    <mergeCell ref="CN339:CT339"/>
    <mergeCell ref="BC316:BE316"/>
    <mergeCell ref="BG316:BK316"/>
    <mergeCell ref="BL316:BR316"/>
    <mergeCell ref="BC322:BE322"/>
    <mergeCell ref="BG322:BK322"/>
    <mergeCell ref="BL322:BR322"/>
    <mergeCell ref="CD322:CK322"/>
    <mergeCell ref="CN322:CT322"/>
    <mergeCell ref="BC323:BE323"/>
    <mergeCell ref="BG323:BK323"/>
    <mergeCell ref="BL323:BR323"/>
    <mergeCell ref="CD323:CK323"/>
    <mergeCell ref="CN323:CT323"/>
    <mergeCell ref="CD330:CK330"/>
    <mergeCell ref="CN330:CT330"/>
    <mergeCell ref="BC331:BE331"/>
    <mergeCell ref="BG331:BK331"/>
    <mergeCell ref="BC336:BY336"/>
    <mergeCell ref="BC337:BE337"/>
    <mergeCell ref="BF337:BJ337"/>
    <mergeCell ref="BC338:BE338"/>
    <mergeCell ref="BG338:BK338"/>
    <mergeCell ref="BC339:BE339"/>
    <mergeCell ref="CD353:CK353"/>
    <mergeCell ref="CN353:CT353"/>
    <mergeCell ref="BC354:BE354"/>
    <mergeCell ref="BG354:BK354"/>
    <mergeCell ref="BL354:BR354"/>
    <mergeCell ref="CD354:CK354"/>
    <mergeCell ref="CN354:CT354"/>
    <mergeCell ref="CD385:CK385"/>
    <mergeCell ref="CD370:CK370"/>
    <mergeCell ref="BC359:BY359"/>
    <mergeCell ref="BC355:BE355"/>
    <mergeCell ref="BG355:BK355"/>
    <mergeCell ref="BL355:BR355"/>
    <mergeCell ref="BG361:BK361"/>
    <mergeCell ref="BL361:BR361"/>
    <mergeCell ref="BG353:BK353"/>
    <mergeCell ref="BL353:BR353"/>
    <mergeCell ref="CN370:CT370"/>
    <mergeCell ref="BC371:BE371"/>
    <mergeCell ref="BG371:BK371"/>
    <mergeCell ref="BL371:BR371"/>
    <mergeCell ref="BC379:BE379"/>
    <mergeCell ref="BG379:BK379"/>
    <mergeCell ref="BL379:BR379"/>
    <mergeCell ref="CN345:CT345"/>
    <mergeCell ref="BC346:BE346"/>
    <mergeCell ref="BG346:BK346"/>
    <mergeCell ref="BL346:BR346"/>
    <mergeCell ref="CD346:CK346"/>
    <mergeCell ref="CN346:CT346"/>
    <mergeCell ref="BC347:BE347"/>
    <mergeCell ref="BG347:BK347"/>
    <mergeCell ref="BL347:BR347"/>
    <mergeCell ref="BC345:BE345"/>
    <mergeCell ref="BG345:BK345"/>
    <mergeCell ref="BL345:BR345"/>
    <mergeCell ref="BC375:BY375"/>
    <mergeCell ref="BC376:BE376"/>
    <mergeCell ref="CD386:CK386"/>
    <mergeCell ref="CN386:CT386"/>
    <mergeCell ref="CN361:CT361"/>
    <mergeCell ref="BC362:BE362"/>
    <mergeCell ref="BG362:BK362"/>
    <mergeCell ref="BL362:BR362"/>
    <mergeCell ref="CD362:CK362"/>
    <mergeCell ref="CN362:CT362"/>
    <mergeCell ref="CD377:CK377"/>
    <mergeCell ref="CN377:CT377"/>
    <mergeCell ref="BC378:BE378"/>
    <mergeCell ref="BG378:BK378"/>
    <mergeCell ref="BL378:BR378"/>
    <mergeCell ref="CD378:CK378"/>
    <mergeCell ref="CN378:CT378"/>
    <mergeCell ref="CN369:CT369"/>
    <mergeCell ref="BC370:BE370"/>
    <mergeCell ref="BG370:BK370"/>
    <mergeCell ref="BL370:BR370"/>
    <mergeCell ref="BF376:BJ376"/>
    <mergeCell ref="BC377:BE377"/>
    <mergeCell ref="BG377:BK377"/>
    <mergeCell ref="BL401:BR401"/>
    <mergeCell ref="BC397:BY397"/>
    <mergeCell ref="BL377:BR377"/>
    <mergeCell ref="CN385:CT385"/>
    <mergeCell ref="CD392:CK392"/>
    <mergeCell ref="CN392:CT392"/>
    <mergeCell ref="BC393:BE393"/>
    <mergeCell ref="BG393:BK393"/>
    <mergeCell ref="BL393:BR393"/>
    <mergeCell ref="CD393:CK393"/>
    <mergeCell ref="CN393:CT393"/>
    <mergeCell ref="BC387:BE387"/>
    <mergeCell ref="BG387:BK387"/>
    <mergeCell ref="BL387:BR387"/>
    <mergeCell ref="BC390:BY390"/>
    <mergeCell ref="BC391:BE391"/>
    <mergeCell ref="BF391:BJ391"/>
    <mergeCell ref="BC392:BE392"/>
    <mergeCell ref="BG392:BK392"/>
    <mergeCell ref="BL392:BR392"/>
    <mergeCell ref="BC385:BE385"/>
    <mergeCell ref="BG385:BK385"/>
    <mergeCell ref="BC424:BE424"/>
    <mergeCell ref="BG424:BK424"/>
    <mergeCell ref="BL424:BR424"/>
    <mergeCell ref="CD424:CK424"/>
    <mergeCell ref="CN424:CT424"/>
    <mergeCell ref="BC398:BE398"/>
    <mergeCell ref="BF398:BJ398"/>
    <mergeCell ref="BC399:BE399"/>
    <mergeCell ref="BC409:BE409"/>
    <mergeCell ref="BG409:BK409"/>
    <mergeCell ref="BL409:BR409"/>
    <mergeCell ref="BC405:BY405"/>
    <mergeCell ref="BC406:BE406"/>
    <mergeCell ref="BF406:BJ406"/>
    <mergeCell ref="BC407:BE407"/>
    <mergeCell ref="BG407:BK407"/>
    <mergeCell ref="BL407:BR407"/>
    <mergeCell ref="BG399:BK399"/>
    <mergeCell ref="BL399:BR399"/>
    <mergeCell ref="CD415:CK415"/>
    <mergeCell ref="CN415:CT415"/>
    <mergeCell ref="BC416:BE416"/>
    <mergeCell ref="CD407:CK407"/>
    <mergeCell ref="CN407:CT407"/>
    <mergeCell ref="BC271:BE271"/>
    <mergeCell ref="BG271:BK271"/>
    <mergeCell ref="BL271:BR271"/>
    <mergeCell ref="BL284:BR284"/>
    <mergeCell ref="BC272:BE272"/>
    <mergeCell ref="CD423:CK423"/>
    <mergeCell ref="CN423:CT423"/>
    <mergeCell ref="BC408:BE408"/>
    <mergeCell ref="BG408:BK408"/>
    <mergeCell ref="BL408:BR408"/>
    <mergeCell ref="CD408:CK408"/>
    <mergeCell ref="CN408:CT408"/>
    <mergeCell ref="BC394:BE394"/>
    <mergeCell ref="BG394:BK394"/>
    <mergeCell ref="BL394:BR394"/>
    <mergeCell ref="CD399:CK399"/>
    <mergeCell ref="CN399:CT399"/>
    <mergeCell ref="BC400:BE400"/>
    <mergeCell ref="BG400:BK400"/>
    <mergeCell ref="BL400:BR400"/>
    <mergeCell ref="CD400:CK400"/>
    <mergeCell ref="CN400:CT400"/>
    <mergeCell ref="BC401:BE401"/>
    <mergeCell ref="BG401:BK401"/>
    <mergeCell ref="CD430:CK430"/>
    <mergeCell ref="CN430:CT430"/>
    <mergeCell ref="BC431:BE431"/>
    <mergeCell ref="BG431:BK431"/>
    <mergeCell ref="BL431:BR431"/>
    <mergeCell ref="CD431:CK431"/>
    <mergeCell ref="CN431:CT431"/>
    <mergeCell ref="AQ2:BC2"/>
    <mergeCell ref="BC425:BE425"/>
    <mergeCell ref="BG425:BK425"/>
    <mergeCell ref="BL425:BR425"/>
    <mergeCell ref="BC421:BY421"/>
    <mergeCell ref="BC422:BE422"/>
    <mergeCell ref="BF422:BJ422"/>
    <mergeCell ref="BC423:BE423"/>
    <mergeCell ref="BG423:BK423"/>
    <mergeCell ref="BL423:BR423"/>
    <mergeCell ref="BC386:BE386"/>
    <mergeCell ref="BG386:BK386"/>
    <mergeCell ref="BL386:BR386"/>
    <mergeCell ref="BL385:BR385"/>
    <mergeCell ref="BC383:BY383"/>
    <mergeCell ref="BC384:BE384"/>
    <mergeCell ref="BF384:BJ384"/>
    <mergeCell ref="BC432:BE432"/>
    <mergeCell ref="BG432:BK432"/>
    <mergeCell ref="BL432:BR432"/>
    <mergeCell ref="BC428:BY428"/>
    <mergeCell ref="BC429:BE429"/>
    <mergeCell ref="BF429:BJ429"/>
    <mergeCell ref="BC430:BE430"/>
    <mergeCell ref="BG430:BK430"/>
    <mergeCell ref="BL430:BR430"/>
  </mergeCells>
  <pageMargins left="0" right="0" top="0" bottom="0" header="0.31496062992125984" footer="0.31496062992125984"/>
  <pageSetup paperSize="9" scale="74" fitToHeight="0"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CP347"/>
  <sheetViews>
    <sheetView topLeftCell="A149" zoomScaleNormal="100" workbookViewId="0">
      <selection activeCell="CE346" sqref="CE346:CH346"/>
    </sheetView>
  </sheetViews>
  <sheetFormatPr defaultColWidth="1.85546875" defaultRowHeight="8.25" customHeight="1" x14ac:dyDescent="0.2"/>
  <cols>
    <col min="1" max="6" width="1.85546875" style="4"/>
    <col min="7" max="7" width="6.85546875" style="4" customWidth="1"/>
    <col min="8" max="16" width="1.85546875" style="4"/>
    <col min="17" max="17" width="1.85546875" style="4" customWidth="1"/>
    <col min="18" max="20" width="1.85546875" style="4"/>
    <col min="21" max="21" width="4.42578125" style="4" customWidth="1"/>
    <col min="22" max="23" width="1.85546875" style="4"/>
    <col min="24" max="24" width="3.140625" style="4" customWidth="1"/>
    <col min="25" max="25" width="1.85546875" style="4"/>
    <col min="26" max="26" width="9.85546875" style="4" bestFit="1" customWidth="1"/>
    <col min="27" max="27" width="4.28515625" style="4" customWidth="1"/>
    <col min="28" max="38" width="1.85546875" style="4"/>
    <col min="39" max="39" width="2" style="4" customWidth="1"/>
    <col min="40" max="44" width="1.85546875" style="4"/>
    <col min="45" max="45" width="5.85546875" style="4" customWidth="1"/>
    <col min="46" max="46" width="2.28515625" style="4" customWidth="1"/>
    <col min="47" max="47" width="1.85546875" style="4"/>
    <col min="48" max="48" width="5.28515625" style="4" customWidth="1"/>
    <col min="49" max="51" width="1.85546875" style="4"/>
    <col min="52" max="52" width="2.28515625" style="4" customWidth="1"/>
    <col min="53" max="53" width="1.85546875" style="4"/>
    <col min="54" max="54" width="4.42578125" style="4" customWidth="1"/>
    <col min="55" max="55" width="4.5703125" style="4" customWidth="1"/>
    <col min="56" max="56" width="4.7109375" style="4" customWidth="1"/>
    <col min="57" max="57" width="17.42578125" style="4" customWidth="1"/>
    <col min="58" max="58" width="9.7109375" style="4" customWidth="1"/>
    <col min="59" max="59" width="10.140625" style="4" customWidth="1"/>
    <col min="60" max="60" width="10.42578125" style="4" customWidth="1"/>
    <col min="61" max="61" width="8.140625" style="4" customWidth="1"/>
    <col min="62" max="85" width="1.85546875" style="4" customWidth="1"/>
    <col min="86" max="86" width="6.28515625" style="4" customWidth="1"/>
    <col min="87" max="16384" width="1.85546875" style="4"/>
  </cols>
  <sheetData>
    <row r="1" spans="1:55" s="1" customFormat="1" ht="15" customHeight="1" x14ac:dyDescent="0.25">
      <c r="AW1" s="1" t="s">
        <v>83</v>
      </c>
    </row>
    <row r="2" spans="1:55" s="1" customFormat="1" ht="13.5" customHeight="1" x14ac:dyDescent="0.25">
      <c r="AQ2" s="915" t="s">
        <v>680</v>
      </c>
      <c r="AR2" s="915"/>
      <c r="AS2" s="915"/>
      <c r="AT2" s="916"/>
      <c r="AU2" s="916"/>
      <c r="AV2" s="916"/>
      <c r="AW2" s="916"/>
      <c r="AX2" s="916"/>
      <c r="AY2" s="916"/>
      <c r="AZ2" s="916"/>
      <c r="BA2" s="916"/>
      <c r="BB2" s="916"/>
      <c r="BC2" s="916"/>
    </row>
    <row r="3" spans="1:55" s="1" customFormat="1" ht="15" customHeight="1" x14ac:dyDescent="0.25">
      <c r="AQ3" s="1" t="s">
        <v>91</v>
      </c>
    </row>
    <row r="4" spans="1:55" s="1" customFormat="1" ht="5.0999999999999996" customHeight="1" x14ac:dyDescent="0.25"/>
    <row r="5" spans="1:55" s="1" customFormat="1" ht="15" customHeight="1" x14ac:dyDescent="0.25">
      <c r="AM5" s="3"/>
      <c r="AN5" s="3"/>
      <c r="AO5" s="3"/>
      <c r="AP5" s="3"/>
      <c r="AQ5" s="2"/>
      <c r="AR5" s="2"/>
      <c r="AS5" s="2"/>
      <c r="AT5" s="2"/>
      <c r="AU5" s="2"/>
      <c r="AV5" s="2"/>
      <c r="AW5" s="2" t="s">
        <v>660</v>
      </c>
      <c r="AX5" s="1" t="s">
        <v>222</v>
      </c>
    </row>
    <row r="6" spans="1:55" s="1" customFormat="1" ht="9.9499999999999993" customHeight="1" x14ac:dyDescent="0.25">
      <c r="AK6" s="3"/>
      <c r="AL6" s="3"/>
      <c r="AM6" s="3"/>
      <c r="AN6" s="3"/>
      <c r="AO6" s="3"/>
      <c r="AP6" s="3"/>
      <c r="AQ6" s="3"/>
      <c r="AR6" s="3"/>
    </row>
    <row r="7" spans="1:55" s="1" customFormat="1" ht="15" customHeight="1" x14ac:dyDescent="0.25">
      <c r="A7" s="1302" t="s">
        <v>0</v>
      </c>
      <c r="B7" s="1302"/>
      <c r="C7" s="1302"/>
      <c r="D7" s="1302"/>
      <c r="E7" s="1302"/>
      <c r="F7" s="1302"/>
      <c r="G7" s="1302"/>
      <c r="H7" s="1302"/>
      <c r="I7" s="1302"/>
      <c r="J7" s="1302"/>
      <c r="K7" s="1302"/>
      <c r="L7" s="1302"/>
      <c r="M7" s="1302"/>
      <c r="N7" s="1302"/>
      <c r="O7" s="1302"/>
      <c r="P7" s="1302"/>
      <c r="Q7" s="1302"/>
      <c r="R7" s="1302"/>
      <c r="S7" s="1302"/>
      <c r="T7" s="1302"/>
      <c r="U7" s="1302"/>
      <c r="V7" s="1302"/>
      <c r="W7" s="1302"/>
      <c r="X7" s="1302"/>
      <c r="Y7" s="1302"/>
      <c r="Z7" s="1302"/>
      <c r="AA7" s="1302"/>
      <c r="AB7" s="1302"/>
      <c r="AC7" s="1302"/>
      <c r="AD7" s="1302"/>
      <c r="AE7" s="1302"/>
      <c r="AF7" s="1302"/>
      <c r="AG7" s="1302"/>
      <c r="AH7" s="1302"/>
      <c r="AI7" s="1302"/>
      <c r="AJ7" s="1302"/>
      <c r="AK7" s="1302"/>
      <c r="AL7" s="1302"/>
      <c r="AM7" s="1302"/>
      <c r="AN7" s="1302"/>
      <c r="AO7" s="1302"/>
      <c r="AP7" s="1302"/>
      <c r="AQ7" s="1302"/>
      <c r="AR7" s="1302"/>
      <c r="AS7" s="1302"/>
      <c r="AT7" s="1302"/>
      <c r="AU7" s="1302"/>
      <c r="AV7" s="1302"/>
      <c r="AW7" s="1302"/>
      <c r="AX7" s="1302"/>
      <c r="AY7" s="1302"/>
      <c r="AZ7" s="1302"/>
      <c r="BA7" s="1302"/>
    </row>
    <row r="8" spans="1:55" s="1" customFormat="1" ht="15" customHeight="1" x14ac:dyDescent="0.25">
      <c r="A8" s="1302" t="s">
        <v>140</v>
      </c>
      <c r="B8" s="1302"/>
      <c r="C8" s="1302"/>
      <c r="D8" s="1302"/>
      <c r="E8" s="1302"/>
      <c r="F8" s="1302"/>
      <c r="G8" s="1302"/>
      <c r="H8" s="1302"/>
      <c r="I8" s="1302"/>
      <c r="J8" s="1302"/>
      <c r="K8" s="1302"/>
      <c r="L8" s="1302"/>
      <c r="M8" s="1302"/>
      <c r="N8" s="1302"/>
      <c r="O8" s="1302"/>
      <c r="P8" s="1302"/>
      <c r="Q8" s="1302"/>
      <c r="R8" s="1302"/>
      <c r="S8" s="1302"/>
      <c r="T8" s="1302"/>
      <c r="U8" s="1302"/>
      <c r="V8" s="1302"/>
      <c r="W8" s="1302"/>
      <c r="X8" s="1302"/>
      <c r="Y8" s="1302"/>
      <c r="Z8" s="1302"/>
      <c r="AA8" s="1302"/>
      <c r="AB8" s="1302"/>
      <c r="AC8" s="1302"/>
      <c r="AD8" s="1302"/>
      <c r="AE8" s="1302"/>
      <c r="AF8" s="1302"/>
      <c r="AG8" s="1302"/>
      <c r="AH8" s="1302"/>
      <c r="AI8" s="1302"/>
      <c r="AJ8" s="1302"/>
      <c r="AK8" s="1302"/>
      <c r="AL8" s="1302"/>
      <c r="AM8" s="1302"/>
      <c r="AN8" s="1302"/>
      <c r="AO8" s="1302"/>
      <c r="AP8" s="1302"/>
      <c r="AQ8" s="1302"/>
      <c r="AR8" s="1302"/>
      <c r="AS8" s="1302"/>
      <c r="AT8" s="1302"/>
      <c r="AU8" s="1302"/>
      <c r="AV8" s="1302"/>
      <c r="AW8" s="1302"/>
      <c r="AX8" s="1302"/>
      <c r="AY8" s="1302"/>
      <c r="AZ8" s="1302"/>
      <c r="BA8" s="1302"/>
    </row>
    <row r="9" spans="1:55" s="1" customFormat="1" ht="9" customHeight="1" x14ac:dyDescent="0.25">
      <c r="A9" s="119"/>
      <c r="B9" s="119"/>
      <c r="C9" s="119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</row>
    <row r="10" spans="1:55" s="81" customFormat="1" ht="15" x14ac:dyDescent="0.25">
      <c r="A10" s="118"/>
      <c r="B10" s="118" t="s">
        <v>113</v>
      </c>
      <c r="C10" s="757">
        <v>1</v>
      </c>
      <c r="D10" s="757"/>
      <c r="E10" s="757"/>
      <c r="F10" s="118"/>
      <c r="G10" s="757" t="s">
        <v>675</v>
      </c>
      <c r="H10" s="757"/>
      <c r="I10" s="757"/>
      <c r="J10" s="757"/>
      <c r="K10" s="757"/>
      <c r="L10" s="757"/>
      <c r="M10" s="118"/>
      <c r="N10" s="1303">
        <v>2021</v>
      </c>
      <c r="O10" s="1303"/>
      <c r="P10" s="1303"/>
      <c r="Q10" s="1303"/>
      <c r="R10" s="118"/>
      <c r="S10" s="118" t="s">
        <v>114</v>
      </c>
      <c r="T10" s="118"/>
      <c r="U10" s="1303" t="s">
        <v>115</v>
      </c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1304"/>
      <c r="AI10" s="1304"/>
      <c r="AJ10" s="1305">
        <v>31</v>
      </c>
      <c r="AK10" s="1305"/>
      <c r="AL10" s="1305"/>
      <c r="AM10" s="118"/>
      <c r="AN10" s="1305" t="s">
        <v>116</v>
      </c>
      <c r="AO10" s="1305"/>
      <c r="AP10" s="1305"/>
      <c r="AQ10" s="1305"/>
      <c r="AR10" s="1305"/>
      <c r="AS10" s="1305"/>
      <c r="AT10" s="1305"/>
      <c r="AU10" s="118"/>
      <c r="AV10" s="1303">
        <v>2021</v>
      </c>
      <c r="AW10" s="1303"/>
      <c r="AX10" s="1303"/>
      <c r="AY10" s="1303"/>
      <c r="AZ10" s="118"/>
      <c r="BA10" s="118" t="s">
        <v>114</v>
      </c>
    </row>
    <row r="11" spans="1:55" s="82" customFormat="1" ht="6" customHeight="1" x14ac:dyDescent="0.2"/>
    <row r="12" spans="1:55" s="1" customFormat="1" ht="12" customHeight="1" x14ac:dyDescent="0.25">
      <c r="A12" s="1299" t="s">
        <v>1</v>
      </c>
      <c r="B12" s="1299"/>
      <c r="C12" s="1299"/>
      <c r="D12" s="1299"/>
      <c r="E12" s="1299"/>
      <c r="F12" s="1299"/>
      <c r="G12" s="1299"/>
      <c r="H12" s="1299"/>
      <c r="I12" s="1299"/>
      <c r="J12" s="1299"/>
      <c r="K12" s="1299"/>
      <c r="L12" s="1299"/>
      <c r="M12" s="1299"/>
      <c r="N12" s="1299"/>
      <c r="O12" s="1299"/>
      <c r="P12" s="1299"/>
      <c r="Q12" s="1299"/>
      <c r="R12" s="1299"/>
      <c r="S12" s="1299"/>
      <c r="U12" s="1300">
        <v>14</v>
      </c>
      <c r="V12" s="1300"/>
      <c r="W12" s="1300"/>
    </row>
    <row r="13" spans="1:55" s="1" customFormat="1" ht="5.0999999999999996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55" s="1" customFormat="1" ht="12" customHeight="1" x14ac:dyDescent="0.25">
      <c r="A14" s="1299" t="s">
        <v>2</v>
      </c>
      <c r="B14" s="1299"/>
      <c r="C14" s="1299"/>
      <c r="D14" s="1299"/>
      <c r="E14" s="1299"/>
      <c r="F14" s="1299"/>
      <c r="G14" s="1299"/>
      <c r="H14" s="1299"/>
      <c r="I14" s="1299"/>
      <c r="J14" s="1299"/>
      <c r="K14" s="1299"/>
      <c r="L14" s="1299"/>
      <c r="M14" s="1299"/>
      <c r="N14" s="1299"/>
      <c r="O14" s="1299"/>
      <c r="P14" s="1299"/>
      <c r="Q14" s="1299"/>
      <c r="R14" s="1299"/>
      <c r="S14" s="1299"/>
      <c r="U14" s="1301">
        <v>20</v>
      </c>
      <c r="V14" s="1301"/>
      <c r="W14" s="1301"/>
      <c r="X14" s="81"/>
      <c r="Y14" s="81"/>
      <c r="Z14" s="81"/>
      <c r="AA14" s="81"/>
    </row>
    <row r="15" spans="1:55" s="1" customFormat="1" ht="5.0999999999999996" customHeight="1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U15" s="81"/>
      <c r="V15" s="81"/>
      <c r="W15" s="81"/>
      <c r="X15" s="81"/>
      <c r="Y15" s="81"/>
      <c r="Z15" s="81"/>
      <c r="AA15" s="81"/>
    </row>
    <row r="16" spans="1:55" s="1" customFormat="1" ht="12" customHeight="1" x14ac:dyDescent="0.25">
      <c r="A16" s="1299" t="s">
        <v>3</v>
      </c>
      <c r="B16" s="1299"/>
      <c r="C16" s="1299"/>
      <c r="D16" s="1299"/>
      <c r="E16" s="1299"/>
      <c r="F16" s="1299"/>
      <c r="G16" s="1299"/>
      <c r="H16" s="1299"/>
      <c r="I16" s="1299"/>
      <c r="J16" s="1299"/>
      <c r="K16" s="1299"/>
      <c r="L16" s="1299"/>
      <c r="M16" s="1299"/>
      <c r="N16" s="1299"/>
      <c r="O16" s="1299"/>
      <c r="P16" s="1299"/>
      <c r="Q16" s="1299"/>
      <c r="R16" s="1299"/>
      <c r="S16" s="1299"/>
      <c r="U16" s="761">
        <v>2</v>
      </c>
      <c r="V16" s="761"/>
      <c r="W16" s="761"/>
      <c r="X16" s="83" t="s">
        <v>4</v>
      </c>
      <c r="Y16" s="761">
        <v>10</v>
      </c>
      <c r="Z16" s="761"/>
      <c r="AA16" s="761"/>
    </row>
    <row r="17" spans="1:54" ht="13.5" customHeight="1" x14ac:dyDescent="0.2"/>
    <row r="18" spans="1:54" s="5" customFormat="1" ht="15" customHeight="1" thickBot="1" x14ac:dyDescent="0.25">
      <c r="A18" s="5" t="s">
        <v>5</v>
      </c>
      <c r="C18" s="5" t="s">
        <v>6</v>
      </c>
      <c r="AN18" s="6"/>
      <c r="AO18" s="6"/>
      <c r="AP18" s="6"/>
      <c r="AQ18" s="6"/>
      <c r="AR18" s="6"/>
    </row>
    <row r="19" spans="1:54" ht="12" customHeight="1" thickBot="1" x14ac:dyDescent="0.25">
      <c r="AJ19" s="7"/>
      <c r="AK19" s="7"/>
      <c r="AL19" s="7"/>
      <c r="AM19" s="7"/>
      <c r="AN19" s="8"/>
      <c r="AO19" s="8"/>
      <c r="AP19" s="9"/>
      <c r="AQ19" s="9" t="s">
        <v>530</v>
      </c>
      <c r="AR19" s="8"/>
      <c r="AS19" s="10"/>
      <c r="AX19" s="1306">
        <v>15600</v>
      </c>
      <c r="AY19" s="1307"/>
      <c r="AZ19" s="1307"/>
      <c r="BA19" s="1307"/>
      <c r="BB19" s="1308"/>
    </row>
    <row r="20" spans="1:54" ht="12" customHeight="1" x14ac:dyDescent="0.2">
      <c r="A20" s="1192" t="s">
        <v>8</v>
      </c>
      <c r="B20" s="1193"/>
      <c r="C20" s="1193"/>
      <c r="D20" s="1193"/>
      <c r="E20" s="1193"/>
      <c r="F20" s="1193"/>
      <c r="G20" s="1194"/>
      <c r="H20" s="1201" t="s">
        <v>9</v>
      </c>
      <c r="I20" s="1193"/>
      <c r="J20" s="1193"/>
      <c r="K20" s="1193"/>
      <c r="L20" s="1193"/>
      <c r="M20" s="1193"/>
      <c r="N20" s="1193"/>
      <c r="O20" s="1193"/>
      <c r="P20" s="1193"/>
      <c r="Q20" s="1193"/>
      <c r="R20" s="1193"/>
      <c r="S20" s="1193"/>
      <c r="T20" s="1193"/>
      <c r="U20" s="1193"/>
      <c r="V20" s="1193"/>
      <c r="W20" s="1193"/>
      <c r="X20" s="1193"/>
      <c r="Y20" s="1193"/>
      <c r="Z20" s="1193"/>
      <c r="AA20" s="1193"/>
      <c r="AB20" s="1194"/>
      <c r="AC20" s="1201" t="s">
        <v>10</v>
      </c>
      <c r="AD20" s="1193"/>
      <c r="AE20" s="1193"/>
      <c r="AF20" s="1193"/>
      <c r="AG20" s="1194"/>
      <c r="AH20" s="1210" t="s">
        <v>419</v>
      </c>
      <c r="AI20" s="1265"/>
      <c r="AJ20" s="1265"/>
      <c r="AK20" s="1265"/>
      <c r="AL20" s="1265"/>
      <c r="AM20" s="1266"/>
      <c r="AN20" s="1210" t="s">
        <v>12</v>
      </c>
      <c r="AO20" s="1204"/>
      <c r="AP20" s="1204"/>
      <c r="AQ20" s="1204"/>
      <c r="AR20" s="1205"/>
      <c r="AS20" s="1210" t="s">
        <v>13</v>
      </c>
      <c r="AT20" s="1204"/>
      <c r="AU20" s="1204"/>
      <c r="AV20" s="1204"/>
      <c r="AW20" s="1213"/>
      <c r="AX20" s="1210" t="s">
        <v>14</v>
      </c>
      <c r="AY20" s="1204"/>
      <c r="AZ20" s="1204"/>
      <c r="BA20" s="1204"/>
      <c r="BB20" s="1213"/>
    </row>
    <row r="21" spans="1:54" ht="12" customHeight="1" x14ac:dyDescent="0.2">
      <c r="A21" s="1195"/>
      <c r="B21" s="1196"/>
      <c r="C21" s="1196"/>
      <c r="D21" s="1196"/>
      <c r="E21" s="1196"/>
      <c r="F21" s="1196"/>
      <c r="G21" s="1197"/>
      <c r="H21" s="1202"/>
      <c r="I21" s="1196"/>
      <c r="J21" s="1196"/>
      <c r="K21" s="1196"/>
      <c r="L21" s="1196"/>
      <c r="M21" s="1196"/>
      <c r="N21" s="1196"/>
      <c r="O21" s="1196"/>
      <c r="P21" s="1196"/>
      <c r="Q21" s="1196"/>
      <c r="R21" s="1196"/>
      <c r="S21" s="1196"/>
      <c r="T21" s="1196"/>
      <c r="U21" s="1196"/>
      <c r="V21" s="1196"/>
      <c r="W21" s="1196"/>
      <c r="X21" s="1196"/>
      <c r="Y21" s="1196"/>
      <c r="Z21" s="1196"/>
      <c r="AA21" s="1196"/>
      <c r="AB21" s="1197"/>
      <c r="AC21" s="1202"/>
      <c r="AD21" s="1196"/>
      <c r="AE21" s="1196"/>
      <c r="AF21" s="1196"/>
      <c r="AG21" s="1197"/>
      <c r="AH21" s="1267"/>
      <c r="AI21" s="1268"/>
      <c r="AJ21" s="1268"/>
      <c r="AK21" s="1268"/>
      <c r="AL21" s="1268"/>
      <c r="AM21" s="1269"/>
      <c r="AN21" s="1211"/>
      <c r="AO21" s="1206"/>
      <c r="AP21" s="1206"/>
      <c r="AQ21" s="1206"/>
      <c r="AR21" s="1207"/>
      <c r="AS21" s="1211"/>
      <c r="AT21" s="1206"/>
      <c r="AU21" s="1206"/>
      <c r="AV21" s="1206"/>
      <c r="AW21" s="1214"/>
      <c r="AX21" s="1211"/>
      <c r="AY21" s="1206"/>
      <c r="AZ21" s="1206"/>
      <c r="BA21" s="1206"/>
      <c r="BB21" s="1214"/>
    </row>
    <row r="22" spans="1:54" ht="12" customHeight="1" thickBot="1" x14ac:dyDescent="0.25">
      <c r="A22" s="1198"/>
      <c r="B22" s="1199"/>
      <c r="C22" s="1199"/>
      <c r="D22" s="1199"/>
      <c r="E22" s="1199"/>
      <c r="F22" s="1199"/>
      <c r="G22" s="1200"/>
      <c r="H22" s="1203"/>
      <c r="I22" s="1199"/>
      <c r="J22" s="1199"/>
      <c r="K22" s="1199"/>
      <c r="L22" s="1199"/>
      <c r="M22" s="1199"/>
      <c r="N22" s="1199"/>
      <c r="O22" s="1199"/>
      <c r="P22" s="1199"/>
      <c r="Q22" s="1199"/>
      <c r="R22" s="1199"/>
      <c r="S22" s="1199"/>
      <c r="T22" s="1199"/>
      <c r="U22" s="1199"/>
      <c r="V22" s="1199"/>
      <c r="W22" s="1199"/>
      <c r="X22" s="1199"/>
      <c r="Y22" s="1199"/>
      <c r="Z22" s="1199"/>
      <c r="AA22" s="1199"/>
      <c r="AB22" s="1200"/>
      <c r="AC22" s="1203"/>
      <c r="AD22" s="1199"/>
      <c r="AE22" s="1199"/>
      <c r="AF22" s="1199"/>
      <c r="AG22" s="1200"/>
      <c r="AH22" s="1270"/>
      <c r="AI22" s="1271"/>
      <c r="AJ22" s="1271"/>
      <c r="AK22" s="1271"/>
      <c r="AL22" s="1271"/>
      <c r="AM22" s="1272"/>
      <c r="AN22" s="1212"/>
      <c r="AO22" s="1208"/>
      <c r="AP22" s="1208"/>
      <c r="AQ22" s="1208"/>
      <c r="AR22" s="1209"/>
      <c r="AS22" s="1212"/>
      <c r="AT22" s="1208"/>
      <c r="AU22" s="1208"/>
      <c r="AV22" s="1208"/>
      <c r="AW22" s="1215"/>
      <c r="AX22" s="1212"/>
      <c r="AY22" s="1208"/>
      <c r="AZ22" s="1208"/>
      <c r="BA22" s="1208"/>
      <c r="BB22" s="1215"/>
    </row>
    <row r="23" spans="1:54" ht="24" customHeight="1" thickBot="1" x14ac:dyDescent="0.25">
      <c r="A23" s="1274" t="s">
        <v>15</v>
      </c>
      <c r="B23" s="1018"/>
      <c r="C23" s="1018"/>
      <c r="D23" s="1018"/>
      <c r="E23" s="1018"/>
      <c r="F23" s="1018"/>
      <c r="G23" s="1018"/>
      <c r="H23" s="1018"/>
      <c r="I23" s="1018"/>
      <c r="J23" s="1018"/>
      <c r="K23" s="1018"/>
      <c r="L23" s="1018"/>
      <c r="M23" s="1018"/>
      <c r="N23" s="1018"/>
      <c r="O23" s="1018"/>
      <c r="P23" s="1018"/>
      <c r="Q23" s="1018"/>
      <c r="R23" s="1018"/>
      <c r="S23" s="1018"/>
      <c r="T23" s="1018"/>
      <c r="U23" s="1018"/>
      <c r="V23" s="1018"/>
      <c r="W23" s="1018"/>
      <c r="X23" s="1018"/>
      <c r="Y23" s="1018"/>
      <c r="Z23" s="1018"/>
      <c r="AA23" s="1018"/>
      <c r="AB23" s="1018"/>
      <c r="AC23" s="1018"/>
      <c r="AD23" s="1018"/>
      <c r="AE23" s="1018"/>
      <c r="AF23" s="1018"/>
      <c r="AG23" s="1018"/>
      <c r="AH23" s="1018"/>
      <c r="AI23" s="1018"/>
      <c r="AJ23" s="1018"/>
      <c r="AK23" s="1018"/>
      <c r="AL23" s="1018"/>
      <c r="AM23" s="1018"/>
      <c r="AN23" s="1018"/>
      <c r="AO23" s="1018"/>
      <c r="AP23" s="1018"/>
      <c r="AQ23" s="1018"/>
      <c r="AR23" s="1018"/>
      <c r="AS23" s="1018"/>
      <c r="AT23" s="1018"/>
      <c r="AU23" s="1018"/>
      <c r="AV23" s="1018"/>
      <c r="AW23" s="1018"/>
      <c r="AX23" s="1018"/>
      <c r="AY23" s="1018"/>
      <c r="AZ23" s="1018"/>
      <c r="BA23" s="1018"/>
      <c r="BB23" s="1275"/>
    </row>
    <row r="24" spans="1:54" ht="4.5" customHeight="1" x14ac:dyDescent="0.2">
      <c r="A24" s="1276" t="s">
        <v>424</v>
      </c>
      <c r="B24" s="1277"/>
      <c r="C24" s="1277"/>
      <c r="D24" s="1277"/>
      <c r="E24" s="1277"/>
      <c r="F24" s="1277"/>
      <c r="G24" s="1278"/>
      <c r="H24" s="1282" t="s">
        <v>16</v>
      </c>
      <c r="I24" s="1283"/>
      <c r="J24" s="1283"/>
      <c r="K24" s="1283"/>
      <c r="L24" s="1283"/>
      <c r="M24" s="1283"/>
      <c r="N24" s="1283"/>
      <c r="O24" s="1283"/>
      <c r="P24" s="1283"/>
      <c r="Q24" s="1283"/>
      <c r="R24" s="1283"/>
      <c r="S24" s="1283"/>
      <c r="T24" s="1283"/>
      <c r="U24" s="1283"/>
      <c r="V24" s="1283"/>
      <c r="W24" s="1283"/>
      <c r="X24" s="1283"/>
      <c r="Y24" s="1283"/>
      <c r="Z24" s="723">
        <v>0.2</v>
      </c>
      <c r="AA24" s="723"/>
      <c r="AB24" s="723"/>
      <c r="AC24" s="1286">
        <f>(AX51+AX83)*Z24*AH24</f>
        <v>788.66666666666674</v>
      </c>
      <c r="AD24" s="1286"/>
      <c r="AE24" s="1286"/>
      <c r="AF24" s="1286"/>
      <c r="AG24" s="1286"/>
      <c r="AH24" s="1287">
        <v>1</v>
      </c>
      <c r="AI24" s="1287"/>
      <c r="AJ24" s="1287"/>
      <c r="AK24" s="1287"/>
      <c r="AL24" s="1287"/>
      <c r="AM24" s="1287"/>
      <c r="AN24" s="781">
        <f>AC24/U12</f>
        <v>56.333333333333336</v>
      </c>
      <c r="AO24" s="781"/>
      <c r="AP24" s="781"/>
      <c r="AQ24" s="781"/>
      <c r="AR24" s="781"/>
      <c r="AS24" s="1287" t="s">
        <v>17</v>
      </c>
      <c r="AT24" s="1287"/>
      <c r="AU24" s="1287"/>
      <c r="AV24" s="1287"/>
      <c r="AW24" s="1287"/>
      <c r="AX24" s="781" t="s">
        <v>17</v>
      </c>
      <c r="AY24" s="781"/>
      <c r="AZ24" s="781"/>
      <c r="BA24" s="781"/>
      <c r="BB24" s="782"/>
    </row>
    <row r="25" spans="1:54" s="11" customFormat="1" ht="26.25" customHeight="1" x14ac:dyDescent="0.2">
      <c r="A25" s="1279"/>
      <c r="B25" s="1280"/>
      <c r="C25" s="1280"/>
      <c r="D25" s="1280"/>
      <c r="E25" s="1280"/>
      <c r="F25" s="1280"/>
      <c r="G25" s="1281"/>
      <c r="H25" s="1282"/>
      <c r="I25" s="1283"/>
      <c r="J25" s="1283"/>
      <c r="K25" s="1283"/>
      <c r="L25" s="1283"/>
      <c r="M25" s="1283"/>
      <c r="N25" s="1283"/>
      <c r="O25" s="1283"/>
      <c r="P25" s="1283"/>
      <c r="Q25" s="1283"/>
      <c r="R25" s="1283"/>
      <c r="S25" s="1283"/>
      <c r="T25" s="1283"/>
      <c r="U25" s="1283"/>
      <c r="V25" s="1283"/>
      <c r="W25" s="1283"/>
      <c r="X25" s="1283"/>
      <c r="Y25" s="1283"/>
      <c r="Z25" s="726"/>
      <c r="AA25" s="726"/>
      <c r="AB25" s="726"/>
      <c r="AC25" s="1185"/>
      <c r="AD25" s="1185"/>
      <c r="AE25" s="1185"/>
      <c r="AF25" s="1185"/>
      <c r="AG25" s="1185"/>
      <c r="AH25" s="1288"/>
      <c r="AI25" s="1288"/>
      <c r="AJ25" s="1288"/>
      <c r="AK25" s="1288"/>
      <c r="AL25" s="1288"/>
      <c r="AM25" s="1288"/>
      <c r="AN25" s="601"/>
      <c r="AO25" s="601"/>
      <c r="AP25" s="601"/>
      <c r="AQ25" s="601"/>
      <c r="AR25" s="601"/>
      <c r="AS25" s="1288"/>
      <c r="AT25" s="1288"/>
      <c r="AU25" s="1288"/>
      <c r="AV25" s="1288"/>
      <c r="AW25" s="1288"/>
      <c r="AX25" s="601"/>
      <c r="AY25" s="601"/>
      <c r="AZ25" s="601"/>
      <c r="BA25" s="601"/>
      <c r="BB25" s="655"/>
    </row>
    <row r="26" spans="1:54" s="11" customFormat="1" ht="5.0999999999999996" customHeight="1" x14ac:dyDescent="0.2">
      <c r="A26" s="1290" t="s">
        <v>89</v>
      </c>
      <c r="B26" s="1291"/>
      <c r="C26" s="1291"/>
      <c r="D26" s="1291"/>
      <c r="E26" s="1291"/>
      <c r="F26" s="1291"/>
      <c r="G26" s="1292"/>
      <c r="H26" s="1282"/>
      <c r="I26" s="1283"/>
      <c r="J26" s="1283"/>
      <c r="K26" s="1283"/>
      <c r="L26" s="1283"/>
      <c r="M26" s="1283"/>
      <c r="N26" s="1283"/>
      <c r="O26" s="1283"/>
      <c r="P26" s="1283"/>
      <c r="Q26" s="1283"/>
      <c r="R26" s="1283"/>
      <c r="S26" s="1283"/>
      <c r="T26" s="1283"/>
      <c r="U26" s="1283"/>
      <c r="V26" s="1283"/>
      <c r="W26" s="1283"/>
      <c r="X26" s="1283"/>
      <c r="Y26" s="1283"/>
      <c r="Z26" s="726"/>
      <c r="AA26" s="726"/>
      <c r="AB26" s="726"/>
      <c r="AC26" s="1185"/>
      <c r="AD26" s="1185"/>
      <c r="AE26" s="1185"/>
      <c r="AF26" s="1185"/>
      <c r="AG26" s="1185"/>
      <c r="AH26" s="1288"/>
      <c r="AI26" s="1288"/>
      <c r="AJ26" s="1288"/>
      <c r="AK26" s="1288"/>
      <c r="AL26" s="1288"/>
      <c r="AM26" s="1288"/>
      <c r="AN26" s="601"/>
      <c r="AO26" s="601"/>
      <c r="AP26" s="601"/>
      <c r="AQ26" s="601"/>
      <c r="AR26" s="601"/>
      <c r="AS26" s="1288"/>
      <c r="AT26" s="1288"/>
      <c r="AU26" s="1288"/>
      <c r="AV26" s="1288"/>
      <c r="AW26" s="1288"/>
      <c r="AX26" s="601"/>
      <c r="AY26" s="601"/>
      <c r="AZ26" s="601"/>
      <c r="BA26" s="601"/>
      <c r="BB26" s="655"/>
    </row>
    <row r="27" spans="1:54" s="11" customFormat="1" ht="11.25" customHeight="1" x14ac:dyDescent="0.2">
      <c r="A27" s="1293"/>
      <c r="B27" s="1294"/>
      <c r="C27" s="1294"/>
      <c r="D27" s="1294"/>
      <c r="E27" s="1294"/>
      <c r="F27" s="1294"/>
      <c r="G27" s="1295"/>
      <c r="H27" s="1282"/>
      <c r="I27" s="1283"/>
      <c r="J27" s="1283"/>
      <c r="K27" s="1283"/>
      <c r="L27" s="1283"/>
      <c r="M27" s="1283"/>
      <c r="N27" s="1283"/>
      <c r="O27" s="1283"/>
      <c r="P27" s="1283"/>
      <c r="Q27" s="1283"/>
      <c r="R27" s="1283"/>
      <c r="S27" s="1283"/>
      <c r="T27" s="1283"/>
      <c r="U27" s="1283"/>
      <c r="V27" s="1283"/>
      <c r="W27" s="1283"/>
      <c r="X27" s="1283"/>
      <c r="Y27" s="1283"/>
      <c r="Z27" s="726"/>
      <c r="AA27" s="726"/>
      <c r="AB27" s="726"/>
      <c r="AC27" s="1185"/>
      <c r="AD27" s="1185"/>
      <c r="AE27" s="1185"/>
      <c r="AF27" s="1185"/>
      <c r="AG27" s="1185"/>
      <c r="AH27" s="1288"/>
      <c r="AI27" s="1288"/>
      <c r="AJ27" s="1288"/>
      <c r="AK27" s="1288"/>
      <c r="AL27" s="1288"/>
      <c r="AM27" s="1288"/>
      <c r="AN27" s="601"/>
      <c r="AO27" s="601"/>
      <c r="AP27" s="601"/>
      <c r="AQ27" s="601"/>
      <c r="AR27" s="601"/>
      <c r="AS27" s="1288"/>
      <c r="AT27" s="1288"/>
      <c r="AU27" s="1288"/>
      <c r="AV27" s="1288"/>
      <c r="AW27" s="1288"/>
      <c r="AX27" s="601"/>
      <c r="AY27" s="601"/>
      <c r="AZ27" s="601"/>
      <c r="BA27" s="601"/>
      <c r="BB27" s="655"/>
    </row>
    <row r="28" spans="1:54" ht="5.0999999999999996" hidden="1" customHeight="1" x14ac:dyDescent="0.2">
      <c r="A28" s="1293"/>
      <c r="B28" s="1294"/>
      <c r="C28" s="1294"/>
      <c r="D28" s="1294"/>
      <c r="E28" s="1294"/>
      <c r="F28" s="1294"/>
      <c r="G28" s="1295"/>
      <c r="H28" s="1282"/>
      <c r="I28" s="1283"/>
      <c r="J28" s="1283"/>
      <c r="K28" s="1283"/>
      <c r="L28" s="1283"/>
      <c r="M28" s="1283"/>
      <c r="N28" s="1283"/>
      <c r="O28" s="1283"/>
      <c r="P28" s="1283"/>
      <c r="Q28" s="1283"/>
      <c r="R28" s="1283"/>
      <c r="S28" s="1283"/>
      <c r="T28" s="1283"/>
      <c r="U28" s="1283"/>
      <c r="V28" s="1283"/>
      <c r="W28" s="1283"/>
      <c r="X28" s="1283"/>
      <c r="Y28" s="1283"/>
      <c r="Z28" s="726"/>
      <c r="AA28" s="726"/>
      <c r="AB28" s="726"/>
      <c r="AC28" s="1185"/>
      <c r="AD28" s="1185"/>
      <c r="AE28" s="1185"/>
      <c r="AF28" s="1185"/>
      <c r="AG28" s="1185"/>
      <c r="AH28" s="1288"/>
      <c r="AI28" s="1288"/>
      <c r="AJ28" s="1288"/>
      <c r="AK28" s="1288"/>
      <c r="AL28" s="1288"/>
      <c r="AM28" s="1288"/>
      <c r="AN28" s="601"/>
      <c r="AO28" s="601"/>
      <c r="AP28" s="601"/>
      <c r="AQ28" s="601"/>
      <c r="AR28" s="601"/>
      <c r="AS28" s="1288"/>
      <c r="AT28" s="1288"/>
      <c r="AU28" s="1288"/>
      <c r="AV28" s="1288"/>
      <c r="AW28" s="1288"/>
      <c r="AX28" s="601"/>
      <c r="AY28" s="601"/>
      <c r="AZ28" s="601"/>
      <c r="BA28" s="601"/>
      <c r="BB28" s="655"/>
    </row>
    <row r="29" spans="1:54" s="11" customFormat="1" ht="11.25" hidden="1" customHeight="1" x14ac:dyDescent="0.2">
      <c r="A29" s="1293"/>
      <c r="B29" s="1294"/>
      <c r="C29" s="1294"/>
      <c r="D29" s="1294"/>
      <c r="E29" s="1294"/>
      <c r="F29" s="1294"/>
      <c r="G29" s="1295"/>
      <c r="H29" s="1282"/>
      <c r="I29" s="1283"/>
      <c r="J29" s="1283"/>
      <c r="K29" s="1283"/>
      <c r="L29" s="1283"/>
      <c r="M29" s="1283"/>
      <c r="N29" s="1283"/>
      <c r="O29" s="1283"/>
      <c r="P29" s="1283"/>
      <c r="Q29" s="1283"/>
      <c r="R29" s="1283"/>
      <c r="S29" s="1283"/>
      <c r="T29" s="1283"/>
      <c r="U29" s="1283"/>
      <c r="V29" s="1283"/>
      <c r="W29" s="1283"/>
      <c r="X29" s="1283"/>
      <c r="Y29" s="1283"/>
      <c r="Z29" s="726"/>
      <c r="AA29" s="726"/>
      <c r="AB29" s="726"/>
      <c r="AC29" s="1185"/>
      <c r="AD29" s="1185"/>
      <c r="AE29" s="1185"/>
      <c r="AF29" s="1185"/>
      <c r="AG29" s="1185"/>
      <c r="AH29" s="1288"/>
      <c r="AI29" s="1288"/>
      <c r="AJ29" s="1288"/>
      <c r="AK29" s="1288"/>
      <c r="AL29" s="1288"/>
      <c r="AM29" s="1288"/>
      <c r="AN29" s="601"/>
      <c r="AO29" s="601"/>
      <c r="AP29" s="601"/>
      <c r="AQ29" s="601"/>
      <c r="AR29" s="601"/>
      <c r="AS29" s="1288"/>
      <c r="AT29" s="1288"/>
      <c r="AU29" s="1288"/>
      <c r="AV29" s="1288"/>
      <c r="AW29" s="1288"/>
      <c r="AX29" s="601"/>
      <c r="AY29" s="601"/>
      <c r="AZ29" s="601"/>
      <c r="BA29" s="601"/>
      <c r="BB29" s="655"/>
    </row>
    <row r="30" spans="1:54" s="11" customFormat="1" ht="5.0999999999999996" hidden="1" customHeight="1" x14ac:dyDescent="0.2">
      <c r="A30" s="1293"/>
      <c r="B30" s="1294"/>
      <c r="C30" s="1294"/>
      <c r="D30" s="1294"/>
      <c r="E30" s="1294"/>
      <c r="F30" s="1294"/>
      <c r="G30" s="1295"/>
      <c r="H30" s="1282"/>
      <c r="I30" s="1283"/>
      <c r="J30" s="1283"/>
      <c r="K30" s="1283"/>
      <c r="L30" s="1283"/>
      <c r="M30" s="1283"/>
      <c r="N30" s="1283"/>
      <c r="O30" s="1283"/>
      <c r="P30" s="1283"/>
      <c r="Q30" s="1283"/>
      <c r="R30" s="1283"/>
      <c r="S30" s="1283"/>
      <c r="T30" s="1283"/>
      <c r="U30" s="1283"/>
      <c r="V30" s="1283"/>
      <c r="W30" s="1283"/>
      <c r="X30" s="1283"/>
      <c r="Y30" s="1283"/>
      <c r="Z30" s="726"/>
      <c r="AA30" s="726"/>
      <c r="AB30" s="726"/>
      <c r="AC30" s="1185"/>
      <c r="AD30" s="1185"/>
      <c r="AE30" s="1185"/>
      <c r="AF30" s="1185"/>
      <c r="AG30" s="1185"/>
      <c r="AH30" s="1288"/>
      <c r="AI30" s="1288"/>
      <c r="AJ30" s="1288"/>
      <c r="AK30" s="1288"/>
      <c r="AL30" s="1288"/>
      <c r="AM30" s="1288"/>
      <c r="AN30" s="601"/>
      <c r="AO30" s="601"/>
      <c r="AP30" s="601"/>
      <c r="AQ30" s="601"/>
      <c r="AR30" s="601"/>
      <c r="AS30" s="1288"/>
      <c r="AT30" s="1288"/>
      <c r="AU30" s="1288"/>
      <c r="AV30" s="1288"/>
      <c r="AW30" s="1288"/>
      <c r="AX30" s="601"/>
      <c r="AY30" s="601"/>
      <c r="AZ30" s="601"/>
      <c r="BA30" s="601"/>
      <c r="BB30" s="655"/>
    </row>
    <row r="31" spans="1:54" s="11" customFormat="1" ht="11.25" hidden="1" customHeight="1" x14ac:dyDescent="0.2">
      <c r="A31" s="1293"/>
      <c r="B31" s="1294"/>
      <c r="C31" s="1294"/>
      <c r="D31" s="1294"/>
      <c r="E31" s="1294"/>
      <c r="F31" s="1294"/>
      <c r="G31" s="1295"/>
      <c r="H31" s="1282"/>
      <c r="I31" s="1283"/>
      <c r="J31" s="1283"/>
      <c r="K31" s="1283"/>
      <c r="L31" s="1283"/>
      <c r="M31" s="1283"/>
      <c r="N31" s="1283"/>
      <c r="O31" s="1283"/>
      <c r="P31" s="1283"/>
      <c r="Q31" s="1283"/>
      <c r="R31" s="1283"/>
      <c r="S31" s="1283"/>
      <c r="T31" s="1283"/>
      <c r="U31" s="1283"/>
      <c r="V31" s="1283"/>
      <c r="W31" s="1283"/>
      <c r="X31" s="1283"/>
      <c r="Y31" s="1283"/>
      <c r="Z31" s="726"/>
      <c r="AA31" s="726"/>
      <c r="AB31" s="726"/>
      <c r="AC31" s="1185"/>
      <c r="AD31" s="1185"/>
      <c r="AE31" s="1185"/>
      <c r="AF31" s="1185"/>
      <c r="AG31" s="1185"/>
      <c r="AH31" s="1288"/>
      <c r="AI31" s="1288"/>
      <c r="AJ31" s="1288"/>
      <c r="AK31" s="1288"/>
      <c r="AL31" s="1288"/>
      <c r="AM31" s="1288"/>
      <c r="AN31" s="601"/>
      <c r="AO31" s="601"/>
      <c r="AP31" s="601"/>
      <c r="AQ31" s="601"/>
      <c r="AR31" s="601"/>
      <c r="AS31" s="1288"/>
      <c r="AT31" s="1288"/>
      <c r="AU31" s="1288"/>
      <c r="AV31" s="1288"/>
      <c r="AW31" s="1288"/>
      <c r="AX31" s="601"/>
      <c r="AY31" s="601"/>
      <c r="AZ31" s="601"/>
      <c r="BA31" s="601"/>
      <c r="BB31" s="655"/>
    </row>
    <row r="32" spans="1:54" ht="5.0999999999999996" hidden="1" customHeight="1" x14ac:dyDescent="0.2">
      <c r="A32" s="1293"/>
      <c r="B32" s="1294"/>
      <c r="C32" s="1294"/>
      <c r="D32" s="1294"/>
      <c r="E32" s="1294"/>
      <c r="F32" s="1294"/>
      <c r="G32" s="1295"/>
      <c r="H32" s="1282"/>
      <c r="I32" s="1283"/>
      <c r="J32" s="1283"/>
      <c r="K32" s="1283"/>
      <c r="L32" s="1283"/>
      <c r="M32" s="1283"/>
      <c r="N32" s="1283"/>
      <c r="O32" s="1283"/>
      <c r="P32" s="1283"/>
      <c r="Q32" s="1283"/>
      <c r="R32" s="1283"/>
      <c r="S32" s="1283"/>
      <c r="T32" s="1283"/>
      <c r="U32" s="1283"/>
      <c r="V32" s="1283"/>
      <c r="W32" s="1283"/>
      <c r="X32" s="1283"/>
      <c r="Y32" s="1283"/>
      <c r="Z32" s="726"/>
      <c r="AA32" s="726"/>
      <c r="AB32" s="726"/>
      <c r="AC32" s="1185"/>
      <c r="AD32" s="1185"/>
      <c r="AE32" s="1185"/>
      <c r="AF32" s="1185"/>
      <c r="AG32" s="1185"/>
      <c r="AH32" s="1288"/>
      <c r="AI32" s="1288"/>
      <c r="AJ32" s="1288"/>
      <c r="AK32" s="1288"/>
      <c r="AL32" s="1288"/>
      <c r="AM32" s="1288"/>
      <c r="AN32" s="601"/>
      <c r="AO32" s="601"/>
      <c r="AP32" s="601"/>
      <c r="AQ32" s="601"/>
      <c r="AR32" s="601"/>
      <c r="AS32" s="1288"/>
      <c r="AT32" s="1288"/>
      <c r="AU32" s="1288"/>
      <c r="AV32" s="1288"/>
      <c r="AW32" s="1288"/>
      <c r="AX32" s="601"/>
      <c r="AY32" s="601"/>
      <c r="AZ32" s="601"/>
      <c r="BA32" s="601"/>
      <c r="BB32" s="655"/>
    </row>
    <row r="33" spans="1:54" s="11" customFormat="1" ht="17.25" customHeight="1" thickBot="1" x14ac:dyDescent="0.25">
      <c r="A33" s="1296"/>
      <c r="B33" s="1297"/>
      <c r="C33" s="1297"/>
      <c r="D33" s="1297"/>
      <c r="E33" s="1297"/>
      <c r="F33" s="1297"/>
      <c r="G33" s="1298"/>
      <c r="H33" s="1284"/>
      <c r="I33" s="1285"/>
      <c r="J33" s="1285"/>
      <c r="K33" s="1285"/>
      <c r="L33" s="1285"/>
      <c r="M33" s="1285"/>
      <c r="N33" s="1285"/>
      <c r="O33" s="1285"/>
      <c r="P33" s="1285"/>
      <c r="Q33" s="1285"/>
      <c r="R33" s="1285"/>
      <c r="S33" s="1285"/>
      <c r="T33" s="1285"/>
      <c r="U33" s="1285"/>
      <c r="V33" s="1285"/>
      <c r="W33" s="1285"/>
      <c r="X33" s="1285"/>
      <c r="Y33" s="1285"/>
      <c r="Z33" s="729"/>
      <c r="AA33" s="729"/>
      <c r="AB33" s="729"/>
      <c r="AC33" s="1187"/>
      <c r="AD33" s="1187"/>
      <c r="AE33" s="1187"/>
      <c r="AF33" s="1187"/>
      <c r="AG33" s="1187"/>
      <c r="AH33" s="1289"/>
      <c r="AI33" s="1289"/>
      <c r="AJ33" s="1289"/>
      <c r="AK33" s="1289"/>
      <c r="AL33" s="1289"/>
      <c r="AM33" s="1289"/>
      <c r="AN33" s="656"/>
      <c r="AO33" s="656"/>
      <c r="AP33" s="656"/>
      <c r="AQ33" s="656"/>
      <c r="AR33" s="656"/>
      <c r="AS33" s="1289"/>
      <c r="AT33" s="1289"/>
      <c r="AU33" s="1289"/>
      <c r="AV33" s="1289"/>
      <c r="AW33" s="1289"/>
      <c r="AX33" s="656"/>
      <c r="AY33" s="656"/>
      <c r="AZ33" s="656"/>
      <c r="BA33" s="656"/>
      <c r="BB33" s="657"/>
    </row>
    <row r="34" spans="1:54" s="13" customFormat="1" ht="11.25" customHeight="1" x14ac:dyDescent="0.2">
      <c r="A34" s="12"/>
      <c r="B34" s="12"/>
      <c r="C34" s="12"/>
      <c r="D34" s="12"/>
      <c r="E34" s="12"/>
      <c r="F34" s="12"/>
      <c r="G34" s="12"/>
      <c r="H34" s="1273"/>
      <c r="I34" s="1273"/>
      <c r="J34" s="1273"/>
      <c r="K34" s="1273"/>
      <c r="L34" s="1273"/>
      <c r="M34" s="1273"/>
      <c r="P34" s="14"/>
      <c r="Q34" s="15"/>
      <c r="R34" s="16" t="s">
        <v>18</v>
      </c>
      <c r="S34" s="17"/>
      <c r="T34" s="17"/>
      <c r="U34" s="18"/>
      <c r="V34" s="18"/>
      <c r="W34" s="18"/>
      <c r="X34" s="18"/>
      <c r="Y34" s="18"/>
      <c r="Z34" s="8"/>
      <c r="AA34" s="8"/>
      <c r="AB34" s="8"/>
      <c r="AC34" s="18"/>
      <c r="AD34" s="18" t="s">
        <v>19</v>
      </c>
      <c r="AE34" s="18" t="s">
        <v>20</v>
      </c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9"/>
      <c r="AS34" s="1178">
        <f>AN24</f>
        <v>56.333333333333336</v>
      </c>
      <c r="AT34" s="1178"/>
      <c r="AU34" s="1178"/>
      <c r="AV34" s="1178"/>
      <c r="AW34" s="1178"/>
      <c r="AX34" s="1178">
        <f>AC24</f>
        <v>788.66666666666674</v>
      </c>
      <c r="AY34" s="1178"/>
      <c r="AZ34" s="1178"/>
      <c r="BA34" s="1178"/>
      <c r="BB34" s="1179"/>
    </row>
    <row r="35" spans="1:54" s="13" customFormat="1" ht="11.25" customHeight="1" thickBot="1" x14ac:dyDescent="0.25">
      <c r="A35" s="12"/>
      <c r="B35" s="12"/>
      <c r="C35" s="12"/>
      <c r="D35" s="12"/>
      <c r="E35" s="12"/>
      <c r="F35" s="12"/>
      <c r="G35" s="12"/>
      <c r="H35" s="120"/>
      <c r="I35" s="120"/>
      <c r="J35" s="120"/>
      <c r="K35" s="120"/>
      <c r="L35" s="120"/>
      <c r="M35" s="120"/>
      <c r="P35" s="14"/>
      <c r="Q35" s="122"/>
      <c r="R35" s="20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 t="s">
        <v>19</v>
      </c>
      <c r="AE35" s="21" t="s">
        <v>21</v>
      </c>
      <c r="AF35" s="21"/>
      <c r="AG35" s="21"/>
      <c r="AH35" s="21"/>
      <c r="AI35" s="21"/>
      <c r="AJ35" s="21"/>
      <c r="AK35" s="21"/>
      <c r="AL35" s="21"/>
      <c r="AM35" s="21"/>
      <c r="AN35" s="21"/>
      <c r="AO35" s="1153">
        <v>0.30199999999999999</v>
      </c>
      <c r="AP35" s="997"/>
      <c r="AQ35" s="997"/>
      <c r="AR35" s="998"/>
      <c r="AS35" s="1154">
        <f>AX35/U12</f>
        <v>17.012666666666668</v>
      </c>
      <c r="AT35" s="1154"/>
      <c r="AU35" s="1154"/>
      <c r="AV35" s="1154"/>
      <c r="AW35" s="1154"/>
      <c r="AX35" s="1154">
        <f>AX34*AO35</f>
        <v>238.17733333333334</v>
      </c>
      <c r="AY35" s="1154"/>
      <c r="AZ35" s="1154"/>
      <c r="BA35" s="1154"/>
      <c r="BB35" s="1155"/>
    </row>
    <row r="36" spans="1:54" s="13" customFormat="1" ht="5.0999999999999996" customHeight="1" thickBot="1" x14ac:dyDescent="0.25">
      <c r="A36" s="12"/>
      <c r="B36" s="12"/>
      <c r="C36" s="12"/>
      <c r="D36" s="12"/>
      <c r="E36" s="12"/>
      <c r="F36" s="12"/>
      <c r="G36" s="12"/>
      <c r="H36" s="120"/>
      <c r="I36" s="120"/>
      <c r="J36" s="120"/>
      <c r="K36" s="120"/>
      <c r="L36" s="120"/>
      <c r="M36" s="120"/>
      <c r="P36" s="14"/>
      <c r="Q36" s="122"/>
      <c r="R36" s="122"/>
      <c r="S36" s="122"/>
      <c r="U36" s="122"/>
      <c r="V36" s="122"/>
      <c r="W36" s="122"/>
      <c r="Z36" s="8"/>
      <c r="AA36" s="8"/>
      <c r="AB36" s="8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124"/>
      <c r="AT36" s="126"/>
      <c r="AU36" s="126"/>
      <c r="AV36" s="126"/>
      <c r="AW36" s="126"/>
      <c r="AX36" s="124"/>
      <c r="AY36" s="126"/>
      <c r="AZ36" s="126"/>
      <c r="BA36" s="126"/>
      <c r="BB36" s="126"/>
    </row>
    <row r="37" spans="1:54" s="13" customFormat="1" ht="12" customHeight="1" x14ac:dyDescent="0.2">
      <c r="A37" s="1192" t="s">
        <v>8</v>
      </c>
      <c r="B37" s="1193"/>
      <c r="C37" s="1193"/>
      <c r="D37" s="1193"/>
      <c r="E37" s="1193"/>
      <c r="F37" s="1193"/>
      <c r="G37" s="1194"/>
      <c r="H37" s="1201" t="s">
        <v>9</v>
      </c>
      <c r="I37" s="1193"/>
      <c r="J37" s="1193"/>
      <c r="K37" s="1193"/>
      <c r="L37" s="1193"/>
      <c r="M37" s="1193"/>
      <c r="N37" s="1193"/>
      <c r="O37" s="1193"/>
      <c r="P37" s="1193"/>
      <c r="Q37" s="1193"/>
      <c r="R37" s="1193"/>
      <c r="S37" s="1193"/>
      <c r="T37" s="1193"/>
      <c r="U37" s="1193"/>
      <c r="V37" s="1193"/>
      <c r="W37" s="1193"/>
      <c r="X37" s="1193"/>
      <c r="Y37" s="1193"/>
      <c r="Z37" s="1193"/>
      <c r="AA37" s="1193"/>
      <c r="AB37" s="1194"/>
      <c r="AC37" s="1201" t="s">
        <v>10</v>
      </c>
      <c r="AD37" s="1193"/>
      <c r="AE37" s="1193"/>
      <c r="AF37" s="1193"/>
      <c r="AG37" s="1194"/>
      <c r="AH37" s="1210" t="s">
        <v>420</v>
      </c>
      <c r="AI37" s="1265"/>
      <c r="AJ37" s="1265"/>
      <c r="AK37" s="1265"/>
      <c r="AL37" s="1265"/>
      <c r="AM37" s="1266"/>
      <c r="AN37" s="1210" t="s">
        <v>12</v>
      </c>
      <c r="AO37" s="1204"/>
      <c r="AP37" s="1204"/>
      <c r="AQ37" s="1204"/>
      <c r="AR37" s="1205"/>
      <c r="AS37" s="1210" t="s">
        <v>13</v>
      </c>
      <c r="AT37" s="1204"/>
      <c r="AU37" s="1204"/>
      <c r="AV37" s="1204"/>
      <c r="AW37" s="1213"/>
      <c r="AX37" s="1210" t="s">
        <v>14</v>
      </c>
      <c r="AY37" s="1204"/>
      <c r="AZ37" s="1204"/>
      <c r="BA37" s="1204"/>
      <c r="BB37" s="1213"/>
    </row>
    <row r="38" spans="1:54" s="13" customFormat="1" ht="12" customHeight="1" x14ac:dyDescent="0.2">
      <c r="A38" s="1195"/>
      <c r="B38" s="1196"/>
      <c r="C38" s="1196"/>
      <c r="D38" s="1196"/>
      <c r="E38" s="1196"/>
      <c r="F38" s="1196"/>
      <c r="G38" s="1197"/>
      <c r="H38" s="1202"/>
      <c r="I38" s="1196"/>
      <c r="J38" s="1196"/>
      <c r="K38" s="1196"/>
      <c r="L38" s="1196"/>
      <c r="M38" s="1196"/>
      <c r="N38" s="1196"/>
      <c r="O38" s="1196"/>
      <c r="P38" s="1196"/>
      <c r="Q38" s="1196"/>
      <c r="R38" s="1196"/>
      <c r="S38" s="1196"/>
      <c r="T38" s="1196"/>
      <c r="U38" s="1196"/>
      <c r="V38" s="1196"/>
      <c r="W38" s="1196"/>
      <c r="X38" s="1196"/>
      <c r="Y38" s="1196"/>
      <c r="Z38" s="1196"/>
      <c r="AA38" s="1196"/>
      <c r="AB38" s="1197"/>
      <c r="AC38" s="1202"/>
      <c r="AD38" s="1196"/>
      <c r="AE38" s="1196"/>
      <c r="AF38" s="1196"/>
      <c r="AG38" s="1197"/>
      <c r="AH38" s="1267"/>
      <c r="AI38" s="1268"/>
      <c r="AJ38" s="1268"/>
      <c r="AK38" s="1268"/>
      <c r="AL38" s="1268"/>
      <c r="AM38" s="1269"/>
      <c r="AN38" s="1211"/>
      <c r="AO38" s="1206"/>
      <c r="AP38" s="1206"/>
      <c r="AQ38" s="1206"/>
      <c r="AR38" s="1207"/>
      <c r="AS38" s="1211"/>
      <c r="AT38" s="1206"/>
      <c r="AU38" s="1206"/>
      <c r="AV38" s="1206"/>
      <c r="AW38" s="1214"/>
      <c r="AX38" s="1211"/>
      <c r="AY38" s="1206"/>
      <c r="AZ38" s="1206"/>
      <c r="BA38" s="1206"/>
      <c r="BB38" s="1214"/>
    </row>
    <row r="39" spans="1:54" s="13" customFormat="1" ht="11.25" customHeight="1" thickBot="1" x14ac:dyDescent="0.25">
      <c r="A39" s="1198"/>
      <c r="B39" s="1199"/>
      <c r="C39" s="1199"/>
      <c r="D39" s="1199"/>
      <c r="E39" s="1199"/>
      <c r="F39" s="1199"/>
      <c r="G39" s="1200"/>
      <c r="H39" s="1203"/>
      <c r="I39" s="1199"/>
      <c r="J39" s="1199"/>
      <c r="K39" s="1199"/>
      <c r="L39" s="1199"/>
      <c r="M39" s="1199"/>
      <c r="N39" s="1199"/>
      <c r="O39" s="1199"/>
      <c r="P39" s="1199"/>
      <c r="Q39" s="1199"/>
      <c r="R39" s="1199"/>
      <c r="S39" s="1199"/>
      <c r="T39" s="1199"/>
      <c r="U39" s="1199"/>
      <c r="V39" s="1199"/>
      <c r="W39" s="1199"/>
      <c r="X39" s="1199"/>
      <c r="Y39" s="1199"/>
      <c r="Z39" s="1199"/>
      <c r="AA39" s="1199"/>
      <c r="AB39" s="1200"/>
      <c r="AC39" s="1203"/>
      <c r="AD39" s="1199"/>
      <c r="AE39" s="1199"/>
      <c r="AF39" s="1199"/>
      <c r="AG39" s="1200"/>
      <c r="AH39" s="1270"/>
      <c r="AI39" s="1271"/>
      <c r="AJ39" s="1271"/>
      <c r="AK39" s="1271"/>
      <c r="AL39" s="1271"/>
      <c r="AM39" s="1272"/>
      <c r="AN39" s="1212"/>
      <c r="AO39" s="1208"/>
      <c r="AP39" s="1208"/>
      <c r="AQ39" s="1208"/>
      <c r="AR39" s="1209"/>
      <c r="AS39" s="1212"/>
      <c r="AT39" s="1208"/>
      <c r="AU39" s="1208"/>
      <c r="AV39" s="1208"/>
      <c r="AW39" s="1215"/>
      <c r="AX39" s="1212"/>
      <c r="AY39" s="1208"/>
      <c r="AZ39" s="1208"/>
      <c r="BA39" s="1208"/>
      <c r="BB39" s="1215"/>
    </row>
    <row r="40" spans="1:54" ht="18.75" customHeight="1" thickBot="1" x14ac:dyDescent="0.25">
      <c r="A40" s="1219" t="s">
        <v>23</v>
      </c>
      <c r="B40" s="1220"/>
      <c r="C40" s="1220"/>
      <c r="D40" s="1220"/>
      <c r="E40" s="1220"/>
      <c r="F40" s="1220"/>
      <c r="G40" s="1220"/>
      <c r="H40" s="1220"/>
      <c r="I40" s="1220"/>
      <c r="J40" s="1220"/>
      <c r="K40" s="1220"/>
      <c r="L40" s="1220"/>
      <c r="M40" s="1220"/>
      <c r="N40" s="1220"/>
      <c r="O40" s="1220"/>
      <c r="P40" s="1220"/>
      <c r="Q40" s="1220"/>
      <c r="R40" s="1220"/>
      <c r="S40" s="1220"/>
      <c r="T40" s="1220"/>
      <c r="U40" s="1220"/>
      <c r="V40" s="1220"/>
      <c r="W40" s="1220"/>
      <c r="X40" s="1220"/>
      <c r="Y40" s="1220"/>
      <c r="Z40" s="1220"/>
      <c r="AA40" s="1220"/>
      <c r="AB40" s="1220"/>
      <c r="AC40" s="1220"/>
      <c r="AD40" s="1220"/>
      <c r="AE40" s="1220"/>
      <c r="AF40" s="1220"/>
      <c r="AG40" s="1220"/>
      <c r="AH40" s="1220"/>
      <c r="AI40" s="1220"/>
      <c r="AJ40" s="1220"/>
      <c r="AK40" s="1220"/>
      <c r="AL40" s="1220"/>
      <c r="AM40" s="1220"/>
      <c r="AN40" s="1220"/>
      <c r="AO40" s="1220"/>
      <c r="AP40" s="1220"/>
      <c r="AQ40" s="1220"/>
      <c r="AR40" s="1220"/>
      <c r="AS40" s="1220"/>
      <c r="AT40" s="1220"/>
      <c r="AU40" s="1220"/>
      <c r="AV40" s="1220"/>
      <c r="AW40" s="1220"/>
      <c r="AX40" s="1220"/>
      <c r="AY40" s="1220"/>
      <c r="AZ40" s="1220"/>
      <c r="BA40" s="1220"/>
      <c r="BB40" s="1221"/>
    </row>
    <row r="41" spans="1:54" ht="36" customHeight="1" x14ac:dyDescent="0.2">
      <c r="A41" s="1222"/>
      <c r="B41" s="1223"/>
      <c r="C41" s="1223"/>
      <c r="D41" s="1223"/>
      <c r="E41" s="1223"/>
      <c r="F41" s="1223"/>
      <c r="G41" s="1224"/>
      <c r="H41" s="1231" t="s">
        <v>16</v>
      </c>
      <c r="I41" s="1232"/>
      <c r="J41" s="1232"/>
      <c r="K41" s="1232"/>
      <c r="L41" s="1232"/>
      <c r="M41" s="1232"/>
      <c r="N41" s="1232"/>
      <c r="O41" s="1232"/>
      <c r="P41" s="1232"/>
      <c r="Q41" s="1232"/>
      <c r="R41" s="1232"/>
      <c r="S41" s="1232"/>
      <c r="T41" s="1232"/>
      <c r="U41" s="1232"/>
      <c r="V41" s="1232"/>
      <c r="W41" s="1232"/>
      <c r="X41" s="1232"/>
      <c r="Y41" s="1232"/>
      <c r="Z41" s="1237">
        <v>0</v>
      </c>
      <c r="AA41" s="1238"/>
      <c r="AB41" s="1239"/>
      <c r="AC41" s="1232">
        <f>AX83*Z41*AH41</f>
        <v>0</v>
      </c>
      <c r="AD41" s="1232"/>
      <c r="AE41" s="1232"/>
      <c r="AF41" s="1232"/>
      <c r="AG41" s="1246"/>
      <c r="AH41" s="1250"/>
      <c r="AI41" s="1251"/>
      <c r="AJ41" s="1251"/>
      <c r="AK41" s="1251"/>
      <c r="AL41" s="1251"/>
      <c r="AM41" s="1252"/>
      <c r="AN41" s="1259">
        <f>AC41/U12</f>
        <v>0</v>
      </c>
      <c r="AO41" s="1232"/>
      <c r="AP41" s="1232"/>
      <c r="AQ41" s="1232"/>
      <c r="AR41" s="1246"/>
      <c r="AS41" s="1250" t="s">
        <v>17</v>
      </c>
      <c r="AT41" s="1251"/>
      <c r="AU41" s="1251"/>
      <c r="AV41" s="1251"/>
      <c r="AW41" s="1252"/>
      <c r="AX41" s="1259" t="s">
        <v>17</v>
      </c>
      <c r="AY41" s="1232"/>
      <c r="AZ41" s="1232"/>
      <c r="BA41" s="1232"/>
      <c r="BB41" s="1262"/>
    </row>
    <row r="42" spans="1:54" s="11" customFormat="1" ht="0.75" hidden="1" customHeight="1" x14ac:dyDescent="0.2">
      <c r="A42" s="1225"/>
      <c r="B42" s="1226"/>
      <c r="C42" s="1226"/>
      <c r="D42" s="1226"/>
      <c r="E42" s="1226"/>
      <c r="F42" s="1226"/>
      <c r="G42" s="1227"/>
      <c r="H42" s="1233"/>
      <c r="I42" s="1234"/>
      <c r="J42" s="1234"/>
      <c r="K42" s="1234"/>
      <c r="L42" s="1234"/>
      <c r="M42" s="1234"/>
      <c r="N42" s="1234"/>
      <c r="O42" s="1234"/>
      <c r="P42" s="1234"/>
      <c r="Q42" s="1234"/>
      <c r="R42" s="1234"/>
      <c r="S42" s="1234"/>
      <c r="T42" s="1234"/>
      <c r="U42" s="1234"/>
      <c r="V42" s="1234"/>
      <c r="W42" s="1234"/>
      <c r="X42" s="1234"/>
      <c r="Y42" s="1234"/>
      <c r="Z42" s="1240"/>
      <c r="AA42" s="1241"/>
      <c r="AB42" s="1242"/>
      <c r="AC42" s="1234"/>
      <c r="AD42" s="1234"/>
      <c r="AE42" s="1234"/>
      <c r="AF42" s="1234"/>
      <c r="AG42" s="1247"/>
      <c r="AH42" s="1253"/>
      <c r="AI42" s="1254"/>
      <c r="AJ42" s="1254"/>
      <c r="AK42" s="1254"/>
      <c r="AL42" s="1254"/>
      <c r="AM42" s="1255"/>
      <c r="AN42" s="1260"/>
      <c r="AO42" s="1234"/>
      <c r="AP42" s="1234"/>
      <c r="AQ42" s="1234"/>
      <c r="AR42" s="1247"/>
      <c r="AS42" s="1253"/>
      <c r="AT42" s="1254"/>
      <c r="AU42" s="1254"/>
      <c r="AV42" s="1254"/>
      <c r="AW42" s="1255"/>
      <c r="AX42" s="1260"/>
      <c r="AY42" s="1234"/>
      <c r="AZ42" s="1234"/>
      <c r="BA42" s="1234"/>
      <c r="BB42" s="1263"/>
    </row>
    <row r="43" spans="1:54" ht="18" customHeight="1" x14ac:dyDescent="0.2">
      <c r="A43" s="1225"/>
      <c r="B43" s="1226"/>
      <c r="C43" s="1226"/>
      <c r="D43" s="1226"/>
      <c r="E43" s="1226"/>
      <c r="F43" s="1226"/>
      <c r="G43" s="1227"/>
      <c r="H43" s="1233"/>
      <c r="I43" s="1234"/>
      <c r="J43" s="1234"/>
      <c r="K43" s="1234"/>
      <c r="L43" s="1234"/>
      <c r="M43" s="1234"/>
      <c r="N43" s="1234"/>
      <c r="O43" s="1234"/>
      <c r="P43" s="1234"/>
      <c r="Q43" s="1234"/>
      <c r="R43" s="1234"/>
      <c r="S43" s="1234"/>
      <c r="T43" s="1234"/>
      <c r="U43" s="1234"/>
      <c r="V43" s="1234"/>
      <c r="W43" s="1234"/>
      <c r="X43" s="1234"/>
      <c r="Y43" s="1234"/>
      <c r="Z43" s="1240"/>
      <c r="AA43" s="1241"/>
      <c r="AB43" s="1242"/>
      <c r="AC43" s="1248"/>
      <c r="AD43" s="1248"/>
      <c r="AE43" s="1248"/>
      <c r="AF43" s="1248"/>
      <c r="AG43" s="1249"/>
      <c r="AH43" s="1256"/>
      <c r="AI43" s="1257"/>
      <c r="AJ43" s="1257"/>
      <c r="AK43" s="1257"/>
      <c r="AL43" s="1257"/>
      <c r="AM43" s="1258"/>
      <c r="AN43" s="1261"/>
      <c r="AO43" s="1248"/>
      <c r="AP43" s="1248"/>
      <c r="AQ43" s="1248"/>
      <c r="AR43" s="1249"/>
      <c r="AS43" s="1256"/>
      <c r="AT43" s="1257"/>
      <c r="AU43" s="1257"/>
      <c r="AV43" s="1257"/>
      <c r="AW43" s="1258"/>
      <c r="AX43" s="1261"/>
      <c r="AY43" s="1248"/>
      <c r="AZ43" s="1248"/>
      <c r="BA43" s="1248"/>
      <c r="BB43" s="1264"/>
    </row>
    <row r="44" spans="1:54" s="11" customFormat="1" ht="21" hidden="1" customHeight="1" x14ac:dyDescent="0.2">
      <c r="A44" s="1225"/>
      <c r="B44" s="1226"/>
      <c r="C44" s="1226"/>
      <c r="D44" s="1226"/>
      <c r="E44" s="1226"/>
      <c r="F44" s="1226"/>
      <c r="G44" s="1227"/>
      <c r="H44" s="1233"/>
      <c r="I44" s="1234"/>
      <c r="J44" s="1234"/>
      <c r="K44" s="1234"/>
      <c r="L44" s="1234"/>
      <c r="M44" s="1234"/>
      <c r="N44" s="1234"/>
      <c r="O44" s="1234"/>
      <c r="P44" s="1234"/>
      <c r="Q44" s="1234"/>
      <c r="R44" s="1234"/>
      <c r="S44" s="1234"/>
      <c r="T44" s="1234"/>
      <c r="U44" s="1234"/>
      <c r="V44" s="1234"/>
      <c r="W44" s="1234"/>
      <c r="X44" s="1234"/>
      <c r="Y44" s="1234"/>
      <c r="Z44" s="1240"/>
      <c r="AA44" s="1241"/>
      <c r="AB44" s="1242"/>
      <c r="AC44" s="64"/>
      <c r="AD44" s="62"/>
      <c r="AE44" s="62"/>
      <c r="AF44" s="62"/>
      <c r="AG44" s="63"/>
      <c r="AH44" s="74"/>
      <c r="AI44" s="75"/>
      <c r="AJ44" s="75"/>
      <c r="AK44" s="75"/>
      <c r="AL44" s="75"/>
      <c r="AM44" s="76"/>
      <c r="AN44" s="64"/>
      <c r="AO44" s="62"/>
      <c r="AP44" s="62"/>
      <c r="AQ44" s="62"/>
      <c r="AR44" s="63"/>
      <c r="AS44" s="77"/>
      <c r="AT44" s="78"/>
      <c r="AU44" s="78"/>
      <c r="AV44" s="78"/>
      <c r="AW44" s="79"/>
      <c r="AX44" s="64"/>
      <c r="AY44" s="62"/>
      <c r="AZ44" s="62"/>
      <c r="BA44" s="62"/>
      <c r="BB44" s="264"/>
    </row>
    <row r="45" spans="1:54" s="11" customFormat="1" ht="21.75" hidden="1" customHeight="1" x14ac:dyDescent="0.2">
      <c r="A45" s="1225"/>
      <c r="B45" s="1226"/>
      <c r="C45" s="1226"/>
      <c r="D45" s="1226"/>
      <c r="E45" s="1226"/>
      <c r="F45" s="1226"/>
      <c r="G45" s="1227"/>
      <c r="H45" s="1233"/>
      <c r="I45" s="1234"/>
      <c r="J45" s="1234"/>
      <c r="K45" s="1234"/>
      <c r="L45" s="1234"/>
      <c r="M45" s="1234"/>
      <c r="N45" s="1234"/>
      <c r="O45" s="1234"/>
      <c r="P45" s="1234"/>
      <c r="Q45" s="1234"/>
      <c r="R45" s="1234"/>
      <c r="S45" s="1234"/>
      <c r="T45" s="1234"/>
      <c r="U45" s="1234"/>
      <c r="V45" s="1234"/>
      <c r="W45" s="1234"/>
      <c r="X45" s="1234"/>
      <c r="Y45" s="1234"/>
      <c r="Z45" s="1240"/>
      <c r="AA45" s="1241"/>
      <c r="AB45" s="1242"/>
      <c r="AC45" s="64"/>
      <c r="AD45" s="62"/>
      <c r="AE45" s="62"/>
      <c r="AF45" s="62"/>
      <c r="AG45" s="63"/>
      <c r="AH45" s="74"/>
      <c r="AI45" s="75"/>
      <c r="AJ45" s="75"/>
      <c r="AK45" s="75"/>
      <c r="AL45" s="75"/>
      <c r="AM45" s="76"/>
      <c r="AN45" s="64"/>
      <c r="AO45" s="62"/>
      <c r="AP45" s="62"/>
      <c r="AQ45" s="62"/>
      <c r="AR45" s="63"/>
      <c r="AS45" s="77"/>
      <c r="AT45" s="78"/>
      <c r="AU45" s="78"/>
      <c r="AV45" s="78"/>
      <c r="AW45" s="79"/>
      <c r="AX45" s="64"/>
      <c r="AY45" s="62"/>
      <c r="AZ45" s="62"/>
      <c r="BA45" s="62"/>
      <c r="BB45" s="264"/>
    </row>
    <row r="46" spans="1:54" s="11" customFormat="1" ht="24" hidden="1" customHeight="1" x14ac:dyDescent="0.2">
      <c r="A46" s="1225"/>
      <c r="B46" s="1226"/>
      <c r="C46" s="1226"/>
      <c r="D46" s="1226"/>
      <c r="E46" s="1226"/>
      <c r="F46" s="1226"/>
      <c r="G46" s="1227"/>
      <c r="H46" s="1233"/>
      <c r="I46" s="1234"/>
      <c r="J46" s="1234"/>
      <c r="K46" s="1234"/>
      <c r="L46" s="1234"/>
      <c r="M46" s="1234"/>
      <c r="N46" s="1234"/>
      <c r="O46" s="1234"/>
      <c r="P46" s="1234"/>
      <c r="Q46" s="1234"/>
      <c r="R46" s="1234"/>
      <c r="S46" s="1234"/>
      <c r="T46" s="1234"/>
      <c r="U46" s="1234"/>
      <c r="V46" s="1234"/>
      <c r="W46" s="1234"/>
      <c r="X46" s="1234"/>
      <c r="Y46" s="1234"/>
      <c r="Z46" s="1240"/>
      <c r="AA46" s="1241"/>
      <c r="AB46" s="1242"/>
      <c r="AC46" s="64"/>
      <c r="AD46" s="62"/>
      <c r="AE46" s="62"/>
      <c r="AF46" s="62"/>
      <c r="AG46" s="63"/>
      <c r="AH46" s="74"/>
      <c r="AI46" s="75"/>
      <c r="AJ46" s="75"/>
      <c r="AK46" s="75"/>
      <c r="AL46" s="75"/>
      <c r="AM46" s="76"/>
      <c r="AN46" s="64"/>
      <c r="AO46" s="62"/>
      <c r="AP46" s="62"/>
      <c r="AQ46" s="62"/>
      <c r="AR46" s="63"/>
      <c r="AS46" s="77"/>
      <c r="AT46" s="78"/>
      <c r="AU46" s="78"/>
      <c r="AV46" s="78"/>
      <c r="AW46" s="79"/>
      <c r="AX46" s="64"/>
      <c r="AY46" s="62"/>
      <c r="AZ46" s="62"/>
      <c r="BA46" s="62"/>
      <c r="BB46" s="264"/>
    </row>
    <row r="47" spans="1:54" s="11" customFormat="1" ht="18" hidden="1" customHeight="1" x14ac:dyDescent="0.2">
      <c r="A47" s="1225"/>
      <c r="B47" s="1226"/>
      <c r="C47" s="1226"/>
      <c r="D47" s="1226"/>
      <c r="E47" s="1226"/>
      <c r="F47" s="1226"/>
      <c r="G47" s="1227"/>
      <c r="H47" s="1233"/>
      <c r="I47" s="1234"/>
      <c r="J47" s="1234"/>
      <c r="K47" s="1234"/>
      <c r="L47" s="1234"/>
      <c r="M47" s="1234"/>
      <c r="N47" s="1234"/>
      <c r="O47" s="1234"/>
      <c r="P47" s="1234"/>
      <c r="Q47" s="1234"/>
      <c r="R47" s="1234"/>
      <c r="S47" s="1234"/>
      <c r="T47" s="1234"/>
      <c r="U47" s="1234"/>
      <c r="V47" s="1234"/>
      <c r="W47" s="1234"/>
      <c r="X47" s="1234"/>
      <c r="Y47" s="1234"/>
      <c r="Z47" s="1240"/>
      <c r="AA47" s="1241"/>
      <c r="AB47" s="1242"/>
      <c r="AC47" s="64"/>
      <c r="AD47" s="62"/>
      <c r="AE47" s="62"/>
      <c r="AF47" s="62"/>
      <c r="AG47" s="63"/>
      <c r="AH47" s="74"/>
      <c r="AI47" s="75"/>
      <c r="AJ47" s="75"/>
      <c r="AK47" s="75"/>
      <c r="AL47" s="75"/>
      <c r="AM47" s="76"/>
      <c r="AN47" s="64"/>
      <c r="AO47" s="62"/>
      <c r="AP47" s="62"/>
      <c r="AQ47" s="62"/>
      <c r="AR47" s="63"/>
      <c r="AS47" s="77"/>
      <c r="AT47" s="78"/>
      <c r="AU47" s="78"/>
      <c r="AV47" s="78"/>
      <c r="AW47" s="79"/>
      <c r="AX47" s="64"/>
      <c r="AY47" s="62"/>
      <c r="AZ47" s="62"/>
      <c r="BA47" s="62"/>
      <c r="BB47" s="264"/>
    </row>
    <row r="48" spans="1:54" s="11" customFormat="1" ht="17.25" hidden="1" customHeight="1" x14ac:dyDescent="0.2">
      <c r="A48" s="1225"/>
      <c r="B48" s="1226"/>
      <c r="C48" s="1226"/>
      <c r="D48" s="1226"/>
      <c r="E48" s="1226"/>
      <c r="F48" s="1226"/>
      <c r="G48" s="1227"/>
      <c r="H48" s="1233"/>
      <c r="I48" s="1234"/>
      <c r="J48" s="1234"/>
      <c r="K48" s="1234"/>
      <c r="L48" s="1234"/>
      <c r="M48" s="1234"/>
      <c r="N48" s="1234"/>
      <c r="O48" s="1234"/>
      <c r="P48" s="1234"/>
      <c r="Q48" s="1234"/>
      <c r="R48" s="1234"/>
      <c r="S48" s="1234"/>
      <c r="T48" s="1234"/>
      <c r="U48" s="1234"/>
      <c r="V48" s="1234"/>
      <c r="W48" s="1234"/>
      <c r="X48" s="1234"/>
      <c r="Y48" s="1234"/>
      <c r="Z48" s="1240"/>
      <c r="AA48" s="1241"/>
      <c r="AB48" s="1242"/>
      <c r="AC48" s="64"/>
      <c r="AD48" s="62"/>
      <c r="AE48" s="62"/>
      <c r="AF48" s="62"/>
      <c r="AG48" s="63"/>
      <c r="AH48" s="74"/>
      <c r="AI48" s="75"/>
      <c r="AJ48" s="75"/>
      <c r="AK48" s="75"/>
      <c r="AL48" s="75"/>
      <c r="AM48" s="76"/>
      <c r="AN48" s="64"/>
      <c r="AO48" s="62"/>
      <c r="AP48" s="62"/>
      <c r="AQ48" s="62"/>
      <c r="AR48" s="63"/>
      <c r="AS48" s="77"/>
      <c r="AT48" s="78"/>
      <c r="AU48" s="78"/>
      <c r="AV48" s="78"/>
      <c r="AW48" s="79"/>
      <c r="AX48" s="64"/>
      <c r="AY48" s="62"/>
      <c r="AZ48" s="62"/>
      <c r="BA48" s="62"/>
      <c r="BB48" s="264"/>
    </row>
    <row r="49" spans="1:54" s="11" customFormat="1" ht="14.25" hidden="1" customHeight="1" x14ac:dyDescent="0.2">
      <c r="A49" s="1225"/>
      <c r="B49" s="1226"/>
      <c r="C49" s="1226"/>
      <c r="D49" s="1226"/>
      <c r="E49" s="1226"/>
      <c r="F49" s="1226"/>
      <c r="G49" s="1227"/>
      <c r="H49" s="1233"/>
      <c r="I49" s="1234"/>
      <c r="J49" s="1234"/>
      <c r="K49" s="1234"/>
      <c r="L49" s="1234"/>
      <c r="M49" s="1234"/>
      <c r="N49" s="1234"/>
      <c r="O49" s="1234"/>
      <c r="P49" s="1234"/>
      <c r="Q49" s="1234"/>
      <c r="R49" s="1234"/>
      <c r="S49" s="1234"/>
      <c r="T49" s="1234"/>
      <c r="U49" s="1234"/>
      <c r="V49" s="1234"/>
      <c r="W49" s="1234"/>
      <c r="X49" s="1234"/>
      <c r="Y49" s="1234"/>
      <c r="Z49" s="1240"/>
      <c r="AA49" s="1241"/>
      <c r="AB49" s="1242"/>
      <c r="AC49" s="64"/>
      <c r="AD49" s="62"/>
      <c r="AE49" s="62"/>
      <c r="AF49" s="62"/>
      <c r="AG49" s="63"/>
      <c r="AH49" s="74"/>
      <c r="AI49" s="75"/>
      <c r="AJ49" s="75"/>
      <c r="AK49" s="75"/>
      <c r="AL49" s="75"/>
      <c r="AM49" s="76"/>
      <c r="AN49" s="64"/>
      <c r="AO49" s="62"/>
      <c r="AP49" s="62"/>
      <c r="AQ49" s="62"/>
      <c r="AR49" s="63"/>
      <c r="AS49" s="77"/>
      <c r="AT49" s="78"/>
      <c r="AU49" s="78"/>
      <c r="AV49" s="78"/>
      <c r="AW49" s="79"/>
      <c r="AX49" s="64"/>
      <c r="AY49" s="62"/>
      <c r="AZ49" s="62"/>
      <c r="BA49" s="62"/>
      <c r="BB49" s="264"/>
    </row>
    <row r="50" spans="1:54" ht="0.75" customHeight="1" thickBot="1" x14ac:dyDescent="0.25">
      <c r="A50" s="1228"/>
      <c r="B50" s="1229"/>
      <c r="C50" s="1229"/>
      <c r="D50" s="1229"/>
      <c r="E50" s="1229"/>
      <c r="F50" s="1229"/>
      <c r="G50" s="1230"/>
      <c r="H50" s="1235"/>
      <c r="I50" s="1236"/>
      <c r="J50" s="1236"/>
      <c r="K50" s="1236"/>
      <c r="L50" s="1236"/>
      <c r="M50" s="1236"/>
      <c r="N50" s="1236"/>
      <c r="O50" s="1236"/>
      <c r="P50" s="1236"/>
      <c r="Q50" s="1236"/>
      <c r="R50" s="1236"/>
      <c r="S50" s="1236"/>
      <c r="T50" s="1236"/>
      <c r="U50" s="1236"/>
      <c r="V50" s="1236"/>
      <c r="W50" s="1236"/>
      <c r="X50" s="1236"/>
      <c r="Y50" s="1236"/>
      <c r="Z50" s="1243"/>
      <c r="AA50" s="1244"/>
      <c r="AB50" s="1245"/>
      <c r="AC50" s="265"/>
      <c r="AD50" s="266"/>
      <c r="AE50" s="266"/>
      <c r="AF50" s="266"/>
      <c r="AG50" s="267"/>
      <c r="AH50" s="268"/>
      <c r="AI50" s="269"/>
      <c r="AJ50" s="269"/>
      <c r="AK50" s="269"/>
      <c r="AL50" s="269"/>
      <c r="AM50" s="270"/>
      <c r="AN50" s="265"/>
      <c r="AO50" s="266"/>
      <c r="AP50" s="266"/>
      <c r="AQ50" s="266"/>
      <c r="AR50" s="267"/>
      <c r="AS50" s="271"/>
      <c r="AT50" s="272"/>
      <c r="AU50" s="272"/>
      <c r="AV50" s="272"/>
      <c r="AW50" s="273"/>
      <c r="AX50" s="265"/>
      <c r="AY50" s="266"/>
      <c r="AZ50" s="266"/>
      <c r="BA50" s="266"/>
      <c r="BB50" s="274"/>
    </row>
    <row r="51" spans="1:54" s="11" customFormat="1" ht="11.25" customHeight="1" x14ac:dyDescent="0.2">
      <c r="A51" s="12"/>
      <c r="B51" s="12"/>
      <c r="C51" s="12"/>
      <c r="D51" s="12"/>
      <c r="E51" s="12"/>
      <c r="F51" s="12"/>
      <c r="G51" s="12"/>
      <c r="H51" s="1216"/>
      <c r="I51" s="1216"/>
      <c r="J51" s="1216"/>
      <c r="K51" s="1216"/>
      <c r="L51" s="10"/>
      <c r="M51" s="10"/>
      <c r="N51" s="10"/>
      <c r="O51" s="10"/>
      <c r="P51" s="10"/>
      <c r="Q51" s="23"/>
      <c r="R51" s="24" t="s">
        <v>18</v>
      </c>
      <c r="S51" s="9"/>
      <c r="T51" s="9"/>
      <c r="U51" s="8"/>
      <c r="V51" s="8"/>
      <c r="W51" s="8"/>
      <c r="X51" s="8"/>
      <c r="Y51" s="8"/>
      <c r="Z51" s="8"/>
      <c r="AA51" s="8"/>
      <c r="AB51" s="8"/>
      <c r="AC51" s="8"/>
      <c r="AD51" s="8" t="s">
        <v>19</v>
      </c>
      <c r="AE51" s="8" t="s">
        <v>20</v>
      </c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25"/>
      <c r="AS51" s="1217">
        <f>SUM(AN41:AR50)</f>
        <v>0</v>
      </c>
      <c r="AT51" s="1217"/>
      <c r="AU51" s="1217"/>
      <c r="AV51" s="1217"/>
      <c r="AW51" s="1217"/>
      <c r="AX51" s="1217">
        <f>SUM(AX41:BB44)</f>
        <v>0</v>
      </c>
      <c r="AY51" s="1217"/>
      <c r="AZ51" s="1217"/>
      <c r="BA51" s="1217"/>
      <c r="BB51" s="1218"/>
    </row>
    <row r="52" spans="1:54" s="11" customFormat="1" ht="11.25" customHeight="1" thickBot="1" x14ac:dyDescent="0.25">
      <c r="A52" s="12"/>
      <c r="B52" s="12"/>
      <c r="C52" s="12"/>
      <c r="D52" s="12"/>
      <c r="E52" s="12"/>
      <c r="F52" s="12"/>
      <c r="G52" s="12"/>
      <c r="H52" s="121"/>
      <c r="I52" s="121"/>
      <c r="J52" s="121"/>
      <c r="K52" s="121"/>
      <c r="L52" s="10"/>
      <c r="M52" s="10"/>
      <c r="N52" s="10"/>
      <c r="O52" s="10"/>
      <c r="P52" s="10"/>
      <c r="Q52" s="26"/>
      <c r="R52" s="20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 t="s">
        <v>19</v>
      </c>
      <c r="AE52" s="21" t="s">
        <v>21</v>
      </c>
      <c r="AF52" s="21"/>
      <c r="AG52" s="21"/>
      <c r="AH52" s="21"/>
      <c r="AI52" s="21"/>
      <c r="AJ52" s="21"/>
      <c r="AK52" s="21"/>
      <c r="AL52" s="21"/>
      <c r="AM52" s="21"/>
      <c r="AN52" s="21"/>
      <c r="AO52" s="1153">
        <v>0.30199999999999999</v>
      </c>
      <c r="AP52" s="997"/>
      <c r="AQ52" s="997"/>
      <c r="AR52" s="998"/>
      <c r="AS52" s="1154">
        <f>AS51*27.1%</f>
        <v>0</v>
      </c>
      <c r="AT52" s="1154"/>
      <c r="AU52" s="1154"/>
      <c r="AV52" s="1154"/>
      <c r="AW52" s="1154"/>
      <c r="AX52" s="1154">
        <f>AX51*AO52</f>
        <v>0</v>
      </c>
      <c r="AY52" s="1154"/>
      <c r="AZ52" s="1154"/>
      <c r="BA52" s="1154"/>
      <c r="BB52" s="1155"/>
    </row>
    <row r="53" spans="1:54" s="11" customFormat="1" ht="8.25" customHeight="1" thickBot="1" x14ac:dyDescent="0.25">
      <c r="A53" s="12"/>
      <c r="B53" s="12"/>
      <c r="C53" s="12"/>
      <c r="D53" s="12"/>
      <c r="E53" s="12"/>
      <c r="F53" s="12"/>
      <c r="G53" s="12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27"/>
      <c r="AA53" s="27"/>
      <c r="AB53" s="27"/>
      <c r="AC53" s="27"/>
      <c r="AD53" s="27"/>
      <c r="AE53" s="28"/>
      <c r="AF53" s="28"/>
      <c r="AG53" s="28"/>
      <c r="AH53" s="28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13"/>
      <c r="AT53" s="13"/>
      <c r="AU53" s="13"/>
      <c r="AV53" s="13"/>
      <c r="AW53" s="13"/>
      <c r="AX53" s="13"/>
      <c r="AY53" s="13"/>
      <c r="AZ53" s="13"/>
      <c r="BA53" s="13"/>
      <c r="BB53" s="13"/>
    </row>
    <row r="54" spans="1:54" s="11" customFormat="1" ht="12" customHeight="1" x14ac:dyDescent="0.2">
      <c r="A54" s="1192" t="s">
        <v>8</v>
      </c>
      <c r="B54" s="1193"/>
      <c r="C54" s="1193"/>
      <c r="D54" s="1193"/>
      <c r="E54" s="1193"/>
      <c r="F54" s="1193"/>
      <c r="G54" s="1194"/>
      <c r="H54" s="1201" t="s">
        <v>9</v>
      </c>
      <c r="I54" s="1193"/>
      <c r="J54" s="1193"/>
      <c r="K54" s="1193"/>
      <c r="L54" s="1193"/>
      <c r="M54" s="1193"/>
      <c r="N54" s="1193"/>
      <c r="O54" s="1193"/>
      <c r="P54" s="1193"/>
      <c r="Q54" s="1193"/>
      <c r="R54" s="1193"/>
      <c r="S54" s="1193"/>
      <c r="T54" s="1193"/>
      <c r="U54" s="1193"/>
      <c r="V54" s="1193"/>
      <c r="W54" s="1193"/>
      <c r="X54" s="1193"/>
      <c r="Y54" s="1193"/>
      <c r="Z54" s="1193"/>
      <c r="AA54" s="1193"/>
      <c r="AB54" s="1194"/>
      <c r="AC54" s="1201" t="s">
        <v>10</v>
      </c>
      <c r="AD54" s="1193"/>
      <c r="AE54" s="1193"/>
      <c r="AF54" s="1193"/>
      <c r="AG54" s="1194"/>
      <c r="AH54" s="1204" t="s">
        <v>24</v>
      </c>
      <c r="AI54" s="1204"/>
      <c r="AJ54" s="1204"/>
      <c r="AK54" s="1204"/>
      <c r="AL54" s="1204"/>
      <c r="AM54" s="1205"/>
      <c r="AN54" s="1210" t="s">
        <v>12</v>
      </c>
      <c r="AO54" s="1204"/>
      <c r="AP54" s="1204"/>
      <c r="AQ54" s="1204"/>
      <c r="AR54" s="1205"/>
      <c r="AS54" s="1210" t="s">
        <v>13</v>
      </c>
      <c r="AT54" s="1204"/>
      <c r="AU54" s="1204"/>
      <c r="AV54" s="1204"/>
      <c r="AW54" s="1213"/>
      <c r="AX54" s="1210" t="s">
        <v>14</v>
      </c>
      <c r="AY54" s="1204"/>
      <c r="AZ54" s="1204"/>
      <c r="BA54" s="1204"/>
      <c r="BB54" s="1213"/>
    </row>
    <row r="55" spans="1:54" s="11" customFormat="1" ht="12" customHeight="1" x14ac:dyDescent="0.2">
      <c r="A55" s="1195"/>
      <c r="B55" s="1196"/>
      <c r="C55" s="1196"/>
      <c r="D55" s="1196"/>
      <c r="E55" s="1196"/>
      <c r="F55" s="1196"/>
      <c r="G55" s="1197"/>
      <c r="H55" s="1202"/>
      <c r="I55" s="1196"/>
      <c r="J55" s="1196"/>
      <c r="K55" s="1196"/>
      <c r="L55" s="1196"/>
      <c r="M55" s="1196"/>
      <c r="N55" s="1196"/>
      <c r="O55" s="1196"/>
      <c r="P55" s="1196"/>
      <c r="Q55" s="1196"/>
      <c r="R55" s="1196"/>
      <c r="S55" s="1196"/>
      <c r="T55" s="1196"/>
      <c r="U55" s="1196"/>
      <c r="V55" s="1196"/>
      <c r="W55" s="1196"/>
      <c r="X55" s="1196"/>
      <c r="Y55" s="1196"/>
      <c r="Z55" s="1196"/>
      <c r="AA55" s="1196"/>
      <c r="AB55" s="1197"/>
      <c r="AC55" s="1202"/>
      <c r="AD55" s="1196"/>
      <c r="AE55" s="1196"/>
      <c r="AF55" s="1196"/>
      <c r="AG55" s="1197"/>
      <c r="AH55" s="1206"/>
      <c r="AI55" s="1206"/>
      <c r="AJ55" s="1206"/>
      <c r="AK55" s="1206"/>
      <c r="AL55" s="1206"/>
      <c r="AM55" s="1207"/>
      <c r="AN55" s="1211"/>
      <c r="AO55" s="1206"/>
      <c r="AP55" s="1206"/>
      <c r="AQ55" s="1206"/>
      <c r="AR55" s="1207"/>
      <c r="AS55" s="1211"/>
      <c r="AT55" s="1206"/>
      <c r="AU55" s="1206"/>
      <c r="AV55" s="1206"/>
      <c r="AW55" s="1214"/>
      <c r="AX55" s="1211"/>
      <c r="AY55" s="1206"/>
      <c r="AZ55" s="1206"/>
      <c r="BA55" s="1206"/>
      <c r="BB55" s="1214"/>
    </row>
    <row r="56" spans="1:54" s="10" customFormat="1" ht="13.5" customHeight="1" thickBot="1" x14ac:dyDescent="0.25">
      <c r="A56" s="1198"/>
      <c r="B56" s="1199"/>
      <c r="C56" s="1199"/>
      <c r="D56" s="1199"/>
      <c r="E56" s="1199"/>
      <c r="F56" s="1199"/>
      <c r="G56" s="1200"/>
      <c r="H56" s="1203"/>
      <c r="I56" s="1199"/>
      <c r="J56" s="1199"/>
      <c r="K56" s="1199"/>
      <c r="L56" s="1199"/>
      <c r="M56" s="1199"/>
      <c r="N56" s="1199"/>
      <c r="O56" s="1199"/>
      <c r="P56" s="1199"/>
      <c r="Q56" s="1199"/>
      <c r="R56" s="1199"/>
      <c r="S56" s="1199"/>
      <c r="T56" s="1199"/>
      <c r="U56" s="1199"/>
      <c r="V56" s="1199"/>
      <c r="W56" s="1199"/>
      <c r="X56" s="1199"/>
      <c r="Y56" s="1199"/>
      <c r="Z56" s="1199"/>
      <c r="AA56" s="1199"/>
      <c r="AB56" s="1200"/>
      <c r="AC56" s="1203"/>
      <c r="AD56" s="1199"/>
      <c r="AE56" s="1199"/>
      <c r="AF56" s="1199"/>
      <c r="AG56" s="1200"/>
      <c r="AH56" s="1208"/>
      <c r="AI56" s="1208"/>
      <c r="AJ56" s="1208"/>
      <c r="AK56" s="1208"/>
      <c r="AL56" s="1208"/>
      <c r="AM56" s="1209"/>
      <c r="AN56" s="1212"/>
      <c r="AO56" s="1208"/>
      <c r="AP56" s="1208"/>
      <c r="AQ56" s="1208"/>
      <c r="AR56" s="1209"/>
      <c r="AS56" s="1212"/>
      <c r="AT56" s="1208"/>
      <c r="AU56" s="1208"/>
      <c r="AV56" s="1208"/>
      <c r="AW56" s="1215"/>
      <c r="AX56" s="1212"/>
      <c r="AY56" s="1208"/>
      <c r="AZ56" s="1208"/>
      <c r="BA56" s="1208"/>
      <c r="BB56" s="1215"/>
    </row>
    <row r="57" spans="1:54" ht="25.5" customHeight="1" thickBot="1" x14ac:dyDescent="0.25">
      <c r="A57" s="1274" t="s">
        <v>25</v>
      </c>
      <c r="B57" s="1018"/>
      <c r="C57" s="1018"/>
      <c r="D57" s="1018"/>
      <c r="E57" s="1018"/>
      <c r="F57" s="1018"/>
      <c r="G57" s="1018"/>
      <c r="H57" s="1018"/>
      <c r="I57" s="1018"/>
      <c r="J57" s="1018"/>
      <c r="K57" s="1018"/>
      <c r="L57" s="1018"/>
      <c r="M57" s="1018"/>
      <c r="N57" s="1018"/>
      <c r="O57" s="1018"/>
      <c r="P57" s="1018"/>
      <c r="Q57" s="1018"/>
      <c r="R57" s="1018"/>
      <c r="S57" s="1018"/>
      <c r="T57" s="1018"/>
      <c r="U57" s="1018"/>
      <c r="V57" s="1018"/>
      <c r="W57" s="1018"/>
      <c r="X57" s="1018"/>
      <c r="Y57" s="1018"/>
      <c r="Z57" s="1018"/>
      <c r="AA57" s="1018"/>
      <c r="AB57" s="1018"/>
      <c r="AC57" s="1018"/>
      <c r="AD57" s="1018"/>
      <c r="AE57" s="1018"/>
      <c r="AF57" s="1018"/>
      <c r="AG57" s="1018"/>
      <c r="AH57" s="1018"/>
      <c r="AI57" s="1018"/>
      <c r="AJ57" s="1018"/>
      <c r="AK57" s="1018"/>
      <c r="AL57" s="1018"/>
      <c r="AM57" s="1018"/>
      <c r="AN57" s="1018"/>
      <c r="AO57" s="1018"/>
      <c r="AP57" s="1018"/>
      <c r="AQ57" s="1018"/>
      <c r="AR57" s="1018"/>
      <c r="AS57" s="1018"/>
      <c r="AT57" s="1018"/>
      <c r="AU57" s="1018"/>
      <c r="AV57" s="1018"/>
      <c r="AW57" s="1018"/>
      <c r="AX57" s="1018"/>
      <c r="AY57" s="1018"/>
      <c r="AZ57" s="1018"/>
      <c r="BA57" s="1018"/>
      <c r="BB57" s="1275"/>
    </row>
    <row r="58" spans="1:54" ht="13.5" hidden="1" customHeight="1" x14ac:dyDescent="0.2">
      <c r="A58" s="1309" t="s">
        <v>325</v>
      </c>
      <c r="B58" s="1310"/>
      <c r="C58" s="1310"/>
      <c r="D58" s="1310"/>
      <c r="E58" s="1310"/>
      <c r="F58" s="1310"/>
      <c r="G58" s="1310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96"/>
      <c r="AC58" s="662">
        <f>((R59+(R59*U61)+(R59*Q61)+(R59*M61)+(R59*I61))*Z61)</f>
        <v>40560</v>
      </c>
      <c r="AD58" s="662"/>
      <c r="AE58" s="662"/>
      <c r="AF58" s="662"/>
      <c r="AG58" s="662"/>
      <c r="AH58" s="711">
        <v>144</v>
      </c>
      <c r="AI58" s="712"/>
      <c r="AJ58" s="712"/>
      <c r="AK58" s="712"/>
      <c r="AL58" s="712"/>
      <c r="AM58" s="734"/>
      <c r="AN58" s="662">
        <f>AC58/AH58</f>
        <v>281.66666666666669</v>
      </c>
      <c r="AO58" s="662"/>
      <c r="AP58" s="662"/>
      <c r="AQ58" s="662"/>
      <c r="AR58" s="662"/>
      <c r="AS58" s="663">
        <f>U12</f>
        <v>14</v>
      </c>
      <c r="AT58" s="663"/>
      <c r="AU58" s="663"/>
      <c r="AV58" s="663"/>
      <c r="AW58" s="663"/>
      <c r="AX58" s="662">
        <f>AN58*AS58</f>
        <v>3943.3333333333335</v>
      </c>
      <c r="AY58" s="662"/>
      <c r="AZ58" s="662"/>
      <c r="BA58" s="662"/>
      <c r="BB58" s="684"/>
    </row>
    <row r="59" spans="1:54" s="11" customFormat="1" ht="25.9" customHeight="1" x14ac:dyDescent="0.2">
      <c r="A59" s="1311"/>
      <c r="B59" s="1312"/>
      <c r="C59" s="1312"/>
      <c r="D59" s="1312"/>
      <c r="E59" s="1312"/>
      <c r="F59" s="1312"/>
      <c r="G59" s="1312"/>
      <c r="H59" s="685" t="s">
        <v>530</v>
      </c>
      <c r="I59" s="686"/>
      <c r="J59" s="686"/>
      <c r="K59" s="686"/>
      <c r="L59" s="686"/>
      <c r="M59" s="686"/>
      <c r="N59" s="669"/>
      <c r="O59" s="669"/>
      <c r="P59" s="669"/>
      <c r="Q59" s="84" t="s">
        <v>27</v>
      </c>
      <c r="R59" s="669">
        <v>15600</v>
      </c>
      <c r="S59" s="669"/>
      <c r="T59" s="669"/>
      <c r="U59" s="669"/>
      <c r="V59" s="669"/>
      <c r="W59" s="84" t="s">
        <v>28</v>
      </c>
      <c r="X59" s="84"/>
      <c r="Y59" s="84"/>
      <c r="Z59" s="84"/>
      <c r="AA59" s="84"/>
      <c r="AB59" s="85"/>
      <c r="AC59" s="601"/>
      <c r="AD59" s="601"/>
      <c r="AE59" s="601"/>
      <c r="AF59" s="601"/>
      <c r="AG59" s="601"/>
      <c r="AH59" s="714"/>
      <c r="AI59" s="704"/>
      <c r="AJ59" s="704"/>
      <c r="AK59" s="704"/>
      <c r="AL59" s="704"/>
      <c r="AM59" s="735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1" customFormat="1" ht="4.5" customHeight="1" x14ac:dyDescent="0.2">
      <c r="A60" s="1311"/>
      <c r="B60" s="1312"/>
      <c r="C60" s="1312"/>
      <c r="D60" s="1312"/>
      <c r="E60" s="1312"/>
      <c r="F60" s="1312"/>
      <c r="G60" s="1312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601"/>
      <c r="AD60" s="601"/>
      <c r="AE60" s="601"/>
      <c r="AF60" s="601"/>
      <c r="AG60" s="601"/>
      <c r="AH60" s="714"/>
      <c r="AI60" s="704"/>
      <c r="AJ60" s="704"/>
      <c r="AK60" s="704"/>
      <c r="AL60" s="704"/>
      <c r="AM60" s="735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1" customFormat="1" ht="11.25" customHeight="1" x14ac:dyDescent="0.2">
      <c r="A61" s="1311"/>
      <c r="B61" s="1312"/>
      <c r="C61" s="1312"/>
      <c r="D61" s="1312"/>
      <c r="E61" s="1312"/>
      <c r="F61" s="1312"/>
      <c r="G61" s="1312"/>
      <c r="H61" s="706" t="s">
        <v>656</v>
      </c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  <c r="V61" s="707"/>
      <c r="W61" s="707"/>
      <c r="X61" s="707"/>
      <c r="Y61" s="388" t="s">
        <v>28</v>
      </c>
      <c r="Z61" s="669">
        <v>2.6</v>
      </c>
      <c r="AA61" s="669"/>
      <c r="AB61" s="670"/>
      <c r="AC61" s="601"/>
      <c r="AD61" s="601"/>
      <c r="AE61" s="601"/>
      <c r="AF61" s="601"/>
      <c r="AG61" s="601"/>
      <c r="AH61" s="714"/>
      <c r="AI61" s="704"/>
      <c r="AJ61" s="704"/>
      <c r="AK61" s="704"/>
      <c r="AL61" s="704"/>
      <c r="AM61" s="735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1" customFormat="1" ht="15" customHeight="1" thickBot="1" x14ac:dyDescent="0.25">
      <c r="A62" s="1313"/>
      <c r="B62" s="1314"/>
      <c r="C62" s="1314"/>
      <c r="D62" s="1314"/>
      <c r="E62" s="1314"/>
      <c r="F62" s="1314"/>
      <c r="G62" s="1314"/>
      <c r="H62" s="256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8"/>
      <c r="AC62" s="601"/>
      <c r="AD62" s="601"/>
      <c r="AE62" s="601"/>
      <c r="AF62" s="601"/>
      <c r="AG62" s="601"/>
      <c r="AH62" s="770"/>
      <c r="AI62" s="721"/>
      <c r="AJ62" s="721"/>
      <c r="AK62" s="721"/>
      <c r="AL62" s="721"/>
      <c r="AM62" s="851"/>
      <c r="AN62" s="601"/>
      <c r="AO62" s="601"/>
      <c r="AP62" s="601"/>
      <c r="AQ62" s="601"/>
      <c r="AR62" s="601"/>
      <c r="AS62" s="664"/>
      <c r="AT62" s="664"/>
      <c r="AU62" s="664"/>
      <c r="AV62" s="664"/>
      <c r="AW62" s="664"/>
      <c r="AX62" s="601"/>
      <c r="AY62" s="601"/>
      <c r="AZ62" s="601"/>
      <c r="BA62" s="601"/>
      <c r="BB62" s="655"/>
    </row>
    <row r="63" spans="1:54" ht="5.0999999999999996" hidden="1" customHeight="1" x14ac:dyDescent="0.2">
      <c r="A63" s="1190"/>
      <c r="B63" s="1191"/>
      <c r="C63" s="1191"/>
      <c r="D63" s="1191"/>
      <c r="E63" s="1191"/>
      <c r="F63" s="1191"/>
      <c r="G63" s="1191"/>
      <c r="H63" s="39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40" t="e">
        <f>#REF!</f>
        <v>#REF!</v>
      </c>
      <c r="AA63" s="27"/>
      <c r="AB63" s="33"/>
      <c r="AC63" s="970">
        <f>((R64+(R64*U66)+(R64*Q66)+(R64*M66)+(R64*I66))*Z66)*1.15</f>
        <v>0</v>
      </c>
      <c r="AD63" s="970"/>
      <c r="AE63" s="970"/>
      <c r="AF63" s="970"/>
      <c r="AG63" s="970"/>
      <c r="AH63" s="992">
        <v>1</v>
      </c>
      <c r="AI63" s="992"/>
      <c r="AJ63" s="992"/>
      <c r="AK63" s="992"/>
      <c r="AL63" s="992"/>
      <c r="AM63" s="992"/>
      <c r="AN63" s="529">
        <f>AC63/AH63</f>
        <v>0</v>
      </c>
      <c r="AO63" s="529"/>
      <c r="AP63" s="529"/>
      <c r="AQ63" s="529"/>
      <c r="AR63" s="529"/>
      <c r="AS63" s="1188">
        <f t="shared" ref="AS63" si="0">U17</f>
        <v>0</v>
      </c>
      <c r="AT63" s="1188"/>
      <c r="AU63" s="1188"/>
      <c r="AV63" s="1188"/>
      <c r="AW63" s="1188"/>
      <c r="AX63" s="529">
        <f>AN63*AS63</f>
        <v>0</v>
      </c>
      <c r="AY63" s="529"/>
      <c r="AZ63" s="529"/>
      <c r="BA63" s="529"/>
      <c r="BB63" s="665"/>
    </row>
    <row r="64" spans="1:54" s="11" customFormat="1" ht="11.25" hidden="1" customHeight="1" x14ac:dyDescent="0.2">
      <c r="A64" s="1182"/>
      <c r="B64" s="1183"/>
      <c r="C64" s="1183"/>
      <c r="D64" s="1183"/>
      <c r="E64" s="1183"/>
      <c r="F64" s="1183"/>
      <c r="G64" s="1183"/>
      <c r="H64" s="1174" t="s">
        <v>26</v>
      </c>
      <c r="I64" s="1175"/>
      <c r="J64" s="1175"/>
      <c r="K64" s="1175"/>
      <c r="L64" s="1175"/>
      <c r="M64" s="1175"/>
      <c r="N64" s="1176">
        <v>0</v>
      </c>
      <c r="O64" s="1176"/>
      <c r="P64" s="1176"/>
      <c r="Q64" s="27" t="s">
        <v>27</v>
      </c>
      <c r="R64" s="1176">
        <f>$AX$19*N64</f>
        <v>0</v>
      </c>
      <c r="S64" s="1176"/>
      <c r="T64" s="1176"/>
      <c r="U64" s="1176"/>
      <c r="V64" s="1176"/>
      <c r="W64" s="27" t="s">
        <v>28</v>
      </c>
      <c r="X64" s="27" t="s">
        <v>29</v>
      </c>
      <c r="Y64" s="27"/>
      <c r="Z64" s="27"/>
      <c r="AA64" s="27"/>
      <c r="AB64" s="33"/>
      <c r="AC64" s="992"/>
      <c r="AD64" s="992"/>
      <c r="AE64" s="992"/>
      <c r="AF64" s="992"/>
      <c r="AG64" s="992"/>
      <c r="AH64" s="992"/>
      <c r="AI64" s="992"/>
      <c r="AJ64" s="992"/>
      <c r="AK64" s="992"/>
      <c r="AL64" s="992"/>
      <c r="AM64" s="992"/>
      <c r="AN64" s="529"/>
      <c r="AO64" s="529"/>
      <c r="AP64" s="529"/>
      <c r="AQ64" s="529"/>
      <c r="AR64" s="529"/>
      <c r="AS64" s="1189"/>
      <c r="AT64" s="1189"/>
      <c r="AU64" s="1189"/>
      <c r="AV64" s="1189"/>
      <c r="AW64" s="1189"/>
      <c r="AX64" s="529"/>
      <c r="AY64" s="529"/>
      <c r="AZ64" s="529"/>
      <c r="BA64" s="529"/>
      <c r="BB64" s="665"/>
    </row>
    <row r="65" spans="1:54" s="11" customFormat="1" ht="5.0999999999999996" hidden="1" customHeight="1" x14ac:dyDescent="0.2">
      <c r="A65" s="1182"/>
      <c r="B65" s="1183"/>
      <c r="C65" s="1183"/>
      <c r="D65" s="1183"/>
      <c r="E65" s="1183"/>
      <c r="F65" s="1183"/>
      <c r="G65" s="1183"/>
      <c r="H65" s="34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27"/>
      <c r="AA65" s="27"/>
      <c r="AB65" s="33"/>
      <c r="AC65" s="992"/>
      <c r="AD65" s="992"/>
      <c r="AE65" s="992"/>
      <c r="AF65" s="992"/>
      <c r="AG65" s="992"/>
      <c r="AH65" s="992"/>
      <c r="AI65" s="992"/>
      <c r="AJ65" s="992"/>
      <c r="AK65" s="992"/>
      <c r="AL65" s="992"/>
      <c r="AM65" s="992"/>
      <c r="AN65" s="529"/>
      <c r="AO65" s="529"/>
      <c r="AP65" s="529"/>
      <c r="AQ65" s="529"/>
      <c r="AR65" s="529"/>
      <c r="AS65" s="1189"/>
      <c r="AT65" s="1189"/>
      <c r="AU65" s="1189"/>
      <c r="AV65" s="1189"/>
      <c r="AW65" s="1189"/>
      <c r="AX65" s="529"/>
      <c r="AY65" s="529"/>
      <c r="AZ65" s="529"/>
      <c r="BA65" s="529"/>
      <c r="BB65" s="665"/>
    </row>
    <row r="66" spans="1:54" s="11" customFormat="1" ht="11.25" hidden="1" customHeight="1" x14ac:dyDescent="0.2">
      <c r="A66" s="1182"/>
      <c r="B66" s="1183"/>
      <c r="C66" s="1183"/>
      <c r="D66" s="1183"/>
      <c r="E66" s="1183"/>
      <c r="F66" s="1183"/>
      <c r="G66" s="1183"/>
      <c r="H66" s="35" t="s">
        <v>30</v>
      </c>
      <c r="I66" s="1177">
        <v>0</v>
      </c>
      <c r="J66" s="1177"/>
      <c r="K66" s="1177"/>
      <c r="L66" s="27" t="s">
        <v>28</v>
      </c>
      <c r="M66" s="1177">
        <v>0</v>
      </c>
      <c r="N66" s="1177"/>
      <c r="O66" s="1177"/>
      <c r="P66" s="27" t="s">
        <v>28</v>
      </c>
      <c r="Q66" s="1177"/>
      <c r="R66" s="1177"/>
      <c r="S66" s="1177"/>
      <c r="T66" s="27" t="s">
        <v>28</v>
      </c>
      <c r="U66" s="1177"/>
      <c r="V66" s="1177"/>
      <c r="W66" s="1177"/>
      <c r="X66" s="27" t="s">
        <v>31</v>
      </c>
      <c r="Y66" s="27" t="s">
        <v>28</v>
      </c>
      <c r="Z66" s="1176">
        <v>2.6</v>
      </c>
      <c r="AA66" s="1176"/>
      <c r="AB66" s="1186"/>
      <c r="AC66" s="992"/>
      <c r="AD66" s="992"/>
      <c r="AE66" s="992"/>
      <c r="AF66" s="992"/>
      <c r="AG66" s="992"/>
      <c r="AH66" s="992"/>
      <c r="AI66" s="992"/>
      <c r="AJ66" s="992"/>
      <c r="AK66" s="992"/>
      <c r="AL66" s="992"/>
      <c r="AM66" s="992"/>
      <c r="AN66" s="529"/>
      <c r="AO66" s="529"/>
      <c r="AP66" s="529"/>
      <c r="AQ66" s="529"/>
      <c r="AR66" s="529"/>
      <c r="AS66" s="1189"/>
      <c r="AT66" s="1189"/>
      <c r="AU66" s="1189"/>
      <c r="AV66" s="1189"/>
      <c r="AW66" s="1189"/>
      <c r="AX66" s="529"/>
      <c r="AY66" s="529"/>
      <c r="AZ66" s="529"/>
      <c r="BA66" s="529"/>
      <c r="BB66" s="665"/>
    </row>
    <row r="67" spans="1:54" s="11" customFormat="1" ht="5.0999999999999996" hidden="1" customHeight="1" thickBot="1" x14ac:dyDescent="0.25">
      <c r="A67" s="1182"/>
      <c r="B67" s="1183"/>
      <c r="C67" s="1183"/>
      <c r="D67" s="1183"/>
      <c r="E67" s="1183"/>
      <c r="F67" s="1183"/>
      <c r="G67" s="1183"/>
      <c r="H67" s="36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123"/>
      <c r="AA67" s="123"/>
      <c r="AB67" s="38"/>
      <c r="AC67" s="992"/>
      <c r="AD67" s="992"/>
      <c r="AE67" s="992"/>
      <c r="AF67" s="992"/>
      <c r="AG67" s="992"/>
      <c r="AH67" s="992"/>
      <c r="AI67" s="992"/>
      <c r="AJ67" s="992"/>
      <c r="AK67" s="992"/>
      <c r="AL67" s="992"/>
      <c r="AM67" s="992"/>
      <c r="AN67" s="529"/>
      <c r="AO67" s="529"/>
      <c r="AP67" s="529"/>
      <c r="AQ67" s="529"/>
      <c r="AR67" s="529"/>
      <c r="AS67" s="1189"/>
      <c r="AT67" s="1189"/>
      <c r="AU67" s="1189"/>
      <c r="AV67" s="1189"/>
      <c r="AW67" s="1189"/>
      <c r="AX67" s="529"/>
      <c r="AY67" s="529"/>
      <c r="AZ67" s="529"/>
      <c r="BA67" s="529"/>
      <c r="BB67" s="665"/>
    </row>
    <row r="68" spans="1:54" s="11" customFormat="1" ht="5.0999999999999996" hidden="1" customHeight="1" x14ac:dyDescent="0.2">
      <c r="A68" s="1182"/>
      <c r="B68" s="1183"/>
      <c r="C68" s="1183"/>
      <c r="D68" s="1183"/>
      <c r="E68" s="1183"/>
      <c r="F68" s="1183"/>
      <c r="G68" s="1183"/>
      <c r="H68" s="39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40" t="e">
        <f>#REF!</f>
        <v>#REF!</v>
      </c>
      <c r="AA68" s="27"/>
      <c r="AB68" s="33"/>
      <c r="AC68" s="970">
        <f>((R69+(R69*U71)+(R69*Q71)+(R69*M71)+(R69*I71))*Z71)*1.15</f>
        <v>0</v>
      </c>
      <c r="AD68" s="970"/>
      <c r="AE68" s="970"/>
      <c r="AF68" s="970"/>
      <c r="AG68" s="970"/>
      <c r="AH68" s="992">
        <v>1</v>
      </c>
      <c r="AI68" s="992"/>
      <c r="AJ68" s="992"/>
      <c r="AK68" s="992"/>
      <c r="AL68" s="992"/>
      <c r="AM68" s="992"/>
      <c r="AN68" s="529">
        <f>AC68/AH68</f>
        <v>0</v>
      </c>
      <c r="AO68" s="529"/>
      <c r="AP68" s="529"/>
      <c r="AQ68" s="529"/>
      <c r="AR68" s="529"/>
      <c r="AS68" s="1188">
        <f t="shared" ref="AS68" si="1">U22</f>
        <v>0</v>
      </c>
      <c r="AT68" s="1188"/>
      <c r="AU68" s="1188"/>
      <c r="AV68" s="1188"/>
      <c r="AW68" s="1188"/>
      <c r="AX68" s="529">
        <f>AN68*AS68</f>
        <v>0</v>
      </c>
      <c r="AY68" s="529"/>
      <c r="AZ68" s="529"/>
      <c r="BA68" s="529"/>
      <c r="BB68" s="665"/>
    </row>
    <row r="69" spans="1:54" s="11" customFormat="1" ht="11.25" hidden="1" customHeight="1" x14ac:dyDescent="0.2">
      <c r="A69" s="1182"/>
      <c r="B69" s="1183"/>
      <c r="C69" s="1183"/>
      <c r="D69" s="1183"/>
      <c r="E69" s="1183"/>
      <c r="F69" s="1183"/>
      <c r="G69" s="1183"/>
      <c r="H69" s="1174" t="s">
        <v>26</v>
      </c>
      <c r="I69" s="1175"/>
      <c r="J69" s="1175"/>
      <c r="K69" s="1175"/>
      <c r="L69" s="1175"/>
      <c r="M69" s="1175"/>
      <c r="N69" s="1176">
        <v>0</v>
      </c>
      <c r="O69" s="1176"/>
      <c r="P69" s="1176"/>
      <c r="Q69" s="27" t="s">
        <v>27</v>
      </c>
      <c r="R69" s="1176">
        <f>$AX$19*N69</f>
        <v>0</v>
      </c>
      <c r="S69" s="1176"/>
      <c r="T69" s="1176"/>
      <c r="U69" s="1176"/>
      <c r="V69" s="1176"/>
      <c r="W69" s="27" t="s">
        <v>28</v>
      </c>
      <c r="X69" s="27" t="s">
        <v>29</v>
      </c>
      <c r="Y69" s="27"/>
      <c r="Z69" s="27"/>
      <c r="AA69" s="27"/>
      <c r="AB69" s="33"/>
      <c r="AC69" s="992"/>
      <c r="AD69" s="992"/>
      <c r="AE69" s="992"/>
      <c r="AF69" s="992"/>
      <c r="AG69" s="992"/>
      <c r="AH69" s="992"/>
      <c r="AI69" s="992"/>
      <c r="AJ69" s="992"/>
      <c r="AK69" s="992"/>
      <c r="AL69" s="992"/>
      <c r="AM69" s="992"/>
      <c r="AN69" s="529"/>
      <c r="AO69" s="529"/>
      <c r="AP69" s="529"/>
      <c r="AQ69" s="529"/>
      <c r="AR69" s="529"/>
      <c r="AS69" s="1189"/>
      <c r="AT69" s="1189"/>
      <c r="AU69" s="1189"/>
      <c r="AV69" s="1189"/>
      <c r="AW69" s="1189"/>
      <c r="AX69" s="529"/>
      <c r="AY69" s="529"/>
      <c r="AZ69" s="529"/>
      <c r="BA69" s="529"/>
      <c r="BB69" s="665"/>
    </row>
    <row r="70" spans="1:54" ht="5.0999999999999996" hidden="1" customHeight="1" x14ac:dyDescent="0.2">
      <c r="A70" s="1182"/>
      <c r="B70" s="1183"/>
      <c r="C70" s="1183"/>
      <c r="D70" s="1183"/>
      <c r="E70" s="1183"/>
      <c r="F70" s="1183"/>
      <c r="G70" s="1183"/>
      <c r="H70" s="34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27"/>
      <c r="AA70" s="27"/>
      <c r="AB70" s="33"/>
      <c r="AC70" s="992"/>
      <c r="AD70" s="992"/>
      <c r="AE70" s="992"/>
      <c r="AF70" s="992"/>
      <c r="AG70" s="992"/>
      <c r="AH70" s="992"/>
      <c r="AI70" s="992"/>
      <c r="AJ70" s="992"/>
      <c r="AK70" s="992"/>
      <c r="AL70" s="992"/>
      <c r="AM70" s="992"/>
      <c r="AN70" s="529"/>
      <c r="AO70" s="529"/>
      <c r="AP70" s="529"/>
      <c r="AQ70" s="529"/>
      <c r="AR70" s="529"/>
      <c r="AS70" s="1189"/>
      <c r="AT70" s="1189"/>
      <c r="AU70" s="1189"/>
      <c r="AV70" s="1189"/>
      <c r="AW70" s="1189"/>
      <c r="AX70" s="529"/>
      <c r="AY70" s="529"/>
      <c r="AZ70" s="529"/>
      <c r="BA70" s="529"/>
      <c r="BB70" s="665"/>
    </row>
    <row r="71" spans="1:54" s="11" customFormat="1" ht="11.25" hidden="1" customHeight="1" x14ac:dyDescent="0.2">
      <c r="A71" s="1182"/>
      <c r="B71" s="1183"/>
      <c r="C71" s="1183"/>
      <c r="D71" s="1183"/>
      <c r="E71" s="1183"/>
      <c r="F71" s="1183"/>
      <c r="G71" s="1183"/>
      <c r="H71" s="35" t="s">
        <v>30</v>
      </c>
      <c r="I71" s="1177">
        <v>0</v>
      </c>
      <c r="J71" s="1177"/>
      <c r="K71" s="1177"/>
      <c r="L71" s="27" t="s">
        <v>28</v>
      </c>
      <c r="M71" s="1177">
        <v>0</v>
      </c>
      <c r="N71" s="1177"/>
      <c r="O71" s="1177"/>
      <c r="P71" s="27" t="s">
        <v>28</v>
      </c>
      <c r="Q71" s="1177"/>
      <c r="R71" s="1177"/>
      <c r="S71" s="1177"/>
      <c r="T71" s="27" t="s">
        <v>28</v>
      </c>
      <c r="U71" s="1177"/>
      <c r="V71" s="1177"/>
      <c r="W71" s="1177"/>
      <c r="X71" s="27" t="s">
        <v>31</v>
      </c>
      <c r="Y71" s="27" t="s">
        <v>28</v>
      </c>
      <c r="Z71" s="1176">
        <v>2.6</v>
      </c>
      <c r="AA71" s="1176"/>
      <c r="AB71" s="1186"/>
      <c r="AC71" s="992"/>
      <c r="AD71" s="992"/>
      <c r="AE71" s="992"/>
      <c r="AF71" s="992"/>
      <c r="AG71" s="992"/>
      <c r="AH71" s="992"/>
      <c r="AI71" s="992"/>
      <c r="AJ71" s="992"/>
      <c r="AK71" s="992"/>
      <c r="AL71" s="992"/>
      <c r="AM71" s="992"/>
      <c r="AN71" s="529"/>
      <c r="AO71" s="529"/>
      <c r="AP71" s="529"/>
      <c r="AQ71" s="529"/>
      <c r="AR71" s="529"/>
      <c r="AS71" s="1189"/>
      <c r="AT71" s="1189"/>
      <c r="AU71" s="1189"/>
      <c r="AV71" s="1189"/>
      <c r="AW71" s="1189"/>
      <c r="AX71" s="529"/>
      <c r="AY71" s="529"/>
      <c r="AZ71" s="529"/>
      <c r="BA71" s="529"/>
      <c r="BB71" s="665"/>
    </row>
    <row r="72" spans="1:54" s="11" customFormat="1" ht="11.25" hidden="1" customHeight="1" thickBot="1" x14ac:dyDescent="0.25">
      <c r="A72" s="1182"/>
      <c r="B72" s="1183"/>
      <c r="C72" s="1183"/>
      <c r="D72" s="1183"/>
      <c r="E72" s="1183"/>
      <c r="F72" s="1183"/>
      <c r="G72" s="1183"/>
      <c r="H72" s="36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123"/>
      <c r="AA72" s="123"/>
      <c r="AB72" s="38"/>
      <c r="AC72" s="992"/>
      <c r="AD72" s="992"/>
      <c r="AE72" s="992"/>
      <c r="AF72" s="992"/>
      <c r="AG72" s="992"/>
      <c r="AH72" s="992"/>
      <c r="AI72" s="992"/>
      <c r="AJ72" s="992"/>
      <c r="AK72" s="992"/>
      <c r="AL72" s="992"/>
      <c r="AM72" s="992"/>
      <c r="AN72" s="529"/>
      <c r="AO72" s="529"/>
      <c r="AP72" s="529"/>
      <c r="AQ72" s="529"/>
      <c r="AR72" s="529"/>
      <c r="AS72" s="1189"/>
      <c r="AT72" s="1189"/>
      <c r="AU72" s="1189"/>
      <c r="AV72" s="1189"/>
      <c r="AW72" s="1189"/>
      <c r="AX72" s="529"/>
      <c r="AY72" s="529"/>
      <c r="AZ72" s="529"/>
      <c r="BA72" s="529"/>
      <c r="BB72" s="665"/>
    </row>
    <row r="73" spans="1:54" s="11" customFormat="1" ht="15" hidden="1" customHeight="1" x14ac:dyDescent="0.2">
      <c r="A73" s="1180" t="s">
        <v>84</v>
      </c>
      <c r="B73" s="1181"/>
      <c r="C73" s="1181"/>
      <c r="D73" s="1181"/>
      <c r="E73" s="1181"/>
      <c r="F73" s="1181"/>
      <c r="G73" s="1181"/>
      <c r="H73" s="39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40" t="e">
        <f>#REF!</f>
        <v>#REF!</v>
      </c>
      <c r="AA73" s="27"/>
      <c r="AB73" s="33"/>
      <c r="AC73" s="970">
        <f>((R74+(R74*U76)+(R74*Q76)+(R74*M76)+(R74*I76))*Z76)</f>
        <v>0</v>
      </c>
      <c r="AD73" s="970"/>
      <c r="AE73" s="970"/>
      <c r="AF73" s="970"/>
      <c r="AG73" s="970"/>
      <c r="AH73" s="992">
        <v>75</v>
      </c>
      <c r="AI73" s="992"/>
      <c r="AJ73" s="992"/>
      <c r="AK73" s="992"/>
      <c r="AL73" s="992"/>
      <c r="AM73" s="992"/>
      <c r="AN73" s="529">
        <f>AC73/AH73</f>
        <v>0</v>
      </c>
      <c r="AO73" s="529"/>
      <c r="AP73" s="529"/>
      <c r="AQ73" s="529"/>
      <c r="AR73" s="529"/>
      <c r="AS73" s="1188">
        <f t="shared" ref="AS73" si="2">U27</f>
        <v>0</v>
      </c>
      <c r="AT73" s="1188"/>
      <c r="AU73" s="1188"/>
      <c r="AV73" s="1188"/>
      <c r="AW73" s="1188"/>
      <c r="AX73" s="529">
        <f>AN73*AS73</f>
        <v>0</v>
      </c>
      <c r="AY73" s="529"/>
      <c r="AZ73" s="529"/>
      <c r="BA73" s="529"/>
      <c r="BB73" s="665"/>
    </row>
    <row r="74" spans="1:54" s="11" customFormat="1" ht="21" hidden="1" customHeight="1" thickBot="1" x14ac:dyDescent="0.25">
      <c r="A74" s="1182"/>
      <c r="B74" s="1183"/>
      <c r="C74" s="1183"/>
      <c r="D74" s="1183"/>
      <c r="E74" s="1183"/>
      <c r="F74" s="1183"/>
      <c r="G74" s="1183"/>
      <c r="H74" s="1174" t="s">
        <v>26</v>
      </c>
      <c r="I74" s="1175"/>
      <c r="J74" s="1175"/>
      <c r="K74" s="1175"/>
      <c r="L74" s="1175"/>
      <c r="M74" s="1175"/>
      <c r="N74" s="1176">
        <v>0</v>
      </c>
      <c r="O74" s="1176"/>
      <c r="P74" s="1176"/>
      <c r="Q74" s="27" t="s">
        <v>27</v>
      </c>
      <c r="R74" s="1176">
        <f>$AX$19*N74</f>
        <v>0</v>
      </c>
      <c r="S74" s="1176"/>
      <c r="T74" s="1176"/>
      <c r="U74" s="1176"/>
      <c r="V74" s="1176"/>
      <c r="W74" s="27" t="s">
        <v>28</v>
      </c>
      <c r="X74" s="27" t="s">
        <v>29</v>
      </c>
      <c r="Y74" s="27"/>
      <c r="Z74" s="27"/>
      <c r="AA74" s="27"/>
      <c r="AB74" s="33"/>
      <c r="AC74" s="992"/>
      <c r="AD74" s="992"/>
      <c r="AE74" s="992"/>
      <c r="AF74" s="992"/>
      <c r="AG74" s="992"/>
      <c r="AH74" s="992"/>
      <c r="AI74" s="992"/>
      <c r="AJ74" s="992"/>
      <c r="AK74" s="992"/>
      <c r="AL74" s="992"/>
      <c r="AM74" s="992"/>
      <c r="AN74" s="529"/>
      <c r="AO74" s="529"/>
      <c r="AP74" s="529"/>
      <c r="AQ74" s="529"/>
      <c r="AR74" s="529"/>
      <c r="AS74" s="1189"/>
      <c r="AT74" s="1189"/>
      <c r="AU74" s="1189"/>
      <c r="AV74" s="1189"/>
      <c r="AW74" s="1189"/>
      <c r="AX74" s="529"/>
      <c r="AY74" s="529"/>
      <c r="AZ74" s="529"/>
      <c r="BA74" s="529"/>
      <c r="BB74" s="665"/>
    </row>
    <row r="75" spans="1:54" s="11" customFormat="1" ht="12" hidden="1" customHeight="1" thickBot="1" x14ac:dyDescent="0.25">
      <c r="A75" s="1182"/>
      <c r="B75" s="1183"/>
      <c r="C75" s="1183"/>
      <c r="D75" s="1183"/>
      <c r="E75" s="1183"/>
      <c r="F75" s="1183"/>
      <c r="G75" s="1183"/>
      <c r="H75" s="34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27"/>
      <c r="AA75" s="27"/>
      <c r="AB75" s="33"/>
      <c r="AC75" s="992"/>
      <c r="AD75" s="992"/>
      <c r="AE75" s="992"/>
      <c r="AF75" s="992"/>
      <c r="AG75" s="992"/>
      <c r="AH75" s="992"/>
      <c r="AI75" s="992"/>
      <c r="AJ75" s="992"/>
      <c r="AK75" s="992"/>
      <c r="AL75" s="992"/>
      <c r="AM75" s="992"/>
      <c r="AN75" s="529"/>
      <c r="AO75" s="529"/>
      <c r="AP75" s="529"/>
      <c r="AQ75" s="529"/>
      <c r="AR75" s="529"/>
      <c r="AS75" s="1189"/>
      <c r="AT75" s="1189"/>
      <c r="AU75" s="1189"/>
      <c r="AV75" s="1189"/>
      <c r="AW75" s="1189"/>
      <c r="AX75" s="529"/>
      <c r="AY75" s="529"/>
      <c r="AZ75" s="529"/>
      <c r="BA75" s="529"/>
      <c r="BB75" s="665"/>
    </row>
    <row r="76" spans="1:54" s="11" customFormat="1" ht="15.75" hidden="1" customHeight="1" thickBot="1" x14ac:dyDescent="0.25">
      <c r="A76" s="1182"/>
      <c r="B76" s="1183"/>
      <c r="C76" s="1183"/>
      <c r="D76" s="1183"/>
      <c r="E76" s="1183"/>
      <c r="F76" s="1183"/>
      <c r="G76" s="1183"/>
      <c r="H76" s="35" t="s">
        <v>30</v>
      </c>
      <c r="I76" s="1177">
        <v>0.2</v>
      </c>
      <c r="J76" s="1177"/>
      <c r="K76" s="1177"/>
      <c r="L76" s="27" t="s">
        <v>28</v>
      </c>
      <c r="M76" s="1177">
        <v>0.15</v>
      </c>
      <c r="N76" s="1177"/>
      <c r="O76" s="1177"/>
      <c r="P76" s="27" t="s">
        <v>28</v>
      </c>
      <c r="Q76" s="1177">
        <v>0.5</v>
      </c>
      <c r="R76" s="1177"/>
      <c r="S76" s="1177"/>
      <c r="T76" s="27" t="s">
        <v>28</v>
      </c>
      <c r="U76" s="1177">
        <v>0</v>
      </c>
      <c r="V76" s="1177"/>
      <c r="W76" s="1177"/>
      <c r="X76" s="27" t="s">
        <v>31</v>
      </c>
      <c r="Y76" s="27" t="s">
        <v>28</v>
      </c>
      <c r="Z76" s="1176">
        <v>2.6</v>
      </c>
      <c r="AA76" s="1176"/>
      <c r="AB76" s="1186"/>
      <c r="AC76" s="992"/>
      <c r="AD76" s="992"/>
      <c r="AE76" s="992"/>
      <c r="AF76" s="992"/>
      <c r="AG76" s="992"/>
      <c r="AH76" s="992"/>
      <c r="AI76" s="992"/>
      <c r="AJ76" s="992"/>
      <c r="AK76" s="992"/>
      <c r="AL76" s="992"/>
      <c r="AM76" s="992"/>
      <c r="AN76" s="529"/>
      <c r="AO76" s="529"/>
      <c r="AP76" s="529"/>
      <c r="AQ76" s="529"/>
      <c r="AR76" s="529"/>
      <c r="AS76" s="1189"/>
      <c r="AT76" s="1189"/>
      <c r="AU76" s="1189"/>
      <c r="AV76" s="1189"/>
      <c r="AW76" s="1189"/>
      <c r="AX76" s="529"/>
      <c r="AY76" s="529"/>
      <c r="AZ76" s="529"/>
      <c r="BA76" s="529"/>
      <c r="BB76" s="665"/>
    </row>
    <row r="77" spans="1:54" ht="13.5" hidden="1" customHeight="1" thickBot="1" x14ac:dyDescent="0.25">
      <c r="A77" s="1182"/>
      <c r="B77" s="1183"/>
      <c r="C77" s="1183"/>
      <c r="D77" s="1183"/>
      <c r="E77" s="1183"/>
      <c r="F77" s="1183"/>
      <c r="G77" s="1183"/>
      <c r="H77" s="36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123"/>
      <c r="AA77" s="123"/>
      <c r="AB77" s="38"/>
      <c r="AC77" s="992"/>
      <c r="AD77" s="992"/>
      <c r="AE77" s="992"/>
      <c r="AF77" s="992"/>
      <c r="AG77" s="992"/>
      <c r="AH77" s="992"/>
      <c r="AI77" s="992"/>
      <c r="AJ77" s="992"/>
      <c r="AK77" s="992"/>
      <c r="AL77" s="992"/>
      <c r="AM77" s="992"/>
      <c r="AN77" s="529"/>
      <c r="AO77" s="529"/>
      <c r="AP77" s="529"/>
      <c r="AQ77" s="529"/>
      <c r="AR77" s="529"/>
      <c r="AS77" s="1189"/>
      <c r="AT77" s="1189"/>
      <c r="AU77" s="1189"/>
      <c r="AV77" s="1189"/>
      <c r="AW77" s="1189"/>
      <c r="AX77" s="529"/>
      <c r="AY77" s="529"/>
      <c r="AZ77" s="529"/>
      <c r="BA77" s="529"/>
      <c r="BB77" s="665"/>
    </row>
    <row r="78" spans="1:54" s="11" customFormat="1" ht="8.25" hidden="1" customHeight="1" x14ac:dyDescent="0.2">
      <c r="A78" s="1180" t="s">
        <v>86</v>
      </c>
      <c r="B78" s="1181"/>
      <c r="C78" s="1181"/>
      <c r="D78" s="1181"/>
      <c r="E78" s="1181"/>
      <c r="F78" s="1181"/>
      <c r="G78" s="1181"/>
      <c r="H78" s="39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40" t="e">
        <f>#REF!</f>
        <v>#REF!</v>
      </c>
      <c r="AA78" s="27"/>
      <c r="AB78" s="33"/>
      <c r="AC78" s="1184">
        <f>((R79+(R79*U81)+(R79*Q81)+(R79*M81)+(R79*I81))*Z81)*1.15</f>
        <v>0</v>
      </c>
      <c r="AD78" s="1184"/>
      <c r="AE78" s="1184"/>
      <c r="AF78" s="1184"/>
      <c r="AG78" s="1184"/>
      <c r="AH78" s="1185">
        <v>144</v>
      </c>
      <c r="AI78" s="1185"/>
      <c r="AJ78" s="1185"/>
      <c r="AK78" s="1185"/>
      <c r="AL78" s="1185"/>
      <c r="AM78" s="1185"/>
      <c r="AN78" s="601">
        <f>AC78/AH78</f>
        <v>0</v>
      </c>
      <c r="AO78" s="601"/>
      <c r="AP78" s="601"/>
      <c r="AQ78" s="601"/>
      <c r="AR78" s="601"/>
      <c r="AS78" s="1188">
        <v>72</v>
      </c>
      <c r="AT78" s="1188"/>
      <c r="AU78" s="1188"/>
      <c r="AV78" s="1188"/>
      <c r="AW78" s="1188"/>
      <c r="AX78" s="601">
        <f>AN78*AS78</f>
        <v>0</v>
      </c>
      <c r="AY78" s="601"/>
      <c r="AZ78" s="601"/>
      <c r="BA78" s="601"/>
      <c r="BB78" s="655"/>
    </row>
    <row r="79" spans="1:54" s="11" customFormat="1" ht="27" hidden="1" customHeight="1" thickBot="1" x14ac:dyDescent="0.25">
      <c r="A79" s="1182"/>
      <c r="B79" s="1183"/>
      <c r="C79" s="1183"/>
      <c r="D79" s="1183"/>
      <c r="E79" s="1183"/>
      <c r="F79" s="1183"/>
      <c r="G79" s="1183"/>
      <c r="H79" s="1174" t="s">
        <v>26</v>
      </c>
      <c r="I79" s="1175"/>
      <c r="J79" s="1175"/>
      <c r="K79" s="1175"/>
      <c r="L79" s="1175"/>
      <c r="M79" s="1175"/>
      <c r="N79" s="1176">
        <v>0</v>
      </c>
      <c r="O79" s="1176"/>
      <c r="P79" s="1176"/>
      <c r="Q79" s="27" t="s">
        <v>27</v>
      </c>
      <c r="R79" s="1176">
        <f>$AX$19*N79</f>
        <v>0</v>
      </c>
      <c r="S79" s="1176"/>
      <c r="T79" s="1176"/>
      <c r="U79" s="1176"/>
      <c r="V79" s="1176"/>
      <c r="W79" s="27" t="s">
        <v>28</v>
      </c>
      <c r="X79" s="27" t="s">
        <v>29</v>
      </c>
      <c r="Y79" s="27"/>
      <c r="Z79" s="27"/>
      <c r="AA79" s="27"/>
      <c r="AB79" s="33"/>
      <c r="AC79" s="1185"/>
      <c r="AD79" s="1185"/>
      <c r="AE79" s="1185"/>
      <c r="AF79" s="1185"/>
      <c r="AG79" s="1185"/>
      <c r="AH79" s="1185"/>
      <c r="AI79" s="1185"/>
      <c r="AJ79" s="1185"/>
      <c r="AK79" s="1185"/>
      <c r="AL79" s="1185"/>
      <c r="AM79" s="1185"/>
      <c r="AN79" s="601"/>
      <c r="AO79" s="601"/>
      <c r="AP79" s="601"/>
      <c r="AQ79" s="601"/>
      <c r="AR79" s="601"/>
      <c r="AS79" s="1189"/>
      <c r="AT79" s="1189"/>
      <c r="AU79" s="1189"/>
      <c r="AV79" s="1189"/>
      <c r="AW79" s="1189"/>
      <c r="AX79" s="601"/>
      <c r="AY79" s="601"/>
      <c r="AZ79" s="601"/>
      <c r="BA79" s="601"/>
      <c r="BB79" s="655"/>
    </row>
    <row r="80" spans="1:54" s="11" customFormat="1" ht="6.75" hidden="1" customHeight="1" thickBot="1" x14ac:dyDescent="0.25">
      <c r="A80" s="1182"/>
      <c r="B80" s="1183"/>
      <c r="C80" s="1183"/>
      <c r="D80" s="1183"/>
      <c r="E80" s="1183"/>
      <c r="F80" s="1183"/>
      <c r="G80" s="1183"/>
      <c r="H80" s="34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27"/>
      <c r="AA80" s="27"/>
      <c r="AB80" s="33"/>
      <c r="AC80" s="1185"/>
      <c r="AD80" s="1185"/>
      <c r="AE80" s="1185"/>
      <c r="AF80" s="1185"/>
      <c r="AG80" s="1185"/>
      <c r="AH80" s="1185"/>
      <c r="AI80" s="1185"/>
      <c r="AJ80" s="1185"/>
      <c r="AK80" s="1185"/>
      <c r="AL80" s="1185"/>
      <c r="AM80" s="1185"/>
      <c r="AN80" s="601"/>
      <c r="AO80" s="601"/>
      <c r="AP80" s="601"/>
      <c r="AQ80" s="601"/>
      <c r="AR80" s="601"/>
      <c r="AS80" s="1189"/>
      <c r="AT80" s="1189"/>
      <c r="AU80" s="1189"/>
      <c r="AV80" s="1189"/>
      <c r="AW80" s="1189"/>
      <c r="AX80" s="601"/>
      <c r="AY80" s="601"/>
      <c r="AZ80" s="601"/>
      <c r="BA80" s="601"/>
      <c r="BB80" s="655"/>
    </row>
    <row r="81" spans="1:54" ht="12" hidden="1" customHeight="1" thickBot="1" x14ac:dyDescent="0.25">
      <c r="A81" s="1182"/>
      <c r="B81" s="1183"/>
      <c r="C81" s="1183"/>
      <c r="D81" s="1183"/>
      <c r="E81" s="1183"/>
      <c r="F81" s="1183"/>
      <c r="G81" s="1183"/>
      <c r="H81" s="35" t="s">
        <v>30</v>
      </c>
      <c r="I81" s="1177">
        <v>0.2</v>
      </c>
      <c r="J81" s="1177"/>
      <c r="K81" s="1177"/>
      <c r="L81" s="27" t="s">
        <v>28</v>
      </c>
      <c r="M81" s="1177">
        <v>0</v>
      </c>
      <c r="N81" s="1177"/>
      <c r="O81" s="1177"/>
      <c r="P81" s="27" t="s">
        <v>28</v>
      </c>
      <c r="Q81" s="1177">
        <v>0</v>
      </c>
      <c r="R81" s="1177"/>
      <c r="S81" s="1177"/>
      <c r="T81" s="27" t="s">
        <v>28</v>
      </c>
      <c r="U81" s="1177">
        <v>0</v>
      </c>
      <c r="V81" s="1177"/>
      <c r="W81" s="1177"/>
      <c r="X81" s="27" t="s">
        <v>31</v>
      </c>
      <c r="Y81" s="27" t="s">
        <v>28</v>
      </c>
      <c r="Z81" s="1176">
        <v>2.6</v>
      </c>
      <c r="AA81" s="1176"/>
      <c r="AB81" s="1186"/>
      <c r="AC81" s="1185"/>
      <c r="AD81" s="1185"/>
      <c r="AE81" s="1185"/>
      <c r="AF81" s="1185"/>
      <c r="AG81" s="1185"/>
      <c r="AH81" s="1185"/>
      <c r="AI81" s="1185"/>
      <c r="AJ81" s="1185"/>
      <c r="AK81" s="1185"/>
      <c r="AL81" s="1185"/>
      <c r="AM81" s="1185"/>
      <c r="AN81" s="601"/>
      <c r="AO81" s="601"/>
      <c r="AP81" s="601"/>
      <c r="AQ81" s="601"/>
      <c r="AR81" s="601"/>
      <c r="AS81" s="1189"/>
      <c r="AT81" s="1189"/>
      <c r="AU81" s="1189"/>
      <c r="AV81" s="1189"/>
      <c r="AW81" s="1189"/>
      <c r="AX81" s="601"/>
      <c r="AY81" s="601"/>
      <c r="AZ81" s="601"/>
      <c r="BA81" s="601"/>
      <c r="BB81" s="655"/>
    </row>
    <row r="82" spans="1:54" ht="13.5" hidden="1" customHeight="1" thickBot="1" x14ac:dyDescent="0.25">
      <c r="A82" s="1182"/>
      <c r="B82" s="1183"/>
      <c r="C82" s="1183"/>
      <c r="D82" s="1183"/>
      <c r="E82" s="1183"/>
      <c r="F82" s="1183"/>
      <c r="G82" s="1183"/>
      <c r="H82" s="41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3"/>
      <c r="AA82" s="43"/>
      <c r="AB82" s="44"/>
      <c r="AC82" s="1185"/>
      <c r="AD82" s="1185"/>
      <c r="AE82" s="1185"/>
      <c r="AF82" s="1185"/>
      <c r="AG82" s="1185"/>
      <c r="AH82" s="1187"/>
      <c r="AI82" s="1187"/>
      <c r="AJ82" s="1187"/>
      <c r="AK82" s="1187"/>
      <c r="AL82" s="1187"/>
      <c r="AM82" s="1187"/>
      <c r="AN82" s="656"/>
      <c r="AO82" s="656"/>
      <c r="AP82" s="656"/>
      <c r="AQ82" s="656"/>
      <c r="AR82" s="656"/>
      <c r="AS82" s="1189"/>
      <c r="AT82" s="1189"/>
      <c r="AU82" s="1189"/>
      <c r="AV82" s="1189"/>
      <c r="AW82" s="1189"/>
      <c r="AX82" s="656"/>
      <c r="AY82" s="656"/>
      <c r="AZ82" s="656"/>
      <c r="BA82" s="656"/>
      <c r="BB82" s="657"/>
    </row>
    <row r="83" spans="1:54" ht="11.25" customHeight="1" x14ac:dyDescent="0.2">
      <c r="R83" s="16" t="s">
        <v>18</v>
      </c>
      <c r="S83" s="17"/>
      <c r="T83" s="17"/>
      <c r="U83" s="18"/>
      <c r="V83" s="18"/>
      <c r="W83" s="18"/>
      <c r="X83" s="18"/>
      <c r="Y83" s="18"/>
      <c r="Z83" s="18"/>
      <c r="AA83" s="18"/>
      <c r="AB83" s="18"/>
      <c r="AC83" s="18"/>
      <c r="AD83" s="18" t="s">
        <v>19</v>
      </c>
      <c r="AE83" s="18" t="s">
        <v>20</v>
      </c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9"/>
      <c r="AS83" s="1178">
        <f>AX83/U12</f>
        <v>281.66666666666669</v>
      </c>
      <c r="AT83" s="1178"/>
      <c r="AU83" s="1178"/>
      <c r="AV83" s="1178"/>
      <c r="AW83" s="1178"/>
      <c r="AX83" s="1178">
        <f>SUM(AX58:BB82)</f>
        <v>3943.3333333333335</v>
      </c>
      <c r="AY83" s="1178"/>
      <c r="AZ83" s="1178"/>
      <c r="BA83" s="1178"/>
      <c r="BB83" s="1179"/>
    </row>
    <row r="84" spans="1:54" ht="11.25" customHeight="1" thickBot="1" x14ac:dyDescent="0.25">
      <c r="R84" s="20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 t="s">
        <v>19</v>
      </c>
      <c r="AE84" s="21" t="s">
        <v>21</v>
      </c>
      <c r="AF84" s="21"/>
      <c r="AG84" s="21"/>
      <c r="AH84" s="21"/>
      <c r="AI84" s="21"/>
      <c r="AJ84" s="21"/>
      <c r="AK84" s="21"/>
      <c r="AL84" s="21"/>
      <c r="AM84" s="21"/>
      <c r="AN84" s="21"/>
      <c r="AO84" s="1153">
        <v>0.30199999999999999</v>
      </c>
      <c r="AP84" s="997"/>
      <c r="AQ84" s="997"/>
      <c r="AR84" s="998"/>
      <c r="AS84" s="1154">
        <f>AX84/U12</f>
        <v>85.063333333333347</v>
      </c>
      <c r="AT84" s="1154"/>
      <c r="AU84" s="1154"/>
      <c r="AV84" s="1154"/>
      <c r="AW84" s="1154"/>
      <c r="AX84" s="1154">
        <f>AX83*AO84</f>
        <v>1190.8866666666668</v>
      </c>
      <c r="AY84" s="1154"/>
      <c r="AZ84" s="1154"/>
      <c r="BA84" s="1154"/>
      <c r="BB84" s="1155"/>
    </row>
    <row r="85" spans="1:54" ht="11.25" customHeight="1" thickBot="1" x14ac:dyDescent="0.25">
      <c r="M85" s="10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45"/>
      <c r="AP85" s="126"/>
      <c r="AQ85" s="126"/>
      <c r="AR85" s="126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</row>
    <row r="86" spans="1:54" ht="12" customHeight="1" x14ac:dyDescent="0.2">
      <c r="A86" s="1156" t="s">
        <v>32</v>
      </c>
      <c r="B86" s="1156"/>
      <c r="C86" s="1156"/>
      <c r="D86" s="1156"/>
      <c r="E86" s="1156"/>
      <c r="F86" s="1156"/>
      <c r="G86" s="1156"/>
      <c r="H86" s="1156"/>
      <c r="I86" s="1156"/>
      <c r="J86" s="1156"/>
      <c r="K86" s="1156"/>
      <c r="L86" s="1156"/>
      <c r="M86" s="1156"/>
      <c r="N86" s="1156"/>
      <c r="O86" s="1157" t="s">
        <v>33</v>
      </c>
      <c r="P86" s="1158"/>
      <c r="Q86" s="1158"/>
      <c r="R86" s="1158"/>
      <c r="S86" s="1158"/>
      <c r="T86" s="1158"/>
      <c r="U86" s="1158"/>
      <c r="V86" s="1158"/>
      <c r="W86" s="1158"/>
      <c r="X86" s="1158"/>
      <c r="Y86" s="1158"/>
      <c r="Z86" s="1158"/>
      <c r="AA86" s="1158"/>
      <c r="AB86" s="1158"/>
      <c r="AC86" s="1158"/>
      <c r="AD86" s="1158"/>
      <c r="AE86" s="1158"/>
      <c r="AF86" s="1158"/>
      <c r="AG86" s="1158"/>
      <c r="AH86" s="1158"/>
      <c r="AI86" s="1158"/>
      <c r="AJ86" s="1158"/>
      <c r="AK86" s="1158"/>
      <c r="AL86" s="1158"/>
      <c r="AM86" s="1158"/>
      <c r="AN86" s="1158"/>
      <c r="AO86" s="1159">
        <f>AS34+AS51+AS83</f>
        <v>338</v>
      </c>
      <c r="AP86" s="1159"/>
      <c r="AQ86" s="1159"/>
      <c r="AR86" s="1159"/>
      <c r="AS86" s="1159"/>
      <c r="AT86" s="1159"/>
      <c r="AU86" s="1159"/>
      <c r="AV86" s="1159">
        <f>AX34+AX51+AX83</f>
        <v>4732</v>
      </c>
      <c r="AW86" s="1159"/>
      <c r="AX86" s="1159"/>
      <c r="AY86" s="1159"/>
      <c r="AZ86" s="1159"/>
      <c r="BA86" s="1159"/>
      <c r="BB86" s="1160"/>
    </row>
    <row r="87" spans="1:54" ht="12" customHeight="1" thickBot="1" x14ac:dyDescent="0.25">
      <c r="M87" s="9"/>
      <c r="O87" s="1166" t="s">
        <v>34</v>
      </c>
      <c r="P87" s="1167"/>
      <c r="Q87" s="1167"/>
      <c r="R87" s="1167"/>
      <c r="S87" s="1167"/>
      <c r="T87" s="1167"/>
      <c r="U87" s="1167"/>
      <c r="V87" s="1167"/>
      <c r="W87" s="1167"/>
      <c r="X87" s="1167"/>
      <c r="Y87" s="1167"/>
      <c r="Z87" s="1167"/>
      <c r="AA87" s="1167"/>
      <c r="AB87" s="1167"/>
      <c r="AC87" s="1167"/>
      <c r="AD87" s="1167"/>
      <c r="AE87" s="1167"/>
      <c r="AF87" s="1167"/>
      <c r="AG87" s="1167"/>
      <c r="AH87" s="1167"/>
      <c r="AI87" s="1167"/>
      <c r="AJ87" s="1167"/>
      <c r="AK87" s="1167"/>
      <c r="AL87" s="1167"/>
      <c r="AM87" s="1167"/>
      <c r="AN87" s="1167"/>
      <c r="AO87" s="1168">
        <f>AS35+AS52+AS84</f>
        <v>102.07600000000002</v>
      </c>
      <c r="AP87" s="1168"/>
      <c r="AQ87" s="1168"/>
      <c r="AR87" s="1168"/>
      <c r="AS87" s="1168"/>
      <c r="AT87" s="1168"/>
      <c r="AU87" s="1168"/>
      <c r="AV87" s="1168">
        <f>AX35+AX52+AX84</f>
        <v>1429.0640000000001</v>
      </c>
      <c r="AW87" s="1168"/>
      <c r="AX87" s="1168"/>
      <c r="AY87" s="1168"/>
      <c r="AZ87" s="1168"/>
      <c r="BA87" s="1168"/>
      <c r="BB87" s="1169"/>
    </row>
    <row r="88" spans="1:54" ht="12" customHeight="1" thickBot="1" x14ac:dyDescent="0.25">
      <c r="M88" s="46" t="s">
        <v>35</v>
      </c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8"/>
      <c r="AO88" s="1170">
        <f>AO87+AO86</f>
        <v>440.07600000000002</v>
      </c>
      <c r="AP88" s="1171"/>
      <c r="AQ88" s="1171"/>
      <c r="AR88" s="1171"/>
      <c r="AS88" s="1171"/>
      <c r="AT88" s="1171"/>
      <c r="AU88" s="1171"/>
      <c r="AV88" s="1171">
        <f>AV86+AV87</f>
        <v>6161.0640000000003</v>
      </c>
      <c r="AW88" s="1171"/>
      <c r="AX88" s="1171"/>
      <c r="AY88" s="1171"/>
      <c r="AZ88" s="1171"/>
      <c r="BA88" s="1171"/>
      <c r="BB88" s="1172"/>
    </row>
    <row r="89" spans="1:54" ht="18" customHeight="1" x14ac:dyDescent="0.2"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</row>
    <row r="90" spans="1:54" s="5" customFormat="1" ht="15" customHeight="1" x14ac:dyDescent="0.2">
      <c r="A90" s="55" t="s">
        <v>36</v>
      </c>
      <c r="B90" s="55"/>
      <c r="C90" s="55" t="s">
        <v>37</v>
      </c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6"/>
      <c r="AY90" s="56"/>
      <c r="AZ90" s="56"/>
      <c r="BA90" s="56"/>
      <c r="BB90" s="56"/>
    </row>
    <row r="91" spans="1:54" ht="21.75" customHeight="1" thickBot="1" x14ac:dyDescent="0.25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  <c r="AC91" s="57"/>
      <c r="AD91" s="57"/>
      <c r="AE91" s="57"/>
      <c r="AF91" s="57"/>
      <c r="AG91" s="57"/>
      <c r="AH91" s="57"/>
      <c r="AI91" s="57"/>
      <c r="AJ91" s="57"/>
      <c r="AK91" s="57"/>
      <c r="AL91" s="57"/>
      <c r="AM91" s="57"/>
      <c r="AN91" s="57"/>
      <c r="AO91" s="57"/>
      <c r="AP91" s="57"/>
      <c r="AQ91" s="57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</row>
    <row r="92" spans="1:54" s="9" customFormat="1" ht="39" customHeight="1" x14ac:dyDescent="0.2">
      <c r="A92" s="1173" t="s">
        <v>38</v>
      </c>
      <c r="B92" s="1161"/>
      <c r="C92" s="1161"/>
      <c r="D92" s="1161"/>
      <c r="E92" s="1161"/>
      <c r="F92" s="1161"/>
      <c r="G92" s="1161"/>
      <c r="H92" s="1161"/>
      <c r="I92" s="1161"/>
      <c r="J92" s="1161"/>
      <c r="K92" s="1161"/>
      <c r="L92" s="1161"/>
      <c r="M92" s="1161"/>
      <c r="N92" s="1161"/>
      <c r="O92" s="1161"/>
      <c r="P92" s="1161"/>
      <c r="Q92" s="1000" t="s">
        <v>39</v>
      </c>
      <c r="R92" s="1000"/>
      <c r="S92" s="1000"/>
      <c r="T92" s="1000"/>
      <c r="U92" s="1000"/>
      <c r="V92" s="1000"/>
      <c r="W92" s="1000"/>
      <c r="X92" s="1000" t="s">
        <v>40</v>
      </c>
      <c r="Y92" s="1000"/>
      <c r="Z92" s="1000"/>
      <c r="AA92" s="1000"/>
      <c r="AB92" s="1000"/>
      <c r="AC92" s="1000"/>
      <c r="AD92" s="1000"/>
      <c r="AE92" s="1000" t="s">
        <v>41</v>
      </c>
      <c r="AF92" s="1000"/>
      <c r="AG92" s="1000"/>
      <c r="AH92" s="1000"/>
      <c r="AI92" s="1000"/>
      <c r="AJ92" s="1000"/>
      <c r="AK92" s="1000"/>
      <c r="AL92" s="1000"/>
      <c r="AM92" s="1161" t="s">
        <v>42</v>
      </c>
      <c r="AN92" s="1161"/>
      <c r="AO92" s="1161"/>
      <c r="AP92" s="1161"/>
      <c r="AQ92" s="1161"/>
      <c r="AR92" s="1161"/>
      <c r="AS92" s="1161"/>
      <c r="AT92" s="1161"/>
      <c r="AU92" s="1161"/>
      <c r="AV92" s="1161" t="s">
        <v>43</v>
      </c>
      <c r="AW92" s="1161"/>
      <c r="AX92" s="1161"/>
      <c r="AY92" s="1161"/>
      <c r="AZ92" s="1161"/>
      <c r="BA92" s="1161"/>
      <c r="BB92" s="1162"/>
    </row>
    <row r="93" spans="1:54" s="9" customFormat="1" ht="12" customHeight="1" thickBot="1" x14ac:dyDescent="0.25">
      <c r="A93" s="1163">
        <v>1</v>
      </c>
      <c r="B93" s="1164"/>
      <c r="C93" s="1164"/>
      <c r="D93" s="1164"/>
      <c r="E93" s="1164"/>
      <c r="F93" s="1164"/>
      <c r="G93" s="1164"/>
      <c r="H93" s="1164"/>
      <c r="I93" s="1164"/>
      <c r="J93" s="1164"/>
      <c r="K93" s="1164"/>
      <c r="L93" s="1164"/>
      <c r="M93" s="1164"/>
      <c r="N93" s="1164"/>
      <c r="O93" s="1164"/>
      <c r="P93" s="1164"/>
      <c r="Q93" s="1164">
        <v>2</v>
      </c>
      <c r="R93" s="1164"/>
      <c r="S93" s="1164"/>
      <c r="T93" s="1164"/>
      <c r="U93" s="1164"/>
      <c r="V93" s="1164"/>
      <c r="W93" s="1164"/>
      <c r="X93" s="1164">
        <v>3</v>
      </c>
      <c r="Y93" s="1164"/>
      <c r="Z93" s="1164"/>
      <c r="AA93" s="1164"/>
      <c r="AB93" s="1164"/>
      <c r="AC93" s="1164"/>
      <c r="AD93" s="1164"/>
      <c r="AE93" s="1164">
        <v>4</v>
      </c>
      <c r="AF93" s="1164"/>
      <c r="AG93" s="1164"/>
      <c r="AH93" s="1164"/>
      <c r="AI93" s="1164"/>
      <c r="AJ93" s="1164"/>
      <c r="AK93" s="1164"/>
      <c r="AL93" s="1164"/>
      <c r="AM93" s="1164">
        <v>5</v>
      </c>
      <c r="AN93" s="1164"/>
      <c r="AO93" s="1164"/>
      <c r="AP93" s="1164"/>
      <c r="AQ93" s="1164"/>
      <c r="AR93" s="1164"/>
      <c r="AS93" s="1164"/>
      <c r="AT93" s="1164"/>
      <c r="AU93" s="1164"/>
      <c r="AV93" s="1164">
        <v>6</v>
      </c>
      <c r="AW93" s="1164"/>
      <c r="AX93" s="1164"/>
      <c r="AY93" s="1164"/>
      <c r="AZ93" s="1164"/>
      <c r="BA93" s="1164"/>
      <c r="BB93" s="1165"/>
    </row>
    <row r="94" spans="1:54" ht="15" customHeight="1" x14ac:dyDescent="0.2">
      <c r="A94" s="1142" t="s">
        <v>44</v>
      </c>
      <c r="B94" s="1143"/>
      <c r="C94" s="1143"/>
      <c r="D94" s="1143"/>
      <c r="E94" s="1143"/>
      <c r="F94" s="1143"/>
      <c r="G94" s="1143"/>
      <c r="H94" s="1143"/>
      <c r="I94" s="1143"/>
      <c r="J94" s="1143"/>
      <c r="K94" s="1143"/>
      <c r="L94" s="1143"/>
      <c r="M94" s="1143"/>
      <c r="N94" s="1143"/>
      <c r="O94" s="1143"/>
      <c r="P94" s="1143"/>
      <c r="Q94" s="1114">
        <v>5014.7</v>
      </c>
      <c r="R94" s="1115"/>
      <c r="S94" s="1115"/>
      <c r="T94" s="1115"/>
      <c r="U94" s="1115"/>
      <c r="V94" s="1115"/>
      <c r="W94" s="1116"/>
      <c r="X94" s="572">
        <v>54.4</v>
      </c>
      <c r="Y94" s="573"/>
      <c r="Z94" s="573"/>
      <c r="AA94" s="573"/>
      <c r="AB94" s="573"/>
      <c r="AC94" s="573"/>
      <c r="AD94" s="574"/>
      <c r="AE94" s="477">
        <v>1543273.99</v>
      </c>
      <c r="AF94" s="477"/>
      <c r="AG94" s="477"/>
      <c r="AH94" s="477"/>
      <c r="AI94" s="477"/>
      <c r="AJ94" s="477"/>
      <c r="AK94" s="477"/>
      <c r="AL94" s="477"/>
      <c r="AM94" s="1144" t="s">
        <v>45</v>
      </c>
      <c r="AN94" s="1145"/>
      <c r="AO94" s="1145"/>
      <c r="AP94" s="1145"/>
      <c r="AQ94" s="1145"/>
      <c r="AR94" s="1145"/>
      <c r="AS94" s="1145"/>
      <c r="AT94" s="1145"/>
      <c r="AU94" s="1146"/>
      <c r="AV94" s="1138">
        <f>AE94/$Q$94*$X$94/($AN$95*$AN$96)</f>
        <v>5.6483133283154272</v>
      </c>
      <c r="AW94" s="1138"/>
      <c r="AX94" s="1138"/>
      <c r="AY94" s="1138"/>
      <c r="AZ94" s="1138"/>
      <c r="BA94" s="1138"/>
      <c r="BB94" s="1139"/>
    </row>
    <row r="95" spans="1:54" ht="15" customHeight="1" x14ac:dyDescent="0.2">
      <c r="A95" s="1142" t="s">
        <v>46</v>
      </c>
      <c r="B95" s="1143"/>
      <c r="C95" s="1143"/>
      <c r="D95" s="1143"/>
      <c r="E95" s="1143"/>
      <c r="F95" s="1143"/>
      <c r="G95" s="1143"/>
      <c r="H95" s="1143"/>
      <c r="I95" s="1143"/>
      <c r="J95" s="1143"/>
      <c r="K95" s="1143"/>
      <c r="L95" s="1143"/>
      <c r="M95" s="1143"/>
      <c r="N95" s="1143"/>
      <c r="O95" s="1143"/>
      <c r="P95" s="1143"/>
      <c r="Q95" s="1114"/>
      <c r="R95" s="1115"/>
      <c r="S95" s="1115"/>
      <c r="T95" s="1115"/>
      <c r="U95" s="1115"/>
      <c r="V95" s="1115"/>
      <c r="W95" s="1116"/>
      <c r="X95" s="572"/>
      <c r="Y95" s="573"/>
      <c r="Z95" s="573"/>
      <c r="AA95" s="573"/>
      <c r="AB95" s="573"/>
      <c r="AC95" s="573"/>
      <c r="AD95" s="574"/>
      <c r="AE95" s="529">
        <v>2640483.81</v>
      </c>
      <c r="AF95" s="529"/>
      <c r="AG95" s="529"/>
      <c r="AH95" s="529"/>
      <c r="AI95" s="529"/>
      <c r="AJ95" s="529"/>
      <c r="AK95" s="529"/>
      <c r="AL95" s="529"/>
      <c r="AM95" s="88"/>
      <c r="AN95" s="1147">
        <v>247</v>
      </c>
      <c r="AO95" s="1147"/>
      <c r="AP95" s="1147"/>
      <c r="AQ95" s="1141" t="s">
        <v>47</v>
      </c>
      <c r="AR95" s="1141"/>
      <c r="AS95" s="1141"/>
      <c r="AT95" s="1141"/>
      <c r="AU95" s="89"/>
      <c r="AV95" s="1138">
        <f>AE95/$Q$94*$X$94/($AN$95*$AN$96)</f>
        <v>9.6640518753407498</v>
      </c>
      <c r="AW95" s="1138"/>
      <c r="AX95" s="1138"/>
      <c r="AY95" s="1138"/>
      <c r="AZ95" s="1138"/>
      <c r="BA95" s="1138"/>
      <c r="BB95" s="1139"/>
    </row>
    <row r="96" spans="1:54" ht="15" customHeight="1" x14ac:dyDescent="0.2">
      <c r="A96" s="1120" t="s">
        <v>48</v>
      </c>
      <c r="B96" s="1121"/>
      <c r="C96" s="1121"/>
      <c r="D96" s="1121"/>
      <c r="E96" s="1121"/>
      <c r="F96" s="1121"/>
      <c r="G96" s="1121"/>
      <c r="H96" s="1121"/>
      <c r="I96" s="1121"/>
      <c r="J96" s="1121"/>
      <c r="K96" s="1121"/>
      <c r="L96" s="1121"/>
      <c r="M96" s="1121"/>
      <c r="N96" s="1121"/>
      <c r="O96" s="1121"/>
      <c r="P96" s="1122"/>
      <c r="Q96" s="1114"/>
      <c r="R96" s="1115"/>
      <c r="S96" s="1115"/>
      <c r="T96" s="1115"/>
      <c r="U96" s="1115"/>
      <c r="V96" s="1115"/>
      <c r="W96" s="1116"/>
      <c r="X96" s="572"/>
      <c r="Y96" s="573"/>
      <c r="Z96" s="573"/>
      <c r="AA96" s="573"/>
      <c r="AB96" s="573"/>
      <c r="AC96" s="573"/>
      <c r="AD96" s="574"/>
      <c r="AE96" s="529">
        <v>4214618.8899999997</v>
      </c>
      <c r="AF96" s="529"/>
      <c r="AG96" s="529"/>
      <c r="AH96" s="529"/>
      <c r="AI96" s="529"/>
      <c r="AJ96" s="529"/>
      <c r="AK96" s="529"/>
      <c r="AL96" s="529"/>
      <c r="AM96" s="88"/>
      <c r="AN96" s="1140">
        <v>12</v>
      </c>
      <c r="AO96" s="1140"/>
      <c r="AP96" s="1140"/>
      <c r="AQ96" s="1141" t="s">
        <v>49</v>
      </c>
      <c r="AR96" s="1141"/>
      <c r="AS96" s="1141"/>
      <c r="AT96" s="1141"/>
      <c r="AU96" s="89"/>
      <c r="AV96" s="1138">
        <f>AE96/$Q$94*$X$94/($AN$95*$AN$96)</f>
        <v>15.425315403752105</v>
      </c>
      <c r="AW96" s="1138"/>
      <c r="AX96" s="1138"/>
      <c r="AY96" s="1138"/>
      <c r="AZ96" s="1138"/>
      <c r="BA96" s="1138"/>
      <c r="BB96" s="1139"/>
    </row>
    <row r="97" spans="1:57" ht="15" customHeight="1" thickBot="1" x14ac:dyDescent="0.25">
      <c r="A97" s="1148" t="s">
        <v>50</v>
      </c>
      <c r="B97" s="1149"/>
      <c r="C97" s="1149"/>
      <c r="D97" s="1149"/>
      <c r="E97" s="1149"/>
      <c r="F97" s="1149"/>
      <c r="G97" s="1149"/>
      <c r="H97" s="1149"/>
      <c r="I97" s="1149"/>
      <c r="J97" s="1149"/>
      <c r="K97" s="1149"/>
      <c r="L97" s="1149"/>
      <c r="M97" s="1149"/>
      <c r="N97" s="1149"/>
      <c r="O97" s="1149"/>
      <c r="P97" s="1150"/>
      <c r="Q97" s="1114"/>
      <c r="R97" s="1115"/>
      <c r="S97" s="1115"/>
      <c r="T97" s="1115"/>
      <c r="U97" s="1115"/>
      <c r="V97" s="1115"/>
      <c r="W97" s="1116"/>
      <c r="X97" s="572"/>
      <c r="Y97" s="573"/>
      <c r="Z97" s="573"/>
      <c r="AA97" s="573"/>
      <c r="AB97" s="573"/>
      <c r="AC97" s="573"/>
      <c r="AD97" s="574"/>
      <c r="AE97" s="627">
        <v>1852856.09</v>
      </c>
      <c r="AF97" s="627"/>
      <c r="AG97" s="627"/>
      <c r="AH97" s="627"/>
      <c r="AI97" s="627"/>
      <c r="AJ97" s="627"/>
      <c r="AK97" s="627"/>
      <c r="AL97" s="627"/>
      <c r="AM97" s="88"/>
      <c r="AN97" s="90"/>
      <c r="AO97" s="90"/>
      <c r="AP97" s="90"/>
      <c r="AQ97" s="90"/>
      <c r="AR97" s="90"/>
      <c r="AS97" s="90"/>
      <c r="AT97" s="90"/>
      <c r="AU97" s="89"/>
      <c r="AV97" s="1151">
        <f>AE97/$Q$94*$X$94/($AN$95*$AN$96)</f>
        <v>6.7813698775532458</v>
      </c>
      <c r="AW97" s="1151"/>
      <c r="AX97" s="1151"/>
      <c r="AY97" s="1151"/>
      <c r="AZ97" s="1151"/>
      <c r="BA97" s="1151"/>
      <c r="BB97" s="1152"/>
    </row>
    <row r="98" spans="1:57" s="7" customFormat="1" ht="15" customHeight="1" thickBot="1" x14ac:dyDescent="0.25">
      <c r="A98" s="1128" t="s">
        <v>51</v>
      </c>
      <c r="B98" s="1129"/>
      <c r="C98" s="1129"/>
      <c r="D98" s="1129"/>
      <c r="E98" s="1129"/>
      <c r="F98" s="1129"/>
      <c r="G98" s="1129"/>
      <c r="H98" s="1129"/>
      <c r="I98" s="1129"/>
      <c r="J98" s="1129"/>
      <c r="K98" s="1129"/>
      <c r="L98" s="1129"/>
      <c r="M98" s="1129"/>
      <c r="N98" s="1129"/>
      <c r="O98" s="1129"/>
      <c r="P98" s="1129"/>
      <c r="Q98" s="1130">
        <f>Q94</f>
        <v>5014.7</v>
      </c>
      <c r="R98" s="1065"/>
      <c r="S98" s="1065"/>
      <c r="T98" s="1065"/>
      <c r="U98" s="1065"/>
      <c r="V98" s="1065"/>
      <c r="W98" s="1066"/>
      <c r="X98" s="1130">
        <f>X94</f>
        <v>54.4</v>
      </c>
      <c r="Y98" s="1065"/>
      <c r="Z98" s="1065"/>
      <c r="AA98" s="1065"/>
      <c r="AB98" s="1065"/>
      <c r="AC98" s="1065"/>
      <c r="AD98" s="1066"/>
      <c r="AE98" s="612">
        <f>SUM(AE94:AL97)</f>
        <v>10251232.779999999</v>
      </c>
      <c r="AF98" s="612"/>
      <c r="AG98" s="612"/>
      <c r="AH98" s="612"/>
      <c r="AI98" s="612"/>
      <c r="AJ98" s="612"/>
      <c r="AK98" s="612"/>
      <c r="AL98" s="612"/>
      <c r="AM98" s="1130" t="s">
        <v>17</v>
      </c>
      <c r="AN98" s="1065"/>
      <c r="AO98" s="1065"/>
      <c r="AP98" s="1065"/>
      <c r="AQ98" s="1065"/>
      <c r="AR98" s="1065"/>
      <c r="AS98" s="1065"/>
      <c r="AT98" s="1065"/>
      <c r="AU98" s="1066"/>
      <c r="AV98" s="1131">
        <f>SUM(AV94:BB97)</f>
        <v>37.519050484961525</v>
      </c>
      <c r="AW98" s="1131"/>
      <c r="AX98" s="1131"/>
      <c r="AY98" s="1131"/>
      <c r="AZ98" s="1131"/>
      <c r="BA98" s="1131"/>
      <c r="BB98" s="1132"/>
    </row>
    <row r="99" spans="1:57" ht="31.5" customHeight="1" x14ac:dyDescent="0.2"/>
    <row r="100" spans="1:57" s="5" customFormat="1" ht="15" customHeight="1" x14ac:dyDescent="0.2">
      <c r="A100" s="55" t="s">
        <v>52</v>
      </c>
      <c r="B100" s="55"/>
      <c r="C100" s="55" t="s">
        <v>53</v>
      </c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6"/>
      <c r="AY100" s="56"/>
      <c r="AZ100" s="56"/>
      <c r="BA100" s="56"/>
      <c r="BB100" s="56"/>
    </row>
    <row r="101" spans="1:57" ht="12" customHeight="1" thickBot="1" x14ac:dyDescent="0.25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  <c r="AC101" s="57"/>
      <c r="AD101" s="57"/>
      <c r="AE101" s="57"/>
      <c r="AF101" s="57"/>
      <c r="AG101" s="57"/>
      <c r="AH101" s="57"/>
      <c r="AI101" s="57"/>
      <c r="AJ101" s="57"/>
      <c r="AK101" s="57"/>
      <c r="AL101" s="57"/>
      <c r="AM101" s="57"/>
      <c r="AN101" s="57"/>
      <c r="AO101" s="57"/>
      <c r="AP101" s="57"/>
      <c r="AQ101" s="57"/>
      <c r="AR101" s="57"/>
      <c r="AS101" s="57"/>
      <c r="AT101" s="57"/>
      <c r="AU101" s="57"/>
      <c r="AV101" s="57"/>
      <c r="AW101" s="57"/>
      <c r="AX101" s="57"/>
      <c r="AY101" s="57"/>
      <c r="AZ101" s="57"/>
      <c r="BA101" s="57"/>
      <c r="BB101" s="57"/>
    </row>
    <row r="102" spans="1:57" ht="39" customHeight="1" x14ac:dyDescent="0.2">
      <c r="A102" s="1133" t="s">
        <v>54</v>
      </c>
      <c r="B102" s="1134"/>
      <c r="C102" s="1134"/>
      <c r="D102" s="1134"/>
      <c r="E102" s="1134"/>
      <c r="F102" s="1134"/>
      <c r="G102" s="1134"/>
      <c r="H102" s="1134"/>
      <c r="I102" s="1134"/>
      <c r="J102" s="1134"/>
      <c r="K102" s="1134"/>
      <c r="L102" s="1134"/>
      <c r="M102" s="1134"/>
      <c r="N102" s="1134"/>
      <c r="O102" s="1134"/>
      <c r="P102" s="1134"/>
      <c r="Q102" s="1134"/>
      <c r="R102" s="1134"/>
      <c r="S102" s="1134"/>
      <c r="T102" s="1134"/>
      <c r="U102" s="1134"/>
      <c r="V102" s="1134"/>
      <c r="W102" s="1134"/>
      <c r="X102" s="1134"/>
      <c r="Y102" s="1134"/>
      <c r="Z102" s="1135"/>
      <c r="AA102" s="1001" t="s">
        <v>55</v>
      </c>
      <c r="AB102" s="1002"/>
      <c r="AC102" s="1002"/>
      <c r="AD102" s="1002"/>
      <c r="AE102" s="1002"/>
      <c r="AF102" s="1003"/>
      <c r="AG102" s="1001" t="s">
        <v>56</v>
      </c>
      <c r="AH102" s="1002"/>
      <c r="AI102" s="1002"/>
      <c r="AJ102" s="1002"/>
      <c r="AK102" s="1002"/>
      <c r="AL102" s="1003"/>
      <c r="AM102" s="1136" t="s">
        <v>57</v>
      </c>
      <c r="AN102" s="1134"/>
      <c r="AO102" s="1134"/>
      <c r="AP102" s="1134"/>
      <c r="AQ102" s="1134"/>
      <c r="AR102" s="1134"/>
      <c r="AS102" s="1134"/>
      <c r="AT102" s="1135"/>
      <c r="AU102" s="1136" t="s">
        <v>43</v>
      </c>
      <c r="AV102" s="1134"/>
      <c r="AW102" s="1134"/>
      <c r="AX102" s="1134"/>
      <c r="AY102" s="1134"/>
      <c r="AZ102" s="1134"/>
      <c r="BA102" s="1134"/>
      <c r="BB102" s="1137"/>
    </row>
    <row r="103" spans="1:57" ht="15.75" customHeight="1" thickBot="1" x14ac:dyDescent="0.25">
      <c r="A103" s="1123">
        <v>1</v>
      </c>
      <c r="B103" s="1124"/>
      <c r="C103" s="1124"/>
      <c r="D103" s="1124"/>
      <c r="E103" s="1124"/>
      <c r="F103" s="1124"/>
      <c r="G103" s="1124"/>
      <c r="H103" s="1124"/>
      <c r="I103" s="1124"/>
      <c r="J103" s="1124"/>
      <c r="K103" s="1124"/>
      <c r="L103" s="1124"/>
      <c r="M103" s="1124"/>
      <c r="N103" s="1124"/>
      <c r="O103" s="1124"/>
      <c r="P103" s="1124"/>
      <c r="Q103" s="1124"/>
      <c r="R103" s="1124"/>
      <c r="S103" s="1124"/>
      <c r="T103" s="1124"/>
      <c r="U103" s="1124"/>
      <c r="V103" s="1124"/>
      <c r="W103" s="1124"/>
      <c r="X103" s="1124"/>
      <c r="Y103" s="1124"/>
      <c r="Z103" s="1125"/>
      <c r="AA103" s="1126">
        <v>2</v>
      </c>
      <c r="AB103" s="1124"/>
      <c r="AC103" s="1124"/>
      <c r="AD103" s="1124"/>
      <c r="AE103" s="1124"/>
      <c r="AF103" s="1125"/>
      <c r="AG103" s="1126">
        <v>3</v>
      </c>
      <c r="AH103" s="1124"/>
      <c r="AI103" s="1124"/>
      <c r="AJ103" s="1124"/>
      <c r="AK103" s="1124"/>
      <c r="AL103" s="1125"/>
      <c r="AM103" s="1126">
        <v>4</v>
      </c>
      <c r="AN103" s="1124"/>
      <c r="AO103" s="1124"/>
      <c r="AP103" s="1124"/>
      <c r="AQ103" s="1124"/>
      <c r="AR103" s="1124"/>
      <c r="AS103" s="1124"/>
      <c r="AT103" s="1125"/>
      <c r="AU103" s="1126">
        <v>5</v>
      </c>
      <c r="AV103" s="1124"/>
      <c r="AW103" s="1124"/>
      <c r="AX103" s="1124"/>
      <c r="AY103" s="1124"/>
      <c r="AZ103" s="1124"/>
      <c r="BA103" s="1124"/>
      <c r="BB103" s="1127"/>
    </row>
    <row r="104" spans="1:57" ht="1.5" hidden="1" customHeight="1" x14ac:dyDescent="0.2">
      <c r="A104" s="1105" t="s">
        <v>77</v>
      </c>
      <c r="B104" s="1106"/>
      <c r="C104" s="1106"/>
      <c r="D104" s="1106"/>
      <c r="E104" s="1106"/>
      <c r="F104" s="1106"/>
      <c r="G104" s="1106"/>
      <c r="H104" s="1106"/>
      <c r="I104" s="1106"/>
      <c r="J104" s="1106"/>
      <c r="K104" s="1106"/>
      <c r="L104" s="1106"/>
      <c r="M104" s="1106"/>
      <c r="N104" s="1106"/>
      <c r="O104" s="1106"/>
      <c r="P104" s="1106"/>
      <c r="Q104" s="1106"/>
      <c r="R104" s="1106"/>
      <c r="S104" s="1106"/>
      <c r="T104" s="1106"/>
      <c r="U104" s="1106"/>
      <c r="V104" s="1106"/>
      <c r="W104" s="1106"/>
      <c r="X104" s="1106"/>
      <c r="Y104" s="1106"/>
      <c r="Z104" s="1107"/>
      <c r="AA104" s="1108"/>
      <c r="AB104" s="1109"/>
      <c r="AC104" s="1109"/>
      <c r="AD104" s="1109"/>
      <c r="AE104" s="1109"/>
      <c r="AF104" s="1110"/>
      <c r="AG104" s="1111">
        <f>U12</f>
        <v>14</v>
      </c>
      <c r="AH104" s="1112"/>
      <c r="AI104" s="1112"/>
      <c r="AJ104" s="1112"/>
      <c r="AK104" s="1112"/>
      <c r="AL104" s="1113"/>
      <c r="AM104" s="1111" t="s">
        <v>58</v>
      </c>
      <c r="AN104" s="1112"/>
      <c r="AO104" s="1112"/>
      <c r="AP104" s="1112"/>
      <c r="AQ104" s="1112"/>
      <c r="AR104" s="1112"/>
      <c r="AS104" s="1112"/>
      <c r="AT104" s="1113"/>
      <c r="AU104" s="1117">
        <f>AA104/AG104</f>
        <v>0</v>
      </c>
      <c r="AV104" s="1118"/>
      <c r="AW104" s="1118"/>
      <c r="AX104" s="1118"/>
      <c r="AY104" s="1118"/>
      <c r="AZ104" s="1118"/>
      <c r="BA104" s="1118"/>
      <c r="BB104" s="1119"/>
    </row>
    <row r="105" spans="1:57" ht="18" customHeight="1" x14ac:dyDescent="0.2">
      <c r="A105" s="1120" t="s">
        <v>90</v>
      </c>
      <c r="B105" s="1121"/>
      <c r="C105" s="1121"/>
      <c r="D105" s="1121"/>
      <c r="E105" s="1121"/>
      <c r="F105" s="1121"/>
      <c r="G105" s="1121"/>
      <c r="H105" s="1121"/>
      <c r="I105" s="1121"/>
      <c r="J105" s="1121"/>
      <c r="K105" s="1121"/>
      <c r="L105" s="1121"/>
      <c r="M105" s="1121"/>
      <c r="N105" s="1121"/>
      <c r="O105" s="1121"/>
      <c r="P105" s="1121"/>
      <c r="Q105" s="1121"/>
      <c r="R105" s="1121"/>
      <c r="S105" s="1121"/>
      <c r="T105" s="1121"/>
      <c r="U105" s="1121"/>
      <c r="V105" s="1121"/>
      <c r="W105" s="1121"/>
      <c r="X105" s="1121"/>
      <c r="Y105" s="1121"/>
      <c r="Z105" s="1122"/>
      <c r="AA105" s="596">
        <v>300</v>
      </c>
      <c r="AB105" s="597"/>
      <c r="AC105" s="597"/>
      <c r="AD105" s="597"/>
      <c r="AE105" s="597"/>
      <c r="AF105" s="598"/>
      <c r="AG105" s="1114"/>
      <c r="AH105" s="1115"/>
      <c r="AI105" s="1115"/>
      <c r="AJ105" s="1115"/>
      <c r="AK105" s="1115"/>
      <c r="AL105" s="1116"/>
      <c r="AM105" s="1114"/>
      <c r="AN105" s="1115"/>
      <c r="AO105" s="1115"/>
      <c r="AP105" s="1115"/>
      <c r="AQ105" s="1115"/>
      <c r="AR105" s="1115"/>
      <c r="AS105" s="1115"/>
      <c r="AT105" s="1116"/>
      <c r="AU105" s="1102">
        <f>AA105/AG104</f>
        <v>21.428571428571427</v>
      </c>
      <c r="AV105" s="1103"/>
      <c r="AW105" s="1103"/>
      <c r="AX105" s="1103"/>
      <c r="AY105" s="1103"/>
      <c r="AZ105" s="1103"/>
      <c r="BA105" s="1103"/>
      <c r="BB105" s="1104"/>
    </row>
    <row r="106" spans="1:57" ht="24.75" customHeight="1" x14ac:dyDescent="0.2">
      <c r="A106" s="1090" t="s">
        <v>219</v>
      </c>
      <c r="B106" s="1091"/>
      <c r="C106" s="1091"/>
      <c r="D106" s="1091"/>
      <c r="E106" s="1091"/>
      <c r="F106" s="1091"/>
      <c r="G106" s="1091"/>
      <c r="H106" s="1091"/>
      <c r="I106" s="1091"/>
      <c r="J106" s="1091"/>
      <c r="K106" s="1091"/>
      <c r="L106" s="1091"/>
      <c r="M106" s="1091"/>
      <c r="N106" s="1091"/>
      <c r="O106" s="1091"/>
      <c r="P106" s="1091"/>
      <c r="Q106" s="1091"/>
      <c r="R106" s="1091"/>
      <c r="S106" s="1091"/>
      <c r="T106" s="1091"/>
      <c r="U106" s="1091"/>
      <c r="V106" s="1091"/>
      <c r="W106" s="1091"/>
      <c r="X106" s="1091"/>
      <c r="Y106" s="1091"/>
      <c r="Z106" s="1092"/>
      <c r="AA106" s="596">
        <v>800</v>
      </c>
      <c r="AB106" s="597"/>
      <c r="AC106" s="597"/>
      <c r="AD106" s="597"/>
      <c r="AE106" s="597"/>
      <c r="AF106" s="598"/>
      <c r="AG106" s="1114"/>
      <c r="AH106" s="1115"/>
      <c r="AI106" s="1115"/>
      <c r="AJ106" s="1115"/>
      <c r="AK106" s="1115"/>
      <c r="AL106" s="1116"/>
      <c r="AM106" s="1114"/>
      <c r="AN106" s="1115"/>
      <c r="AO106" s="1115"/>
      <c r="AP106" s="1115"/>
      <c r="AQ106" s="1115"/>
      <c r="AR106" s="1115"/>
      <c r="AS106" s="1115"/>
      <c r="AT106" s="1116"/>
      <c r="AU106" s="1102">
        <f>AA106/AG104</f>
        <v>57.142857142857146</v>
      </c>
      <c r="AV106" s="1103"/>
      <c r="AW106" s="1103"/>
      <c r="AX106" s="1103"/>
      <c r="AY106" s="1103"/>
      <c r="AZ106" s="1103"/>
      <c r="BA106" s="1103"/>
      <c r="BB106" s="1104"/>
    </row>
    <row r="107" spans="1:57" ht="0.75" customHeight="1" x14ac:dyDescent="0.2">
      <c r="A107" s="1090"/>
      <c r="B107" s="1091"/>
      <c r="C107" s="1091"/>
      <c r="D107" s="1091"/>
      <c r="E107" s="1091"/>
      <c r="F107" s="1091"/>
      <c r="G107" s="1091"/>
      <c r="H107" s="1091"/>
      <c r="I107" s="1091"/>
      <c r="J107" s="1091"/>
      <c r="K107" s="1091"/>
      <c r="L107" s="1091"/>
      <c r="M107" s="1091"/>
      <c r="N107" s="1091"/>
      <c r="O107" s="1091"/>
      <c r="P107" s="1091"/>
      <c r="Q107" s="1091"/>
      <c r="R107" s="1091"/>
      <c r="S107" s="1091"/>
      <c r="T107" s="1091"/>
      <c r="U107" s="1091"/>
      <c r="V107" s="1091"/>
      <c r="W107" s="1091"/>
      <c r="X107" s="1091"/>
      <c r="Y107" s="1091"/>
      <c r="Z107" s="1092"/>
      <c r="AA107" s="596"/>
      <c r="AB107" s="597"/>
      <c r="AC107" s="597"/>
      <c r="AD107" s="597"/>
      <c r="AE107" s="597"/>
      <c r="AF107" s="598"/>
      <c r="AG107" s="1114"/>
      <c r="AH107" s="1115"/>
      <c r="AI107" s="1115"/>
      <c r="AJ107" s="1115"/>
      <c r="AK107" s="1115"/>
      <c r="AL107" s="1116"/>
      <c r="AM107" s="1114"/>
      <c r="AN107" s="1115"/>
      <c r="AO107" s="1115"/>
      <c r="AP107" s="1115"/>
      <c r="AQ107" s="1115"/>
      <c r="AR107" s="1115"/>
      <c r="AS107" s="1115"/>
      <c r="AT107" s="1116"/>
      <c r="AU107" s="1096">
        <f>AA107/AG104</f>
        <v>0</v>
      </c>
      <c r="AV107" s="1097"/>
      <c r="AW107" s="1097"/>
      <c r="AX107" s="1097"/>
      <c r="AY107" s="1097"/>
      <c r="AZ107" s="1097"/>
      <c r="BA107" s="1097"/>
      <c r="BB107" s="1098"/>
      <c r="BE107" s="4">
        <f>AU107*12*4</f>
        <v>0</v>
      </c>
    </row>
    <row r="108" spans="1:57" ht="22.5" hidden="1" customHeight="1" x14ac:dyDescent="0.2">
      <c r="A108" s="1090"/>
      <c r="B108" s="1091"/>
      <c r="C108" s="1091"/>
      <c r="D108" s="1091"/>
      <c r="E108" s="1091"/>
      <c r="F108" s="1091"/>
      <c r="G108" s="1091"/>
      <c r="H108" s="1091"/>
      <c r="I108" s="1091"/>
      <c r="J108" s="1091"/>
      <c r="K108" s="1091"/>
      <c r="L108" s="1091"/>
      <c r="M108" s="1091"/>
      <c r="N108" s="1091"/>
      <c r="O108" s="1091"/>
      <c r="P108" s="1091"/>
      <c r="Q108" s="1091"/>
      <c r="R108" s="1091"/>
      <c r="S108" s="1091"/>
      <c r="T108" s="1091"/>
      <c r="U108" s="1091"/>
      <c r="V108" s="1091"/>
      <c r="W108" s="1091"/>
      <c r="X108" s="1091"/>
      <c r="Y108" s="1091"/>
      <c r="Z108" s="1092"/>
      <c r="AA108" s="596"/>
      <c r="AB108" s="597"/>
      <c r="AC108" s="597"/>
      <c r="AD108" s="597"/>
      <c r="AE108" s="597"/>
      <c r="AF108" s="598"/>
      <c r="AG108" s="1114"/>
      <c r="AH108" s="1115"/>
      <c r="AI108" s="1115"/>
      <c r="AJ108" s="1115"/>
      <c r="AK108" s="1115"/>
      <c r="AL108" s="1116"/>
      <c r="AM108" s="1114"/>
      <c r="AN108" s="1115"/>
      <c r="AO108" s="1115"/>
      <c r="AP108" s="1115"/>
      <c r="AQ108" s="1115"/>
      <c r="AR108" s="1115"/>
      <c r="AS108" s="1115"/>
      <c r="AT108" s="1116"/>
      <c r="AU108" s="1096">
        <f>AA108/AG104</f>
        <v>0</v>
      </c>
      <c r="AV108" s="1097"/>
      <c r="AW108" s="1097"/>
      <c r="AX108" s="1097"/>
      <c r="AY108" s="1097"/>
      <c r="AZ108" s="1097"/>
      <c r="BA108" s="1097"/>
      <c r="BB108" s="1098"/>
    </row>
    <row r="109" spans="1:57" ht="26.25" hidden="1" customHeight="1" x14ac:dyDescent="0.2">
      <c r="A109" s="1120"/>
      <c r="B109" s="1121"/>
      <c r="C109" s="1121"/>
      <c r="D109" s="1121"/>
      <c r="E109" s="1121"/>
      <c r="F109" s="1121"/>
      <c r="G109" s="1121"/>
      <c r="H109" s="1121"/>
      <c r="I109" s="1121"/>
      <c r="J109" s="1121"/>
      <c r="K109" s="1121"/>
      <c r="L109" s="1121"/>
      <c r="M109" s="1121"/>
      <c r="N109" s="1121"/>
      <c r="O109" s="1121"/>
      <c r="P109" s="1121"/>
      <c r="Q109" s="1121"/>
      <c r="R109" s="1121"/>
      <c r="S109" s="1121"/>
      <c r="T109" s="1121"/>
      <c r="U109" s="1121"/>
      <c r="V109" s="1121"/>
      <c r="W109" s="1121"/>
      <c r="X109" s="1121"/>
      <c r="Y109" s="1121"/>
      <c r="Z109" s="1122"/>
      <c r="AA109" s="596"/>
      <c r="AB109" s="597"/>
      <c r="AC109" s="597"/>
      <c r="AD109" s="597"/>
      <c r="AE109" s="597"/>
      <c r="AF109" s="598"/>
      <c r="AG109" s="1114"/>
      <c r="AH109" s="1115"/>
      <c r="AI109" s="1115"/>
      <c r="AJ109" s="1115"/>
      <c r="AK109" s="1115"/>
      <c r="AL109" s="1116"/>
      <c r="AM109" s="1114"/>
      <c r="AN109" s="1115"/>
      <c r="AO109" s="1115"/>
      <c r="AP109" s="1115"/>
      <c r="AQ109" s="1115"/>
      <c r="AR109" s="1115"/>
      <c r="AS109" s="1115"/>
      <c r="AT109" s="1116"/>
      <c r="AU109" s="1096">
        <f>AA109/AG104</f>
        <v>0</v>
      </c>
      <c r="AV109" s="1097"/>
      <c r="AW109" s="1097"/>
      <c r="AX109" s="1097"/>
      <c r="AY109" s="1097"/>
      <c r="AZ109" s="1097"/>
      <c r="BA109" s="1097"/>
      <c r="BB109" s="1098"/>
    </row>
    <row r="110" spans="1:57" ht="19.5" hidden="1" customHeight="1" x14ac:dyDescent="0.2">
      <c r="A110" s="1090"/>
      <c r="B110" s="1091"/>
      <c r="C110" s="1091"/>
      <c r="D110" s="1091"/>
      <c r="E110" s="1091"/>
      <c r="F110" s="1091"/>
      <c r="G110" s="1091"/>
      <c r="H110" s="1091"/>
      <c r="I110" s="1091"/>
      <c r="J110" s="1091"/>
      <c r="K110" s="1091"/>
      <c r="L110" s="1091"/>
      <c r="M110" s="1091"/>
      <c r="N110" s="1091"/>
      <c r="O110" s="1091"/>
      <c r="P110" s="1091"/>
      <c r="Q110" s="1091"/>
      <c r="R110" s="1091"/>
      <c r="S110" s="1091"/>
      <c r="T110" s="1091"/>
      <c r="U110" s="1091"/>
      <c r="V110" s="1091"/>
      <c r="W110" s="1091"/>
      <c r="X110" s="1091"/>
      <c r="Y110" s="1091"/>
      <c r="Z110" s="1092"/>
      <c r="AA110" s="596"/>
      <c r="AB110" s="597"/>
      <c r="AC110" s="597"/>
      <c r="AD110" s="597"/>
      <c r="AE110" s="597"/>
      <c r="AF110" s="598"/>
      <c r="AG110" s="1114"/>
      <c r="AH110" s="1115"/>
      <c r="AI110" s="1115"/>
      <c r="AJ110" s="1115"/>
      <c r="AK110" s="1115"/>
      <c r="AL110" s="1116"/>
      <c r="AM110" s="1114"/>
      <c r="AN110" s="1115"/>
      <c r="AO110" s="1115"/>
      <c r="AP110" s="1115"/>
      <c r="AQ110" s="1115"/>
      <c r="AR110" s="1115"/>
      <c r="AS110" s="1115"/>
      <c r="AT110" s="1116"/>
      <c r="AU110" s="1096">
        <f>AA110/AG104</f>
        <v>0</v>
      </c>
      <c r="AV110" s="1097"/>
      <c r="AW110" s="1097"/>
      <c r="AX110" s="1097"/>
      <c r="AY110" s="1097"/>
      <c r="AZ110" s="1097"/>
      <c r="BA110" s="1097"/>
      <c r="BB110" s="1098"/>
    </row>
    <row r="111" spans="1:57" ht="0.75" hidden="1" customHeight="1" x14ac:dyDescent="0.2">
      <c r="A111" s="1090"/>
      <c r="B111" s="1091"/>
      <c r="C111" s="1091"/>
      <c r="D111" s="1091"/>
      <c r="E111" s="1091"/>
      <c r="F111" s="1091"/>
      <c r="G111" s="1091"/>
      <c r="H111" s="1091"/>
      <c r="I111" s="1091"/>
      <c r="J111" s="1091"/>
      <c r="K111" s="1091"/>
      <c r="L111" s="1091"/>
      <c r="M111" s="1091"/>
      <c r="N111" s="1091"/>
      <c r="O111" s="1091"/>
      <c r="P111" s="1091"/>
      <c r="Q111" s="1091"/>
      <c r="R111" s="1091"/>
      <c r="S111" s="1091"/>
      <c r="T111" s="1091"/>
      <c r="U111" s="1091"/>
      <c r="V111" s="1091"/>
      <c r="W111" s="1091"/>
      <c r="X111" s="1091"/>
      <c r="Y111" s="1091"/>
      <c r="Z111" s="1092"/>
      <c r="AA111" s="596"/>
      <c r="AB111" s="597"/>
      <c r="AC111" s="597"/>
      <c r="AD111" s="597"/>
      <c r="AE111" s="597"/>
      <c r="AF111" s="598"/>
      <c r="AG111" s="1114"/>
      <c r="AH111" s="1115"/>
      <c r="AI111" s="1115"/>
      <c r="AJ111" s="1115"/>
      <c r="AK111" s="1115"/>
      <c r="AL111" s="1116"/>
      <c r="AM111" s="1114"/>
      <c r="AN111" s="1115"/>
      <c r="AO111" s="1115"/>
      <c r="AP111" s="1115"/>
      <c r="AQ111" s="1115"/>
      <c r="AR111" s="1115"/>
      <c r="AS111" s="1115"/>
      <c r="AT111" s="1116"/>
      <c r="AU111" s="1096">
        <f>AA111/AG104</f>
        <v>0</v>
      </c>
      <c r="AV111" s="1097"/>
      <c r="AW111" s="1097"/>
      <c r="AX111" s="1097"/>
      <c r="AY111" s="1097"/>
      <c r="AZ111" s="1097"/>
      <c r="BA111" s="1097"/>
      <c r="BB111" s="1098"/>
    </row>
    <row r="112" spans="1:57" ht="19.5" hidden="1" customHeight="1" x14ac:dyDescent="0.2">
      <c r="A112" s="1090"/>
      <c r="B112" s="1091"/>
      <c r="C112" s="1091"/>
      <c r="D112" s="1091"/>
      <c r="E112" s="1091"/>
      <c r="F112" s="1091"/>
      <c r="G112" s="1091"/>
      <c r="H112" s="1091"/>
      <c r="I112" s="1091"/>
      <c r="J112" s="1091"/>
      <c r="K112" s="1091"/>
      <c r="L112" s="1091"/>
      <c r="M112" s="1091"/>
      <c r="N112" s="1091"/>
      <c r="O112" s="1091"/>
      <c r="P112" s="1091"/>
      <c r="Q112" s="1091"/>
      <c r="R112" s="1091"/>
      <c r="S112" s="1091"/>
      <c r="T112" s="1091"/>
      <c r="U112" s="1091"/>
      <c r="V112" s="1091"/>
      <c r="W112" s="1091"/>
      <c r="X112" s="1091"/>
      <c r="Y112" s="1091"/>
      <c r="Z112" s="1092"/>
      <c r="AA112" s="596"/>
      <c r="AB112" s="597"/>
      <c r="AC112" s="597"/>
      <c r="AD112" s="597"/>
      <c r="AE112" s="597"/>
      <c r="AF112" s="598"/>
      <c r="AG112" s="1114"/>
      <c r="AH112" s="1115"/>
      <c r="AI112" s="1115"/>
      <c r="AJ112" s="1115"/>
      <c r="AK112" s="1115"/>
      <c r="AL112" s="1116"/>
      <c r="AM112" s="1114"/>
      <c r="AN112" s="1115"/>
      <c r="AO112" s="1115"/>
      <c r="AP112" s="1115"/>
      <c r="AQ112" s="1115"/>
      <c r="AR112" s="1115"/>
      <c r="AS112" s="1115"/>
      <c r="AT112" s="1116"/>
      <c r="AU112" s="1096">
        <f>AA112/AG104</f>
        <v>0</v>
      </c>
      <c r="AV112" s="1097"/>
      <c r="AW112" s="1097"/>
      <c r="AX112" s="1097"/>
      <c r="AY112" s="1097"/>
      <c r="AZ112" s="1097"/>
      <c r="BA112" s="1097"/>
      <c r="BB112" s="1098"/>
    </row>
    <row r="113" spans="1:54" ht="20.25" hidden="1" customHeight="1" x14ac:dyDescent="0.2">
      <c r="A113" s="1090"/>
      <c r="B113" s="1091"/>
      <c r="C113" s="1091"/>
      <c r="D113" s="1091"/>
      <c r="E113" s="1091"/>
      <c r="F113" s="1091"/>
      <c r="G113" s="1091"/>
      <c r="H113" s="1091"/>
      <c r="I113" s="1091"/>
      <c r="J113" s="1091"/>
      <c r="K113" s="1091"/>
      <c r="L113" s="1091"/>
      <c r="M113" s="1091"/>
      <c r="N113" s="1091"/>
      <c r="O113" s="1091"/>
      <c r="P113" s="1091"/>
      <c r="Q113" s="1091"/>
      <c r="R113" s="1091"/>
      <c r="S113" s="1091"/>
      <c r="T113" s="1091"/>
      <c r="U113" s="1091"/>
      <c r="V113" s="1091"/>
      <c r="W113" s="1091"/>
      <c r="X113" s="1091"/>
      <c r="Y113" s="1091"/>
      <c r="Z113" s="1092"/>
      <c r="AA113" s="596"/>
      <c r="AB113" s="597"/>
      <c r="AC113" s="597"/>
      <c r="AD113" s="597"/>
      <c r="AE113" s="597"/>
      <c r="AF113" s="598"/>
      <c r="AG113" s="1114"/>
      <c r="AH113" s="1115"/>
      <c r="AI113" s="1115"/>
      <c r="AJ113" s="1115"/>
      <c r="AK113" s="1115"/>
      <c r="AL113" s="1116"/>
      <c r="AM113" s="1114"/>
      <c r="AN113" s="1115"/>
      <c r="AO113" s="1115"/>
      <c r="AP113" s="1115"/>
      <c r="AQ113" s="1115"/>
      <c r="AR113" s="1115"/>
      <c r="AS113" s="1115"/>
      <c r="AT113" s="1116"/>
      <c r="AU113" s="1096">
        <f>AA113/AG104</f>
        <v>0</v>
      </c>
      <c r="AV113" s="1097"/>
      <c r="AW113" s="1097"/>
      <c r="AX113" s="1097"/>
      <c r="AY113" s="1097"/>
      <c r="AZ113" s="1097"/>
      <c r="BA113" s="1097"/>
      <c r="BB113" s="1098"/>
    </row>
    <row r="114" spans="1:54" ht="16.5" hidden="1" customHeight="1" x14ac:dyDescent="0.2">
      <c r="A114" s="1090"/>
      <c r="B114" s="1091"/>
      <c r="C114" s="1091"/>
      <c r="D114" s="1091"/>
      <c r="E114" s="1091"/>
      <c r="F114" s="1091"/>
      <c r="G114" s="1091"/>
      <c r="H114" s="1091"/>
      <c r="I114" s="1091"/>
      <c r="J114" s="1091"/>
      <c r="K114" s="1091"/>
      <c r="L114" s="1091"/>
      <c r="M114" s="1091"/>
      <c r="N114" s="1091"/>
      <c r="O114" s="1091"/>
      <c r="P114" s="1091"/>
      <c r="Q114" s="1091"/>
      <c r="R114" s="1091"/>
      <c r="S114" s="1091"/>
      <c r="T114" s="1091"/>
      <c r="U114" s="1091"/>
      <c r="V114" s="1091"/>
      <c r="W114" s="1091"/>
      <c r="X114" s="1091"/>
      <c r="Y114" s="1091"/>
      <c r="Z114" s="1092"/>
      <c r="AA114" s="596"/>
      <c r="AB114" s="597"/>
      <c r="AC114" s="597"/>
      <c r="AD114" s="597"/>
      <c r="AE114" s="597"/>
      <c r="AF114" s="598"/>
      <c r="AG114" s="1114"/>
      <c r="AH114" s="1115"/>
      <c r="AI114" s="1115"/>
      <c r="AJ114" s="1115"/>
      <c r="AK114" s="1115"/>
      <c r="AL114" s="1116"/>
      <c r="AM114" s="1114"/>
      <c r="AN114" s="1115"/>
      <c r="AO114" s="1115"/>
      <c r="AP114" s="1115"/>
      <c r="AQ114" s="1115"/>
      <c r="AR114" s="1115"/>
      <c r="AS114" s="1115"/>
      <c r="AT114" s="1116"/>
      <c r="AU114" s="1096">
        <f>AA114/AG104</f>
        <v>0</v>
      </c>
      <c r="AV114" s="1097"/>
      <c r="AW114" s="1097"/>
      <c r="AX114" s="1097"/>
      <c r="AY114" s="1097"/>
      <c r="AZ114" s="1097"/>
      <c r="BA114" s="1097"/>
      <c r="BB114" s="1098"/>
    </row>
    <row r="115" spans="1:54" s="7" customFormat="1" ht="19.5" hidden="1" customHeight="1" x14ac:dyDescent="0.2">
      <c r="A115" s="1090"/>
      <c r="B115" s="1091"/>
      <c r="C115" s="1091"/>
      <c r="D115" s="1091"/>
      <c r="E115" s="1091"/>
      <c r="F115" s="1091"/>
      <c r="G115" s="1091"/>
      <c r="H115" s="1091"/>
      <c r="I115" s="1091"/>
      <c r="J115" s="1091"/>
      <c r="K115" s="1091"/>
      <c r="L115" s="1091"/>
      <c r="M115" s="1091"/>
      <c r="N115" s="1091"/>
      <c r="O115" s="1091"/>
      <c r="P115" s="1091"/>
      <c r="Q115" s="1091"/>
      <c r="R115" s="1091"/>
      <c r="S115" s="1091"/>
      <c r="T115" s="1091"/>
      <c r="U115" s="1091"/>
      <c r="V115" s="1091"/>
      <c r="W115" s="1091"/>
      <c r="X115" s="1091"/>
      <c r="Y115" s="1091"/>
      <c r="Z115" s="1092"/>
      <c r="AA115" s="596"/>
      <c r="AB115" s="597"/>
      <c r="AC115" s="597"/>
      <c r="AD115" s="597"/>
      <c r="AE115" s="597"/>
      <c r="AF115" s="598"/>
      <c r="AG115" s="1114"/>
      <c r="AH115" s="1115"/>
      <c r="AI115" s="1115"/>
      <c r="AJ115" s="1115"/>
      <c r="AK115" s="1115"/>
      <c r="AL115" s="1116"/>
      <c r="AM115" s="1114"/>
      <c r="AN115" s="1115"/>
      <c r="AO115" s="1115"/>
      <c r="AP115" s="1115"/>
      <c r="AQ115" s="1115"/>
      <c r="AR115" s="1115"/>
      <c r="AS115" s="1115"/>
      <c r="AT115" s="1116"/>
      <c r="AU115" s="1096">
        <f>AA115/AG104</f>
        <v>0</v>
      </c>
      <c r="AV115" s="1097"/>
      <c r="AW115" s="1097"/>
      <c r="AX115" s="1097"/>
      <c r="AY115" s="1097"/>
      <c r="AZ115" s="1097"/>
      <c r="BA115" s="1097"/>
      <c r="BB115" s="1098"/>
    </row>
    <row r="116" spans="1:54" ht="1.5" hidden="1" customHeight="1" x14ac:dyDescent="0.2">
      <c r="A116" s="1090"/>
      <c r="B116" s="1091"/>
      <c r="C116" s="1091"/>
      <c r="D116" s="1091"/>
      <c r="E116" s="1091"/>
      <c r="F116" s="1091"/>
      <c r="G116" s="1091"/>
      <c r="H116" s="1091"/>
      <c r="I116" s="1091"/>
      <c r="J116" s="1091"/>
      <c r="K116" s="1091"/>
      <c r="L116" s="1091"/>
      <c r="M116" s="1091"/>
      <c r="N116" s="1091"/>
      <c r="O116" s="1091"/>
      <c r="P116" s="1091"/>
      <c r="Q116" s="1091"/>
      <c r="R116" s="1091"/>
      <c r="S116" s="1091"/>
      <c r="T116" s="1091"/>
      <c r="U116" s="1091"/>
      <c r="V116" s="1091"/>
      <c r="W116" s="1091"/>
      <c r="X116" s="1091"/>
      <c r="Y116" s="1091"/>
      <c r="Z116" s="1092"/>
      <c r="AA116" s="596"/>
      <c r="AB116" s="597"/>
      <c r="AC116" s="597"/>
      <c r="AD116" s="597"/>
      <c r="AE116" s="597"/>
      <c r="AF116" s="598"/>
      <c r="AG116" s="1114"/>
      <c r="AH116" s="1115"/>
      <c r="AI116" s="1115"/>
      <c r="AJ116" s="1115"/>
      <c r="AK116" s="1115"/>
      <c r="AL116" s="1116"/>
      <c r="AM116" s="1114"/>
      <c r="AN116" s="1115"/>
      <c r="AO116" s="1115"/>
      <c r="AP116" s="1115"/>
      <c r="AQ116" s="1115"/>
      <c r="AR116" s="1115"/>
      <c r="AS116" s="1115"/>
      <c r="AT116" s="1116"/>
      <c r="AU116" s="1096">
        <f>AA116/AG104</f>
        <v>0</v>
      </c>
      <c r="AV116" s="1097"/>
      <c r="AW116" s="1097"/>
      <c r="AX116" s="1097"/>
      <c r="AY116" s="1097"/>
      <c r="AZ116" s="1097"/>
      <c r="BA116" s="1097"/>
      <c r="BB116" s="1098"/>
    </row>
    <row r="117" spans="1:54" s="5" customFormat="1" ht="17.25" hidden="1" customHeight="1" x14ac:dyDescent="0.2">
      <c r="A117" s="1090"/>
      <c r="B117" s="1091"/>
      <c r="C117" s="1091"/>
      <c r="D117" s="1091"/>
      <c r="E117" s="1091"/>
      <c r="F117" s="1091"/>
      <c r="G117" s="1091"/>
      <c r="H117" s="1091"/>
      <c r="I117" s="1091"/>
      <c r="J117" s="1091"/>
      <c r="K117" s="1091"/>
      <c r="L117" s="1091"/>
      <c r="M117" s="1091"/>
      <c r="N117" s="1091"/>
      <c r="O117" s="1091"/>
      <c r="P117" s="1091"/>
      <c r="Q117" s="1091"/>
      <c r="R117" s="1091"/>
      <c r="S117" s="1091"/>
      <c r="T117" s="1091"/>
      <c r="U117" s="1091"/>
      <c r="V117" s="1091"/>
      <c r="W117" s="1091"/>
      <c r="X117" s="1091"/>
      <c r="Y117" s="1091"/>
      <c r="Z117" s="1092"/>
      <c r="AA117" s="596"/>
      <c r="AB117" s="597"/>
      <c r="AC117" s="597"/>
      <c r="AD117" s="597"/>
      <c r="AE117" s="597"/>
      <c r="AF117" s="598"/>
      <c r="AG117" s="1114"/>
      <c r="AH117" s="1115"/>
      <c r="AI117" s="1115"/>
      <c r="AJ117" s="1115"/>
      <c r="AK117" s="1115"/>
      <c r="AL117" s="1116"/>
      <c r="AM117" s="1114"/>
      <c r="AN117" s="1115"/>
      <c r="AO117" s="1115"/>
      <c r="AP117" s="1115"/>
      <c r="AQ117" s="1115"/>
      <c r="AR117" s="1115"/>
      <c r="AS117" s="1115"/>
      <c r="AT117" s="1116"/>
      <c r="AU117" s="1096">
        <f>AA117/AG104</f>
        <v>0</v>
      </c>
      <c r="AV117" s="1097"/>
      <c r="AW117" s="1097"/>
      <c r="AX117" s="1097"/>
      <c r="AY117" s="1097"/>
      <c r="AZ117" s="1097"/>
      <c r="BA117" s="1097"/>
      <c r="BB117" s="1098"/>
    </row>
    <row r="118" spans="1:54" ht="17.25" customHeight="1" x14ac:dyDescent="0.2">
      <c r="A118" s="1090" t="s">
        <v>220</v>
      </c>
      <c r="B118" s="1091"/>
      <c r="C118" s="1091"/>
      <c r="D118" s="1091"/>
      <c r="E118" s="1091"/>
      <c r="F118" s="1091"/>
      <c r="G118" s="1091"/>
      <c r="H118" s="1091"/>
      <c r="I118" s="1091"/>
      <c r="J118" s="1091"/>
      <c r="K118" s="1091"/>
      <c r="L118" s="1091"/>
      <c r="M118" s="1091"/>
      <c r="N118" s="1091"/>
      <c r="O118" s="1091"/>
      <c r="P118" s="1091"/>
      <c r="Q118" s="1091"/>
      <c r="R118" s="1091"/>
      <c r="S118" s="1091"/>
      <c r="T118" s="1091"/>
      <c r="U118" s="1091"/>
      <c r="V118" s="1091"/>
      <c r="W118" s="1091"/>
      <c r="X118" s="1091"/>
      <c r="Y118" s="1091"/>
      <c r="Z118" s="1092"/>
      <c r="AA118" s="596">
        <v>100</v>
      </c>
      <c r="AB118" s="597"/>
      <c r="AC118" s="597"/>
      <c r="AD118" s="597"/>
      <c r="AE118" s="597"/>
      <c r="AF118" s="598"/>
      <c r="AG118" s="1114"/>
      <c r="AH118" s="1115"/>
      <c r="AI118" s="1115"/>
      <c r="AJ118" s="1115"/>
      <c r="AK118" s="1115"/>
      <c r="AL118" s="1116"/>
      <c r="AM118" s="1114"/>
      <c r="AN118" s="1115"/>
      <c r="AO118" s="1115"/>
      <c r="AP118" s="1115"/>
      <c r="AQ118" s="1115"/>
      <c r="AR118" s="1115"/>
      <c r="AS118" s="1115"/>
      <c r="AT118" s="1116"/>
      <c r="AU118" s="1102">
        <f>AA118/AG104</f>
        <v>7.1428571428571432</v>
      </c>
      <c r="AV118" s="1103"/>
      <c r="AW118" s="1103"/>
      <c r="AX118" s="1103"/>
      <c r="AY118" s="1103"/>
      <c r="AZ118" s="1103"/>
      <c r="BA118" s="1103"/>
      <c r="BB118" s="1104"/>
    </row>
    <row r="119" spans="1:54" ht="17.25" customHeight="1" x14ac:dyDescent="0.2">
      <c r="A119" s="1090" t="s">
        <v>523</v>
      </c>
      <c r="B119" s="1091"/>
      <c r="C119" s="1091"/>
      <c r="D119" s="1091"/>
      <c r="E119" s="1091"/>
      <c r="F119" s="1091"/>
      <c r="G119" s="1091"/>
      <c r="H119" s="1091"/>
      <c r="I119" s="1091"/>
      <c r="J119" s="1091"/>
      <c r="K119" s="1091"/>
      <c r="L119" s="1091"/>
      <c r="M119" s="1091"/>
      <c r="N119" s="1091"/>
      <c r="O119" s="1091"/>
      <c r="P119" s="1091"/>
      <c r="Q119" s="1091"/>
      <c r="R119" s="1091"/>
      <c r="S119" s="1091"/>
      <c r="T119" s="1091"/>
      <c r="U119" s="1091"/>
      <c r="V119" s="1091"/>
      <c r="W119" s="1091"/>
      <c r="X119" s="1091"/>
      <c r="Y119" s="1091"/>
      <c r="Z119" s="1092"/>
      <c r="AA119" s="596">
        <v>1400</v>
      </c>
      <c r="AB119" s="597"/>
      <c r="AC119" s="597"/>
      <c r="AD119" s="597"/>
      <c r="AE119" s="597"/>
      <c r="AF119" s="598"/>
      <c r="AG119" s="1114"/>
      <c r="AH119" s="1115"/>
      <c r="AI119" s="1115"/>
      <c r="AJ119" s="1115"/>
      <c r="AK119" s="1115"/>
      <c r="AL119" s="1116"/>
      <c r="AM119" s="1114"/>
      <c r="AN119" s="1115"/>
      <c r="AO119" s="1115"/>
      <c r="AP119" s="1115"/>
      <c r="AQ119" s="1115"/>
      <c r="AR119" s="1115"/>
      <c r="AS119" s="1115"/>
      <c r="AT119" s="1116"/>
      <c r="AU119" s="1102">
        <f>AA119/AG104</f>
        <v>100</v>
      </c>
      <c r="AV119" s="1103"/>
      <c r="AW119" s="1103"/>
      <c r="AX119" s="1103"/>
      <c r="AY119" s="1103"/>
      <c r="AZ119" s="1103"/>
      <c r="BA119" s="1103"/>
      <c r="BB119" s="1104"/>
    </row>
    <row r="120" spans="1:54" ht="24" customHeight="1" thickBot="1" x14ac:dyDescent="0.25">
      <c r="A120" s="1099" t="s">
        <v>96</v>
      </c>
      <c r="B120" s="1100"/>
      <c r="C120" s="1100"/>
      <c r="D120" s="1100"/>
      <c r="E120" s="1100"/>
      <c r="F120" s="1100"/>
      <c r="G120" s="1100"/>
      <c r="H120" s="1100"/>
      <c r="I120" s="1100"/>
      <c r="J120" s="1100"/>
      <c r="K120" s="1100"/>
      <c r="L120" s="1100"/>
      <c r="M120" s="1100"/>
      <c r="N120" s="1100"/>
      <c r="O120" s="1100"/>
      <c r="P120" s="1100"/>
      <c r="Q120" s="1100"/>
      <c r="R120" s="1100"/>
      <c r="S120" s="1100"/>
      <c r="T120" s="1100"/>
      <c r="U120" s="1100"/>
      <c r="V120" s="1100"/>
      <c r="W120" s="1100"/>
      <c r="X120" s="1100"/>
      <c r="Y120" s="1100"/>
      <c r="Z120" s="1101"/>
      <c r="AA120" s="596">
        <v>27.86</v>
      </c>
      <c r="AB120" s="597"/>
      <c r="AC120" s="597"/>
      <c r="AD120" s="597"/>
      <c r="AE120" s="597"/>
      <c r="AF120" s="598"/>
      <c r="AG120" s="1114"/>
      <c r="AH120" s="1115"/>
      <c r="AI120" s="1115"/>
      <c r="AJ120" s="1115"/>
      <c r="AK120" s="1115"/>
      <c r="AL120" s="1116"/>
      <c r="AM120" s="1114"/>
      <c r="AN120" s="1115"/>
      <c r="AO120" s="1115"/>
      <c r="AP120" s="1115"/>
      <c r="AQ120" s="1115"/>
      <c r="AR120" s="1115"/>
      <c r="AS120" s="1115"/>
      <c r="AT120" s="1116"/>
      <c r="AU120" s="1102">
        <f>AA120/AG104</f>
        <v>1.99</v>
      </c>
      <c r="AV120" s="1103"/>
      <c r="AW120" s="1103"/>
      <c r="AX120" s="1103"/>
      <c r="AY120" s="1103"/>
      <c r="AZ120" s="1103"/>
      <c r="BA120" s="1103"/>
      <c r="BB120" s="1104"/>
    </row>
    <row r="121" spans="1:54" ht="19.5" hidden="1" customHeight="1" x14ac:dyDescent="0.2">
      <c r="A121" s="1090"/>
      <c r="B121" s="1091"/>
      <c r="C121" s="1091"/>
      <c r="D121" s="1091"/>
      <c r="E121" s="1091"/>
      <c r="F121" s="1091"/>
      <c r="G121" s="1091"/>
      <c r="H121" s="1091"/>
      <c r="I121" s="1091"/>
      <c r="J121" s="1091"/>
      <c r="K121" s="1091"/>
      <c r="L121" s="1091"/>
      <c r="M121" s="1091"/>
      <c r="N121" s="1091"/>
      <c r="O121" s="1091"/>
      <c r="P121" s="1091"/>
      <c r="Q121" s="1091"/>
      <c r="R121" s="1091"/>
      <c r="S121" s="1091"/>
      <c r="T121" s="1091"/>
      <c r="U121" s="1091"/>
      <c r="V121" s="1091"/>
      <c r="W121" s="1091"/>
      <c r="X121" s="1091"/>
      <c r="Y121" s="1091"/>
      <c r="Z121" s="1092"/>
      <c r="AA121" s="1093"/>
      <c r="AB121" s="1094"/>
      <c r="AC121" s="1094"/>
      <c r="AD121" s="1094"/>
      <c r="AE121" s="1094"/>
      <c r="AF121" s="1095"/>
      <c r="AG121" s="1114"/>
      <c r="AH121" s="1115"/>
      <c r="AI121" s="1115"/>
      <c r="AJ121" s="1115"/>
      <c r="AK121" s="1115"/>
      <c r="AL121" s="1116"/>
      <c r="AM121" s="1114"/>
      <c r="AN121" s="1115"/>
      <c r="AO121" s="1115"/>
      <c r="AP121" s="1115"/>
      <c r="AQ121" s="1115"/>
      <c r="AR121" s="1115"/>
      <c r="AS121" s="1115"/>
      <c r="AT121" s="1116"/>
      <c r="AU121" s="1096">
        <f>AA121/AG104</f>
        <v>0</v>
      </c>
      <c r="AV121" s="1097"/>
      <c r="AW121" s="1097"/>
      <c r="AX121" s="1097"/>
      <c r="AY121" s="1097"/>
      <c r="AZ121" s="1097"/>
      <c r="BA121" s="1097"/>
      <c r="BB121" s="1098"/>
    </row>
    <row r="122" spans="1:54" ht="21.75" hidden="1" customHeight="1" x14ac:dyDescent="0.2">
      <c r="A122" s="1090"/>
      <c r="B122" s="1091"/>
      <c r="C122" s="1091"/>
      <c r="D122" s="1091"/>
      <c r="E122" s="1091"/>
      <c r="F122" s="1091"/>
      <c r="G122" s="1091"/>
      <c r="H122" s="1091"/>
      <c r="I122" s="1091"/>
      <c r="J122" s="1091"/>
      <c r="K122" s="1091"/>
      <c r="L122" s="1091"/>
      <c r="M122" s="1091"/>
      <c r="N122" s="1091"/>
      <c r="O122" s="1091"/>
      <c r="P122" s="1091"/>
      <c r="Q122" s="1091"/>
      <c r="R122" s="1091"/>
      <c r="S122" s="1091"/>
      <c r="T122" s="1091"/>
      <c r="U122" s="1091"/>
      <c r="V122" s="1091"/>
      <c r="W122" s="1091"/>
      <c r="X122" s="1091"/>
      <c r="Y122" s="1091"/>
      <c r="Z122" s="1092"/>
      <c r="AA122" s="1093"/>
      <c r="AB122" s="1094"/>
      <c r="AC122" s="1094"/>
      <c r="AD122" s="1094"/>
      <c r="AE122" s="1094"/>
      <c r="AF122" s="1095"/>
      <c r="AG122" s="1114"/>
      <c r="AH122" s="1115"/>
      <c r="AI122" s="1115"/>
      <c r="AJ122" s="1115"/>
      <c r="AK122" s="1115"/>
      <c r="AL122" s="1116"/>
      <c r="AM122" s="1114"/>
      <c r="AN122" s="1115"/>
      <c r="AO122" s="1115"/>
      <c r="AP122" s="1115"/>
      <c r="AQ122" s="1115"/>
      <c r="AR122" s="1115"/>
      <c r="AS122" s="1115"/>
      <c r="AT122" s="1116"/>
      <c r="AU122" s="1096">
        <f>AA122/AG104</f>
        <v>0</v>
      </c>
      <c r="AV122" s="1097"/>
      <c r="AW122" s="1097"/>
      <c r="AX122" s="1097"/>
      <c r="AY122" s="1097"/>
      <c r="AZ122" s="1097"/>
      <c r="BA122" s="1097"/>
      <c r="BB122" s="1098"/>
    </row>
    <row r="123" spans="1:54" ht="23.25" hidden="1" customHeight="1" thickBot="1" x14ac:dyDescent="0.25">
      <c r="A123" s="1090"/>
      <c r="B123" s="1091"/>
      <c r="C123" s="1091"/>
      <c r="D123" s="1091"/>
      <c r="E123" s="1091"/>
      <c r="F123" s="1091"/>
      <c r="G123" s="1091"/>
      <c r="H123" s="1091"/>
      <c r="I123" s="1091"/>
      <c r="J123" s="1091"/>
      <c r="K123" s="1091"/>
      <c r="L123" s="1091"/>
      <c r="M123" s="1091"/>
      <c r="N123" s="1091"/>
      <c r="O123" s="1091"/>
      <c r="P123" s="1091"/>
      <c r="Q123" s="1091"/>
      <c r="R123" s="1091"/>
      <c r="S123" s="1091"/>
      <c r="T123" s="1091"/>
      <c r="U123" s="1091"/>
      <c r="V123" s="1091"/>
      <c r="W123" s="1091"/>
      <c r="X123" s="1091"/>
      <c r="Y123" s="1091"/>
      <c r="Z123" s="1092"/>
      <c r="AA123" s="1093"/>
      <c r="AB123" s="1094"/>
      <c r="AC123" s="1094"/>
      <c r="AD123" s="1094"/>
      <c r="AE123" s="1094"/>
      <c r="AF123" s="1095"/>
      <c r="AG123" s="1114"/>
      <c r="AH123" s="1115"/>
      <c r="AI123" s="1115"/>
      <c r="AJ123" s="1115"/>
      <c r="AK123" s="1115"/>
      <c r="AL123" s="1116"/>
      <c r="AM123" s="1114"/>
      <c r="AN123" s="1115"/>
      <c r="AO123" s="1115"/>
      <c r="AP123" s="1115"/>
      <c r="AQ123" s="1115"/>
      <c r="AR123" s="1115"/>
      <c r="AS123" s="1115"/>
      <c r="AT123" s="1116"/>
      <c r="AU123" s="1096">
        <f>AA123/AG104</f>
        <v>0</v>
      </c>
      <c r="AV123" s="1097"/>
      <c r="AW123" s="1097"/>
      <c r="AX123" s="1097"/>
      <c r="AY123" s="1097"/>
      <c r="AZ123" s="1097"/>
      <c r="BA123" s="1097"/>
      <c r="BB123" s="1098"/>
    </row>
    <row r="124" spans="1:54" ht="1.5" hidden="1" customHeight="1" thickBot="1" x14ac:dyDescent="0.25">
      <c r="A124" s="1080"/>
      <c r="B124" s="1081"/>
      <c r="C124" s="1081"/>
      <c r="D124" s="1081"/>
      <c r="E124" s="1081"/>
      <c r="F124" s="1081"/>
      <c r="G124" s="1081"/>
      <c r="H124" s="1081"/>
      <c r="I124" s="1081"/>
      <c r="J124" s="1081"/>
      <c r="K124" s="1081"/>
      <c r="L124" s="1081"/>
      <c r="M124" s="1081"/>
      <c r="N124" s="1081"/>
      <c r="O124" s="1081"/>
      <c r="P124" s="1081"/>
      <c r="Q124" s="1081"/>
      <c r="R124" s="1081"/>
      <c r="S124" s="1081"/>
      <c r="T124" s="1081"/>
      <c r="U124" s="1081"/>
      <c r="V124" s="1081"/>
      <c r="W124" s="1081"/>
      <c r="X124" s="1081"/>
      <c r="Y124" s="1081"/>
      <c r="Z124" s="1081"/>
      <c r="AA124" s="1082"/>
      <c r="AB124" s="1082"/>
      <c r="AC124" s="1082"/>
      <c r="AD124" s="1082"/>
      <c r="AE124" s="1082"/>
      <c r="AF124" s="1082"/>
      <c r="AG124" s="1114"/>
      <c r="AH124" s="1115"/>
      <c r="AI124" s="1115"/>
      <c r="AJ124" s="1115"/>
      <c r="AK124" s="1115"/>
      <c r="AL124" s="1116"/>
      <c r="AM124" s="1114"/>
      <c r="AN124" s="1115"/>
      <c r="AO124" s="1115"/>
      <c r="AP124" s="1115"/>
      <c r="AQ124" s="1115"/>
      <c r="AR124" s="1115"/>
      <c r="AS124" s="1115"/>
      <c r="AT124" s="1116"/>
      <c r="AU124" s="1083">
        <f>AA124/AG104</f>
        <v>0</v>
      </c>
      <c r="AV124" s="1083"/>
      <c r="AW124" s="1083"/>
      <c r="AX124" s="1083"/>
      <c r="AY124" s="1083"/>
      <c r="AZ124" s="1083"/>
      <c r="BA124" s="1083"/>
      <c r="BB124" s="1084"/>
    </row>
    <row r="125" spans="1:54" ht="27" hidden="1" customHeight="1" thickBot="1" x14ac:dyDescent="0.25">
      <c r="A125" s="1085"/>
      <c r="B125" s="1086"/>
      <c r="C125" s="1086"/>
      <c r="D125" s="1086"/>
      <c r="E125" s="1086"/>
      <c r="F125" s="1086"/>
      <c r="G125" s="1086"/>
      <c r="H125" s="1086"/>
      <c r="I125" s="1086"/>
      <c r="J125" s="1086"/>
      <c r="K125" s="1086"/>
      <c r="L125" s="1086"/>
      <c r="M125" s="1086"/>
      <c r="N125" s="1086"/>
      <c r="O125" s="1086"/>
      <c r="P125" s="1086"/>
      <c r="Q125" s="1086"/>
      <c r="R125" s="1086"/>
      <c r="S125" s="1086"/>
      <c r="T125" s="1086"/>
      <c r="U125" s="1086"/>
      <c r="V125" s="1086"/>
      <c r="W125" s="1086"/>
      <c r="X125" s="1086"/>
      <c r="Y125" s="1086"/>
      <c r="Z125" s="1086"/>
      <c r="AA125" s="1087"/>
      <c r="AB125" s="1087"/>
      <c r="AC125" s="1087"/>
      <c r="AD125" s="1087"/>
      <c r="AE125" s="1087"/>
      <c r="AF125" s="1087"/>
      <c r="AG125" s="1114"/>
      <c r="AH125" s="1115"/>
      <c r="AI125" s="1115"/>
      <c r="AJ125" s="1115"/>
      <c r="AK125" s="1115"/>
      <c r="AL125" s="1116"/>
      <c r="AM125" s="1114"/>
      <c r="AN125" s="1115"/>
      <c r="AO125" s="1115"/>
      <c r="AP125" s="1115"/>
      <c r="AQ125" s="1115"/>
      <c r="AR125" s="1115"/>
      <c r="AS125" s="1115"/>
      <c r="AT125" s="1116"/>
      <c r="AU125" s="1088">
        <f>AA125/AG104</f>
        <v>0</v>
      </c>
      <c r="AV125" s="1088"/>
      <c r="AW125" s="1088"/>
      <c r="AX125" s="1088"/>
      <c r="AY125" s="1088"/>
      <c r="AZ125" s="1088"/>
      <c r="BA125" s="1088"/>
      <c r="BB125" s="1089"/>
    </row>
    <row r="126" spans="1:54" ht="16.5" customHeight="1" thickBot="1" x14ac:dyDescent="0.25">
      <c r="A126" s="1059" t="s">
        <v>51</v>
      </c>
      <c r="B126" s="1060"/>
      <c r="C126" s="1060"/>
      <c r="D126" s="1060"/>
      <c r="E126" s="1060"/>
      <c r="F126" s="1060"/>
      <c r="G126" s="1060"/>
      <c r="H126" s="1060"/>
      <c r="I126" s="1060"/>
      <c r="J126" s="1060"/>
      <c r="K126" s="1060"/>
      <c r="L126" s="1060"/>
      <c r="M126" s="1060"/>
      <c r="N126" s="1060"/>
      <c r="O126" s="1060"/>
      <c r="P126" s="1060"/>
      <c r="Q126" s="1060"/>
      <c r="R126" s="1060"/>
      <c r="S126" s="1060"/>
      <c r="T126" s="1060"/>
      <c r="U126" s="1060"/>
      <c r="V126" s="1060"/>
      <c r="W126" s="1060"/>
      <c r="X126" s="1060"/>
      <c r="Y126" s="1060"/>
      <c r="Z126" s="1061"/>
      <c r="AA126" s="1062">
        <f>SUM(AA104:AF125)</f>
        <v>2627.86</v>
      </c>
      <c r="AB126" s="1063"/>
      <c r="AC126" s="1063"/>
      <c r="AD126" s="1063"/>
      <c r="AE126" s="1063"/>
      <c r="AF126" s="1063"/>
      <c r="AG126" s="1064">
        <f>AG104</f>
        <v>14</v>
      </c>
      <c r="AH126" s="1065"/>
      <c r="AI126" s="1065"/>
      <c r="AJ126" s="1065"/>
      <c r="AK126" s="1065"/>
      <c r="AL126" s="1066"/>
      <c r="AM126" s="1067" t="s">
        <v>17</v>
      </c>
      <c r="AN126" s="1068"/>
      <c r="AO126" s="1068"/>
      <c r="AP126" s="1068"/>
      <c r="AQ126" s="1068"/>
      <c r="AR126" s="1068"/>
      <c r="AS126" s="1068"/>
      <c r="AT126" s="1069"/>
      <c r="AU126" s="1070">
        <f>SUM(AU104:BB125)</f>
        <v>187.70428571428573</v>
      </c>
      <c r="AV126" s="1070"/>
      <c r="AW126" s="1070"/>
      <c r="AX126" s="1070"/>
      <c r="AY126" s="1070"/>
      <c r="AZ126" s="1070"/>
      <c r="BA126" s="1070"/>
      <c r="BB126" s="1071"/>
    </row>
    <row r="127" spans="1:54" ht="12" x14ac:dyDescent="0.2"/>
    <row r="128" spans="1:54" s="7" customFormat="1" ht="14.25" x14ac:dyDescent="0.2">
      <c r="A128" s="5" t="s">
        <v>59</v>
      </c>
      <c r="B128" s="5"/>
      <c r="C128" s="5" t="s">
        <v>60</v>
      </c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6"/>
      <c r="AY128" s="6"/>
      <c r="AZ128" s="6"/>
      <c r="BA128" s="6"/>
      <c r="BB128" s="6"/>
    </row>
    <row r="129" spans="1:54" ht="12" customHeight="1" thickBot="1" x14ac:dyDescent="0.25"/>
    <row r="130" spans="1:54" s="5" customFormat="1" ht="12" customHeight="1" x14ac:dyDescent="0.2">
      <c r="A130" s="1072" t="s">
        <v>54</v>
      </c>
      <c r="B130" s="1073"/>
      <c r="C130" s="1073"/>
      <c r="D130" s="1073"/>
      <c r="E130" s="1073"/>
      <c r="F130" s="1073"/>
      <c r="G130" s="1073"/>
      <c r="H130" s="1073"/>
      <c r="I130" s="1073"/>
      <c r="J130" s="1073"/>
      <c r="K130" s="1073"/>
      <c r="L130" s="1073"/>
      <c r="M130" s="1073"/>
      <c r="N130" s="1073"/>
      <c r="O130" s="1073"/>
      <c r="P130" s="1073"/>
      <c r="Q130" s="1073"/>
      <c r="R130" s="1073"/>
      <c r="S130" s="1073"/>
      <c r="T130" s="1073"/>
      <c r="U130" s="1073"/>
      <c r="V130" s="1073"/>
      <c r="W130" s="1073"/>
      <c r="X130" s="1073"/>
      <c r="Y130" s="1073"/>
      <c r="Z130" s="1074"/>
      <c r="AA130" s="1075" t="s">
        <v>55</v>
      </c>
      <c r="AB130" s="1076"/>
      <c r="AC130" s="1076"/>
      <c r="AD130" s="1076"/>
      <c r="AE130" s="1076"/>
      <c r="AF130" s="1077"/>
      <c r="AG130" s="1075" t="s">
        <v>56</v>
      </c>
      <c r="AH130" s="1076"/>
      <c r="AI130" s="1076"/>
      <c r="AJ130" s="1076"/>
      <c r="AK130" s="1076"/>
      <c r="AL130" s="1077"/>
      <c r="AM130" s="1078" t="s">
        <v>57</v>
      </c>
      <c r="AN130" s="1073"/>
      <c r="AO130" s="1073"/>
      <c r="AP130" s="1073"/>
      <c r="AQ130" s="1073"/>
      <c r="AR130" s="1073"/>
      <c r="AS130" s="1073"/>
      <c r="AT130" s="1074"/>
      <c r="AU130" s="1078" t="s">
        <v>43</v>
      </c>
      <c r="AV130" s="1073"/>
      <c r="AW130" s="1073"/>
      <c r="AX130" s="1073"/>
      <c r="AY130" s="1073"/>
      <c r="AZ130" s="1073"/>
      <c r="BA130" s="1073"/>
      <c r="BB130" s="1079"/>
    </row>
    <row r="131" spans="1:54" ht="11.25" customHeight="1" thickBot="1" x14ac:dyDescent="0.25">
      <c r="A131" s="1038">
        <v>1</v>
      </c>
      <c r="B131" s="1039"/>
      <c r="C131" s="1039"/>
      <c r="D131" s="1039"/>
      <c r="E131" s="1039"/>
      <c r="F131" s="1039"/>
      <c r="G131" s="1039"/>
      <c r="H131" s="1039"/>
      <c r="I131" s="1039"/>
      <c r="J131" s="1039"/>
      <c r="K131" s="1039"/>
      <c r="L131" s="1039"/>
      <c r="M131" s="1039"/>
      <c r="N131" s="1039"/>
      <c r="O131" s="1039"/>
      <c r="P131" s="1039"/>
      <c r="Q131" s="1039"/>
      <c r="R131" s="1039"/>
      <c r="S131" s="1039"/>
      <c r="T131" s="1039"/>
      <c r="U131" s="1039"/>
      <c r="V131" s="1039"/>
      <c r="W131" s="1039"/>
      <c r="X131" s="1039"/>
      <c r="Y131" s="1039"/>
      <c r="Z131" s="1040"/>
      <c r="AA131" s="1041">
        <v>2</v>
      </c>
      <c r="AB131" s="1039"/>
      <c r="AC131" s="1039"/>
      <c r="AD131" s="1039"/>
      <c r="AE131" s="1039"/>
      <c r="AF131" s="1040"/>
      <c r="AG131" s="1041">
        <v>3</v>
      </c>
      <c r="AH131" s="1039"/>
      <c r="AI131" s="1039"/>
      <c r="AJ131" s="1039"/>
      <c r="AK131" s="1039"/>
      <c r="AL131" s="1040"/>
      <c r="AM131" s="1041">
        <v>4</v>
      </c>
      <c r="AN131" s="1039"/>
      <c r="AO131" s="1039"/>
      <c r="AP131" s="1039"/>
      <c r="AQ131" s="1039"/>
      <c r="AR131" s="1039"/>
      <c r="AS131" s="1039"/>
      <c r="AT131" s="1040"/>
      <c r="AU131" s="1041">
        <v>5</v>
      </c>
      <c r="AV131" s="1039"/>
      <c r="AW131" s="1039"/>
      <c r="AX131" s="1039"/>
      <c r="AY131" s="1039"/>
      <c r="AZ131" s="1039"/>
      <c r="BA131" s="1039"/>
      <c r="BB131" s="1042"/>
    </row>
    <row r="132" spans="1:54" ht="31.5" hidden="1" customHeight="1" x14ac:dyDescent="0.2">
      <c r="A132" s="1043"/>
      <c r="B132" s="1044"/>
      <c r="C132" s="1044"/>
      <c r="D132" s="1044"/>
      <c r="E132" s="1044"/>
      <c r="F132" s="1044"/>
      <c r="G132" s="1044"/>
      <c r="H132" s="1044"/>
      <c r="I132" s="1044"/>
      <c r="J132" s="1044"/>
      <c r="K132" s="1044"/>
      <c r="L132" s="1044"/>
      <c r="M132" s="1044"/>
      <c r="N132" s="1044"/>
      <c r="O132" s="1044"/>
      <c r="P132" s="1044"/>
      <c r="Q132" s="1044"/>
      <c r="R132" s="1044"/>
      <c r="S132" s="1044"/>
      <c r="T132" s="1044"/>
      <c r="U132" s="1044"/>
      <c r="V132" s="1044"/>
      <c r="W132" s="1044"/>
      <c r="X132" s="1044"/>
      <c r="Y132" s="1044"/>
      <c r="Z132" s="1045"/>
      <c r="AA132" s="1046">
        <v>0</v>
      </c>
      <c r="AB132" s="1047"/>
      <c r="AC132" s="1047"/>
      <c r="AD132" s="1047"/>
      <c r="AE132" s="1047"/>
      <c r="AF132" s="1048"/>
      <c r="AG132" s="1046">
        <f>U12</f>
        <v>14</v>
      </c>
      <c r="AH132" s="1047"/>
      <c r="AI132" s="1047"/>
      <c r="AJ132" s="1047"/>
      <c r="AK132" s="1047"/>
      <c r="AL132" s="1048"/>
      <c r="AM132" s="1046" t="s">
        <v>61</v>
      </c>
      <c r="AN132" s="1047"/>
      <c r="AO132" s="1047"/>
      <c r="AP132" s="1047"/>
      <c r="AQ132" s="1047"/>
      <c r="AR132" s="1047"/>
      <c r="AS132" s="1047"/>
      <c r="AT132" s="1048"/>
      <c r="AU132" s="1030">
        <f>AA132/AG132</f>
        <v>0</v>
      </c>
      <c r="AV132" s="1031"/>
      <c r="AW132" s="1031"/>
      <c r="AX132" s="1031"/>
      <c r="AY132" s="1031"/>
      <c r="AZ132" s="1031"/>
      <c r="BA132" s="1031"/>
      <c r="BB132" s="1032"/>
    </row>
    <row r="133" spans="1:54" ht="4.5" hidden="1" customHeight="1" x14ac:dyDescent="0.2">
      <c r="A133" s="1034"/>
      <c r="B133" s="1035"/>
      <c r="C133" s="1035"/>
      <c r="D133" s="1035"/>
      <c r="E133" s="1035"/>
      <c r="F133" s="1035"/>
      <c r="G133" s="1035"/>
      <c r="H133" s="1035"/>
      <c r="I133" s="1035"/>
      <c r="J133" s="1035"/>
      <c r="K133" s="1035"/>
      <c r="L133" s="1035"/>
      <c r="M133" s="1035"/>
      <c r="N133" s="1035"/>
      <c r="O133" s="1035"/>
      <c r="P133" s="1035"/>
      <c r="Q133" s="1035"/>
      <c r="R133" s="1035"/>
      <c r="S133" s="1035"/>
      <c r="T133" s="1035"/>
      <c r="U133" s="1035"/>
      <c r="V133" s="1035"/>
      <c r="W133" s="1035"/>
      <c r="X133" s="1035"/>
      <c r="Y133" s="1035"/>
      <c r="Z133" s="1036"/>
      <c r="AA133" s="981"/>
      <c r="AB133" s="981"/>
      <c r="AC133" s="981"/>
      <c r="AD133" s="981"/>
      <c r="AE133" s="981"/>
      <c r="AF133" s="981"/>
      <c r="AG133" s="1049"/>
      <c r="AH133" s="1050"/>
      <c r="AI133" s="1050"/>
      <c r="AJ133" s="1050"/>
      <c r="AK133" s="1050"/>
      <c r="AL133" s="1051"/>
      <c r="AM133" s="1049"/>
      <c r="AN133" s="1050"/>
      <c r="AO133" s="1050"/>
      <c r="AP133" s="1050"/>
      <c r="AQ133" s="1050"/>
      <c r="AR133" s="1050"/>
      <c r="AS133" s="1050"/>
      <c r="AT133" s="1051"/>
      <c r="AU133" s="1030">
        <f>AA133/AG132</f>
        <v>0</v>
      </c>
      <c r="AV133" s="1031"/>
      <c r="AW133" s="1031"/>
      <c r="AX133" s="1031"/>
      <c r="AY133" s="1031"/>
      <c r="AZ133" s="1031"/>
      <c r="BA133" s="1031"/>
      <c r="BB133" s="1032"/>
    </row>
    <row r="134" spans="1:54" ht="21" customHeight="1" x14ac:dyDescent="0.2">
      <c r="A134" s="1026"/>
      <c r="B134" s="1027"/>
      <c r="C134" s="1027"/>
      <c r="D134" s="1027"/>
      <c r="E134" s="1027"/>
      <c r="F134" s="1027"/>
      <c r="G134" s="1027"/>
      <c r="H134" s="1027"/>
      <c r="I134" s="1027"/>
      <c r="J134" s="1027"/>
      <c r="K134" s="1027"/>
      <c r="L134" s="1027"/>
      <c r="M134" s="1027"/>
      <c r="N134" s="1027"/>
      <c r="O134" s="1027"/>
      <c r="P134" s="1027"/>
      <c r="Q134" s="1027"/>
      <c r="R134" s="1027"/>
      <c r="S134" s="1027"/>
      <c r="T134" s="1027"/>
      <c r="U134" s="1027"/>
      <c r="V134" s="1027"/>
      <c r="W134" s="1027"/>
      <c r="X134" s="1027"/>
      <c r="Y134" s="1027"/>
      <c r="Z134" s="1028"/>
      <c r="AA134" s="1037"/>
      <c r="AB134" s="1037"/>
      <c r="AC134" s="1037"/>
      <c r="AD134" s="1037"/>
      <c r="AE134" s="1037"/>
      <c r="AF134" s="1037"/>
      <c r="AG134" s="1049"/>
      <c r="AH134" s="1050"/>
      <c r="AI134" s="1050"/>
      <c r="AJ134" s="1050"/>
      <c r="AK134" s="1050"/>
      <c r="AL134" s="1051"/>
      <c r="AM134" s="1049"/>
      <c r="AN134" s="1050"/>
      <c r="AO134" s="1050"/>
      <c r="AP134" s="1050"/>
      <c r="AQ134" s="1050"/>
      <c r="AR134" s="1050"/>
      <c r="AS134" s="1050"/>
      <c r="AT134" s="1051"/>
      <c r="AU134" s="1030">
        <f>AA134/AG132</f>
        <v>0</v>
      </c>
      <c r="AV134" s="1031"/>
      <c r="AW134" s="1031"/>
      <c r="AX134" s="1031"/>
      <c r="AY134" s="1031"/>
      <c r="AZ134" s="1031"/>
      <c r="BA134" s="1031"/>
      <c r="BB134" s="1032"/>
    </row>
    <row r="135" spans="1:54" ht="21" customHeight="1" x14ac:dyDescent="0.2">
      <c r="A135" s="1026"/>
      <c r="B135" s="1027"/>
      <c r="C135" s="1027"/>
      <c r="D135" s="1027"/>
      <c r="E135" s="1027"/>
      <c r="F135" s="1027"/>
      <c r="G135" s="1027"/>
      <c r="H135" s="1027"/>
      <c r="I135" s="1027"/>
      <c r="J135" s="1027"/>
      <c r="K135" s="1027"/>
      <c r="L135" s="1027"/>
      <c r="M135" s="1027"/>
      <c r="N135" s="1027"/>
      <c r="O135" s="1027"/>
      <c r="P135" s="1027"/>
      <c r="Q135" s="1027"/>
      <c r="R135" s="1027"/>
      <c r="S135" s="1027"/>
      <c r="T135" s="1027"/>
      <c r="U135" s="1027"/>
      <c r="V135" s="1027"/>
      <c r="W135" s="1027"/>
      <c r="X135" s="1027"/>
      <c r="Y135" s="1027"/>
      <c r="Z135" s="1028"/>
      <c r="AA135" s="1029"/>
      <c r="AB135" s="1029"/>
      <c r="AC135" s="1029"/>
      <c r="AD135" s="1029"/>
      <c r="AE135" s="1029"/>
      <c r="AF135" s="1029"/>
      <c r="AG135" s="1049"/>
      <c r="AH135" s="1050"/>
      <c r="AI135" s="1050"/>
      <c r="AJ135" s="1050"/>
      <c r="AK135" s="1050"/>
      <c r="AL135" s="1051"/>
      <c r="AM135" s="1049"/>
      <c r="AN135" s="1050"/>
      <c r="AO135" s="1050"/>
      <c r="AP135" s="1050"/>
      <c r="AQ135" s="1050"/>
      <c r="AR135" s="1050"/>
      <c r="AS135" s="1050"/>
      <c r="AT135" s="1051"/>
      <c r="AU135" s="1030">
        <f>AA135/AG132</f>
        <v>0</v>
      </c>
      <c r="AV135" s="1031"/>
      <c r="AW135" s="1031"/>
      <c r="AX135" s="1031"/>
      <c r="AY135" s="1031"/>
      <c r="AZ135" s="1031"/>
      <c r="BA135" s="1031"/>
      <c r="BB135" s="1032"/>
    </row>
    <row r="136" spans="1:54" ht="6" hidden="1" customHeight="1" x14ac:dyDescent="0.2">
      <c r="A136" s="1026"/>
      <c r="B136" s="1027"/>
      <c r="C136" s="1027"/>
      <c r="D136" s="1027"/>
      <c r="E136" s="1027"/>
      <c r="F136" s="1027"/>
      <c r="G136" s="1027"/>
      <c r="H136" s="1027"/>
      <c r="I136" s="1027"/>
      <c r="J136" s="1027"/>
      <c r="K136" s="1027"/>
      <c r="L136" s="1027"/>
      <c r="M136" s="1027"/>
      <c r="N136" s="1027"/>
      <c r="O136" s="1027"/>
      <c r="P136" s="1027"/>
      <c r="Q136" s="1027"/>
      <c r="R136" s="1027"/>
      <c r="S136" s="1027"/>
      <c r="T136" s="1027"/>
      <c r="U136" s="1027"/>
      <c r="V136" s="1027"/>
      <c r="W136" s="1027"/>
      <c r="X136" s="1027"/>
      <c r="Y136" s="1027"/>
      <c r="Z136" s="1028"/>
      <c r="AA136" s="1033"/>
      <c r="AB136" s="1033"/>
      <c r="AC136" s="1033"/>
      <c r="AD136" s="1033"/>
      <c r="AE136" s="1033"/>
      <c r="AF136" s="1033"/>
      <c r="AG136" s="1049"/>
      <c r="AH136" s="1050"/>
      <c r="AI136" s="1050"/>
      <c r="AJ136" s="1050"/>
      <c r="AK136" s="1050"/>
      <c r="AL136" s="1051"/>
      <c r="AM136" s="1049"/>
      <c r="AN136" s="1050"/>
      <c r="AO136" s="1050"/>
      <c r="AP136" s="1050"/>
      <c r="AQ136" s="1050"/>
      <c r="AR136" s="1050"/>
      <c r="AS136" s="1050"/>
      <c r="AT136" s="1051"/>
      <c r="AU136" s="1030">
        <f>AA136/AG132</f>
        <v>0</v>
      </c>
      <c r="AV136" s="1031"/>
      <c r="AW136" s="1031"/>
      <c r="AX136" s="1031"/>
      <c r="AY136" s="1031"/>
      <c r="AZ136" s="1031"/>
      <c r="BA136" s="1031"/>
      <c r="BB136" s="1032"/>
    </row>
    <row r="137" spans="1:54" ht="0.75" customHeight="1" thickBot="1" x14ac:dyDescent="0.25">
      <c r="A137" s="1052"/>
      <c r="B137" s="1053"/>
      <c r="C137" s="1053"/>
      <c r="D137" s="1053"/>
      <c r="E137" s="1053"/>
      <c r="F137" s="1053"/>
      <c r="G137" s="1053"/>
      <c r="H137" s="1053"/>
      <c r="I137" s="1053"/>
      <c r="J137" s="1053"/>
      <c r="K137" s="1053"/>
      <c r="L137" s="1053"/>
      <c r="M137" s="1053"/>
      <c r="N137" s="1053"/>
      <c r="O137" s="1053"/>
      <c r="P137" s="1053"/>
      <c r="Q137" s="1053"/>
      <c r="R137" s="1053"/>
      <c r="S137" s="1053"/>
      <c r="T137" s="1053"/>
      <c r="U137" s="1053"/>
      <c r="V137" s="1053"/>
      <c r="W137" s="1053"/>
      <c r="X137" s="1053"/>
      <c r="Y137" s="1053"/>
      <c r="Z137" s="1054"/>
      <c r="AA137" s="1055">
        <v>0</v>
      </c>
      <c r="AB137" s="1055"/>
      <c r="AC137" s="1055"/>
      <c r="AD137" s="1055"/>
      <c r="AE137" s="1055"/>
      <c r="AF137" s="1055"/>
      <c r="AG137" s="1049"/>
      <c r="AH137" s="1050"/>
      <c r="AI137" s="1050"/>
      <c r="AJ137" s="1050"/>
      <c r="AK137" s="1050"/>
      <c r="AL137" s="1051"/>
      <c r="AM137" s="1049"/>
      <c r="AN137" s="1050"/>
      <c r="AO137" s="1050"/>
      <c r="AP137" s="1050"/>
      <c r="AQ137" s="1050"/>
      <c r="AR137" s="1050"/>
      <c r="AS137" s="1050"/>
      <c r="AT137" s="1051"/>
      <c r="AU137" s="1056">
        <f>AA137/AG132</f>
        <v>0</v>
      </c>
      <c r="AV137" s="1057"/>
      <c r="AW137" s="1057"/>
      <c r="AX137" s="1057"/>
      <c r="AY137" s="1057"/>
      <c r="AZ137" s="1057"/>
      <c r="BA137" s="1057"/>
      <c r="BB137" s="1058"/>
    </row>
    <row r="138" spans="1:54" ht="15" customHeight="1" thickBot="1" x14ac:dyDescent="0.25">
      <c r="A138" s="1011" t="s">
        <v>51</v>
      </c>
      <c r="B138" s="1012"/>
      <c r="C138" s="1012"/>
      <c r="D138" s="1012"/>
      <c r="E138" s="1012"/>
      <c r="F138" s="1012"/>
      <c r="G138" s="1012"/>
      <c r="H138" s="1012"/>
      <c r="I138" s="1012"/>
      <c r="J138" s="1012"/>
      <c r="K138" s="1012"/>
      <c r="L138" s="1012"/>
      <c r="M138" s="1012"/>
      <c r="N138" s="1012"/>
      <c r="O138" s="1012"/>
      <c r="P138" s="1012"/>
      <c r="Q138" s="1012"/>
      <c r="R138" s="1012"/>
      <c r="S138" s="1012"/>
      <c r="T138" s="1012"/>
      <c r="U138" s="1012"/>
      <c r="V138" s="1012"/>
      <c r="W138" s="1012"/>
      <c r="X138" s="1012"/>
      <c r="Y138" s="1012"/>
      <c r="Z138" s="1013"/>
      <c r="AA138" s="1014">
        <f>SUM(AA132:AF135)</f>
        <v>0</v>
      </c>
      <c r="AB138" s="1015"/>
      <c r="AC138" s="1015"/>
      <c r="AD138" s="1015"/>
      <c r="AE138" s="1015"/>
      <c r="AF138" s="1016"/>
      <c r="AG138" s="1017">
        <f>AG132</f>
        <v>14</v>
      </c>
      <c r="AH138" s="1018"/>
      <c r="AI138" s="1018"/>
      <c r="AJ138" s="1018"/>
      <c r="AK138" s="1018"/>
      <c r="AL138" s="1019"/>
      <c r="AM138" s="1020" t="s">
        <v>17</v>
      </c>
      <c r="AN138" s="1021"/>
      <c r="AO138" s="1021"/>
      <c r="AP138" s="1021"/>
      <c r="AQ138" s="1021"/>
      <c r="AR138" s="1021"/>
      <c r="AS138" s="1021"/>
      <c r="AT138" s="1022"/>
      <c r="AU138" s="1023">
        <f>SUM(AU132:BB137)</f>
        <v>0</v>
      </c>
      <c r="AV138" s="1024"/>
      <c r="AW138" s="1024"/>
      <c r="AX138" s="1024"/>
      <c r="AY138" s="1024"/>
      <c r="AZ138" s="1024"/>
      <c r="BA138" s="1024"/>
      <c r="BB138" s="1025"/>
    </row>
    <row r="139" spans="1:54" s="7" customFormat="1" ht="15" customHeight="1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</row>
    <row r="140" spans="1:54" ht="27" customHeight="1" x14ac:dyDescent="0.2">
      <c r="A140" s="5" t="s">
        <v>62</v>
      </c>
      <c r="B140" s="5"/>
      <c r="C140" s="5" t="s">
        <v>63</v>
      </c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6"/>
      <c r="AY140" s="6"/>
      <c r="AZ140" s="6"/>
      <c r="BA140" s="6"/>
      <c r="BB140" s="6"/>
    </row>
    <row r="141" spans="1:54" ht="21.75" customHeight="1" thickBot="1" x14ac:dyDescent="0.25"/>
    <row r="142" spans="1:54" ht="63" customHeight="1" x14ac:dyDescent="0.2">
      <c r="A142" s="961" t="s">
        <v>54</v>
      </c>
      <c r="B142" s="962"/>
      <c r="C142" s="962"/>
      <c r="D142" s="962"/>
      <c r="E142" s="962"/>
      <c r="F142" s="962"/>
      <c r="G142" s="962"/>
      <c r="H142" s="535" t="s">
        <v>64</v>
      </c>
      <c r="I142" s="535"/>
      <c r="J142" s="535"/>
      <c r="K142" s="535"/>
      <c r="L142" s="535"/>
      <c r="M142" s="1000" t="s">
        <v>94</v>
      </c>
      <c r="N142" s="1000"/>
      <c r="O142" s="1000"/>
      <c r="P142" s="1000"/>
      <c r="Q142" s="1000"/>
      <c r="R142" s="535" t="s">
        <v>82</v>
      </c>
      <c r="S142" s="535"/>
      <c r="T142" s="535"/>
      <c r="U142" s="535"/>
      <c r="V142" s="535" t="s">
        <v>65</v>
      </c>
      <c r="W142" s="535"/>
      <c r="X142" s="535"/>
      <c r="Y142" s="535"/>
      <c r="Z142" s="999" t="s">
        <v>66</v>
      </c>
      <c r="AA142" s="999"/>
      <c r="AB142" s="999"/>
      <c r="AC142" s="999"/>
      <c r="AD142" s="999" t="s">
        <v>67</v>
      </c>
      <c r="AE142" s="999"/>
      <c r="AF142" s="999"/>
      <c r="AG142" s="999"/>
      <c r="AH142" s="999"/>
      <c r="AI142" s="999"/>
      <c r="AJ142" s="999"/>
      <c r="AK142" s="999"/>
      <c r="AL142" s="999"/>
      <c r="AM142" s="999"/>
      <c r="AN142" s="999"/>
      <c r="AO142" s="999"/>
      <c r="AP142" s="999"/>
      <c r="AQ142" s="1000" t="s">
        <v>425</v>
      </c>
      <c r="AR142" s="1000"/>
      <c r="AS142" s="1000"/>
      <c r="AT142" s="1000"/>
      <c r="AU142" s="1001" t="s">
        <v>426</v>
      </c>
      <c r="AV142" s="1002"/>
      <c r="AW142" s="1002"/>
      <c r="AX142" s="1003"/>
      <c r="AY142" s="1001" t="s">
        <v>87</v>
      </c>
      <c r="AZ142" s="1002"/>
      <c r="BA142" s="1002"/>
      <c r="BB142" s="1004"/>
    </row>
    <row r="143" spans="1:54" ht="71.25" customHeight="1" thickBot="1" x14ac:dyDescent="0.25">
      <c r="A143" s="963"/>
      <c r="B143" s="964"/>
      <c r="C143" s="964"/>
      <c r="D143" s="964"/>
      <c r="E143" s="964"/>
      <c r="F143" s="964"/>
      <c r="G143" s="964"/>
      <c r="H143" s="894" t="s">
        <v>68</v>
      </c>
      <c r="I143" s="894"/>
      <c r="J143" s="894"/>
      <c r="K143" s="894"/>
      <c r="L143" s="894"/>
      <c r="M143" s="894" t="s">
        <v>68</v>
      </c>
      <c r="N143" s="894"/>
      <c r="O143" s="894"/>
      <c r="P143" s="894"/>
      <c r="Q143" s="894"/>
      <c r="R143" s="894"/>
      <c r="S143" s="894"/>
      <c r="T143" s="894"/>
      <c r="U143" s="894"/>
      <c r="V143" s="894"/>
      <c r="W143" s="894"/>
      <c r="X143" s="894"/>
      <c r="Y143" s="894"/>
      <c r="Z143" s="1005"/>
      <c r="AA143" s="1005"/>
      <c r="AB143" s="1005"/>
      <c r="AC143" s="1005"/>
      <c r="AD143" s="1005" t="s">
        <v>68</v>
      </c>
      <c r="AE143" s="1005"/>
      <c r="AF143" s="1005"/>
      <c r="AG143" s="1005"/>
      <c r="AH143" s="1005"/>
      <c r="AI143" s="1005"/>
      <c r="AJ143" s="1006" t="s">
        <v>69</v>
      </c>
      <c r="AK143" s="1007"/>
      <c r="AL143" s="1007"/>
      <c r="AM143" s="1007"/>
      <c r="AN143" s="1007"/>
      <c r="AO143" s="1007"/>
      <c r="AP143" s="1008"/>
      <c r="AQ143" s="1009" t="s">
        <v>68</v>
      </c>
      <c r="AR143" s="1009"/>
      <c r="AS143" s="1009"/>
      <c r="AT143" s="1009"/>
      <c r="AU143" s="1009" t="s">
        <v>68</v>
      </c>
      <c r="AV143" s="1009"/>
      <c r="AW143" s="1009"/>
      <c r="AX143" s="1009"/>
      <c r="AY143" s="1009" t="s">
        <v>68</v>
      </c>
      <c r="AZ143" s="1009"/>
      <c r="BA143" s="1009"/>
      <c r="BB143" s="1010"/>
    </row>
    <row r="144" spans="1:54" ht="22.5" customHeight="1" thickBot="1" x14ac:dyDescent="0.25">
      <c r="A144" s="993">
        <v>1</v>
      </c>
      <c r="B144" s="994"/>
      <c r="C144" s="994"/>
      <c r="D144" s="994"/>
      <c r="E144" s="994"/>
      <c r="F144" s="994"/>
      <c r="G144" s="994"/>
      <c r="H144" s="994">
        <v>2</v>
      </c>
      <c r="I144" s="994"/>
      <c r="J144" s="994"/>
      <c r="K144" s="994"/>
      <c r="L144" s="994"/>
      <c r="M144" s="994">
        <v>3</v>
      </c>
      <c r="N144" s="994"/>
      <c r="O144" s="994"/>
      <c r="P144" s="994"/>
      <c r="Q144" s="994"/>
      <c r="R144" s="890">
        <v>4</v>
      </c>
      <c r="S144" s="890"/>
      <c r="T144" s="890"/>
      <c r="U144" s="890"/>
      <c r="V144" s="994">
        <v>5</v>
      </c>
      <c r="W144" s="994"/>
      <c r="X144" s="994"/>
      <c r="Y144" s="994"/>
      <c r="Z144" s="994">
        <v>6</v>
      </c>
      <c r="AA144" s="994"/>
      <c r="AB144" s="994"/>
      <c r="AC144" s="995"/>
      <c r="AD144" s="996">
        <v>7</v>
      </c>
      <c r="AE144" s="996"/>
      <c r="AF144" s="996"/>
      <c r="AG144" s="996"/>
      <c r="AH144" s="996"/>
      <c r="AI144" s="996"/>
      <c r="AJ144" s="997">
        <v>8</v>
      </c>
      <c r="AK144" s="997"/>
      <c r="AL144" s="997"/>
      <c r="AM144" s="997"/>
      <c r="AN144" s="997"/>
      <c r="AO144" s="997"/>
      <c r="AP144" s="998"/>
      <c r="AQ144" s="965">
        <v>9</v>
      </c>
      <c r="AR144" s="965"/>
      <c r="AS144" s="965"/>
      <c r="AT144" s="965"/>
      <c r="AU144" s="965">
        <v>10</v>
      </c>
      <c r="AV144" s="965"/>
      <c r="AW144" s="965"/>
      <c r="AX144" s="965"/>
      <c r="AY144" s="965">
        <v>11</v>
      </c>
      <c r="AZ144" s="965"/>
      <c r="BA144" s="965"/>
      <c r="BB144" s="966"/>
    </row>
    <row r="145" spans="1:79" ht="24.75" customHeight="1" x14ac:dyDescent="0.2">
      <c r="A145" s="967" t="s">
        <v>70</v>
      </c>
      <c r="B145" s="968"/>
      <c r="C145" s="968"/>
      <c r="D145" s="968"/>
      <c r="E145" s="968"/>
      <c r="F145" s="968"/>
      <c r="G145" s="968"/>
      <c r="H145" s="969">
        <f>AO88/V145</f>
        <v>44.007600000000004</v>
      </c>
      <c r="I145" s="969"/>
      <c r="J145" s="969"/>
      <c r="K145" s="969"/>
      <c r="L145" s="969"/>
      <c r="M145" s="970">
        <f>H145</f>
        <v>44.007600000000004</v>
      </c>
      <c r="N145" s="970"/>
      <c r="O145" s="970"/>
      <c r="P145" s="970"/>
      <c r="Q145" s="970"/>
      <c r="R145" s="971">
        <f>U12</f>
        <v>14</v>
      </c>
      <c r="S145" s="972"/>
      <c r="T145" s="972"/>
      <c r="U145" s="973"/>
      <c r="V145" s="980">
        <f>Y16</f>
        <v>10</v>
      </c>
      <c r="W145" s="980"/>
      <c r="X145" s="980"/>
      <c r="Y145" s="980"/>
      <c r="Z145" s="980">
        <f>U16</f>
        <v>2</v>
      </c>
      <c r="AA145" s="980"/>
      <c r="AB145" s="980"/>
      <c r="AC145" s="980"/>
      <c r="AD145" s="983" t="s">
        <v>71</v>
      </c>
      <c r="AE145" s="984"/>
      <c r="AF145" s="984"/>
      <c r="AG145" s="984"/>
      <c r="AH145" s="984"/>
      <c r="AI145" s="985"/>
      <c r="AJ145" s="986"/>
      <c r="AK145" s="987"/>
      <c r="AL145" s="987"/>
      <c r="AM145" s="987"/>
      <c r="AN145" s="987"/>
      <c r="AO145" s="987"/>
      <c r="AP145" s="988"/>
      <c r="AQ145" s="969">
        <f>H145*4</f>
        <v>176.03040000000001</v>
      </c>
      <c r="AR145" s="969"/>
      <c r="AS145" s="969"/>
      <c r="AT145" s="969"/>
      <c r="AU145" s="969">
        <f>M145*1</f>
        <v>44.007600000000004</v>
      </c>
      <c r="AV145" s="969"/>
      <c r="AW145" s="969"/>
      <c r="AX145" s="969"/>
      <c r="AY145" s="969">
        <f>H145*R145</f>
        <v>616.10640000000001</v>
      </c>
      <c r="AZ145" s="969"/>
      <c r="BA145" s="969"/>
      <c r="BB145" s="989"/>
    </row>
    <row r="146" spans="1:79" ht="29.25" customHeight="1" x14ac:dyDescent="0.2">
      <c r="A146" s="990" t="s">
        <v>72</v>
      </c>
      <c r="B146" s="991"/>
      <c r="C146" s="991"/>
      <c r="D146" s="991"/>
      <c r="E146" s="991"/>
      <c r="F146" s="991"/>
      <c r="G146" s="991"/>
      <c r="H146" s="992">
        <f>AV98</f>
        <v>37.519050484961525</v>
      </c>
      <c r="I146" s="992"/>
      <c r="J146" s="992"/>
      <c r="K146" s="992"/>
      <c r="L146" s="992"/>
      <c r="M146" s="942">
        <f t="shared" ref="M146:M148" si="3">H146</f>
        <v>37.519050484961525</v>
      </c>
      <c r="N146" s="942"/>
      <c r="O146" s="942"/>
      <c r="P146" s="942"/>
      <c r="Q146" s="942"/>
      <c r="R146" s="974"/>
      <c r="S146" s="975"/>
      <c r="T146" s="975"/>
      <c r="U146" s="976"/>
      <c r="V146" s="981"/>
      <c r="W146" s="981"/>
      <c r="X146" s="981"/>
      <c r="Y146" s="981"/>
      <c r="Z146" s="981"/>
      <c r="AA146" s="981"/>
      <c r="AB146" s="981"/>
      <c r="AC146" s="981"/>
      <c r="AD146" s="942" t="s">
        <v>71</v>
      </c>
      <c r="AE146" s="942"/>
      <c r="AF146" s="942"/>
      <c r="AG146" s="942"/>
      <c r="AH146" s="942"/>
      <c r="AI146" s="942"/>
      <c r="AJ146" s="943"/>
      <c r="AK146" s="944"/>
      <c r="AL146" s="944"/>
      <c r="AM146" s="944"/>
      <c r="AN146" s="944"/>
      <c r="AO146" s="944"/>
      <c r="AP146" s="945"/>
      <c r="AQ146" s="946">
        <f>H146*4</f>
        <v>150.0762019398461</v>
      </c>
      <c r="AR146" s="946"/>
      <c r="AS146" s="946"/>
      <c r="AT146" s="946"/>
      <c r="AU146" s="946">
        <f>M146*1</f>
        <v>37.519050484961525</v>
      </c>
      <c r="AV146" s="946"/>
      <c r="AW146" s="946"/>
      <c r="AX146" s="946"/>
      <c r="AY146" s="946">
        <f>H146*R145</f>
        <v>525.2667067894613</v>
      </c>
      <c r="AZ146" s="946"/>
      <c r="BA146" s="946"/>
      <c r="BB146" s="947"/>
    </row>
    <row r="147" spans="1:79" ht="15" customHeight="1" x14ac:dyDescent="0.2">
      <c r="A147" s="990" t="s">
        <v>73</v>
      </c>
      <c r="B147" s="991"/>
      <c r="C147" s="991"/>
      <c r="D147" s="991"/>
      <c r="E147" s="991"/>
      <c r="F147" s="991"/>
      <c r="G147" s="991"/>
      <c r="H147" s="992">
        <f>AU126</f>
        <v>187.70428571428573</v>
      </c>
      <c r="I147" s="992"/>
      <c r="J147" s="992"/>
      <c r="K147" s="992"/>
      <c r="L147" s="992"/>
      <c r="M147" s="942">
        <f t="shared" si="3"/>
        <v>187.70428571428573</v>
      </c>
      <c r="N147" s="942"/>
      <c r="O147" s="942"/>
      <c r="P147" s="942"/>
      <c r="Q147" s="942"/>
      <c r="R147" s="974"/>
      <c r="S147" s="975"/>
      <c r="T147" s="975"/>
      <c r="U147" s="976"/>
      <c r="V147" s="981"/>
      <c r="W147" s="981"/>
      <c r="X147" s="981"/>
      <c r="Y147" s="981"/>
      <c r="Z147" s="981"/>
      <c r="AA147" s="981"/>
      <c r="AB147" s="981"/>
      <c r="AC147" s="981"/>
      <c r="AD147" s="942" t="s">
        <v>71</v>
      </c>
      <c r="AE147" s="942"/>
      <c r="AF147" s="942"/>
      <c r="AG147" s="942"/>
      <c r="AH147" s="942"/>
      <c r="AI147" s="942"/>
      <c r="AJ147" s="943"/>
      <c r="AK147" s="944"/>
      <c r="AL147" s="944"/>
      <c r="AM147" s="944"/>
      <c r="AN147" s="944"/>
      <c r="AO147" s="944"/>
      <c r="AP147" s="945"/>
      <c r="AQ147" s="946">
        <f>H147*4</f>
        <v>750.81714285714293</v>
      </c>
      <c r="AR147" s="946"/>
      <c r="AS147" s="946"/>
      <c r="AT147" s="946"/>
      <c r="AU147" s="946">
        <f>M147*1</f>
        <v>187.70428571428573</v>
      </c>
      <c r="AV147" s="946"/>
      <c r="AW147" s="946"/>
      <c r="AX147" s="946"/>
      <c r="AY147" s="946">
        <f>H147*R145</f>
        <v>2627.86</v>
      </c>
      <c r="AZ147" s="946"/>
      <c r="BA147" s="946"/>
      <c r="BB147" s="947"/>
    </row>
    <row r="148" spans="1:79" ht="26.25" customHeight="1" thickBot="1" x14ac:dyDescent="0.25">
      <c r="A148" s="957" t="s">
        <v>74</v>
      </c>
      <c r="B148" s="958"/>
      <c r="C148" s="958"/>
      <c r="D148" s="958"/>
      <c r="E148" s="958"/>
      <c r="F148" s="958"/>
      <c r="G148" s="958"/>
      <c r="H148" s="959">
        <f>AU138</f>
        <v>0</v>
      </c>
      <c r="I148" s="959"/>
      <c r="J148" s="959"/>
      <c r="K148" s="959"/>
      <c r="L148" s="959"/>
      <c r="M148" s="960">
        <f t="shared" si="3"/>
        <v>0</v>
      </c>
      <c r="N148" s="960"/>
      <c r="O148" s="960"/>
      <c r="P148" s="960"/>
      <c r="Q148" s="960"/>
      <c r="R148" s="977"/>
      <c r="S148" s="978"/>
      <c r="T148" s="978"/>
      <c r="U148" s="979"/>
      <c r="V148" s="982"/>
      <c r="W148" s="982"/>
      <c r="X148" s="982"/>
      <c r="Y148" s="982"/>
      <c r="Z148" s="982"/>
      <c r="AA148" s="982"/>
      <c r="AB148" s="982"/>
      <c r="AC148" s="982"/>
      <c r="AD148" s="960" t="s">
        <v>71</v>
      </c>
      <c r="AE148" s="960"/>
      <c r="AF148" s="960"/>
      <c r="AG148" s="960"/>
      <c r="AH148" s="960"/>
      <c r="AI148" s="960"/>
      <c r="AJ148" s="496" t="s">
        <v>17</v>
      </c>
      <c r="AK148" s="497"/>
      <c r="AL148" s="497"/>
      <c r="AM148" s="497"/>
      <c r="AN148" s="497"/>
      <c r="AO148" s="497"/>
      <c r="AP148" s="498"/>
      <c r="AQ148" s="948">
        <f>H148*4</f>
        <v>0</v>
      </c>
      <c r="AR148" s="948"/>
      <c r="AS148" s="948"/>
      <c r="AT148" s="948"/>
      <c r="AU148" s="948">
        <f>M148*1</f>
        <v>0</v>
      </c>
      <c r="AV148" s="948"/>
      <c r="AW148" s="948"/>
      <c r="AX148" s="948"/>
      <c r="AY148" s="949">
        <f>H148*R145</f>
        <v>0</v>
      </c>
      <c r="AZ148" s="949"/>
      <c r="BA148" s="949"/>
      <c r="BB148" s="950"/>
    </row>
    <row r="149" spans="1:79" ht="25.5" customHeight="1" x14ac:dyDescent="0.2">
      <c r="A149" s="951" t="s">
        <v>80</v>
      </c>
      <c r="B149" s="952"/>
      <c r="C149" s="952"/>
      <c r="D149" s="952"/>
      <c r="E149" s="952"/>
      <c r="F149" s="952"/>
      <c r="G149" s="953"/>
      <c r="H149" s="954">
        <f>SUM(H145:L148)</f>
        <v>269.23093619924725</v>
      </c>
      <c r="I149" s="954"/>
      <c r="J149" s="954"/>
      <c r="K149" s="954"/>
      <c r="L149" s="954"/>
      <c r="M149" s="954">
        <f>SUM(M145:Q148)</f>
        <v>269.23093619924725</v>
      </c>
      <c r="N149" s="954"/>
      <c r="O149" s="954"/>
      <c r="P149" s="954"/>
      <c r="Q149" s="954"/>
      <c r="R149" s="955">
        <f>R145</f>
        <v>14</v>
      </c>
      <c r="S149" s="955"/>
      <c r="T149" s="955"/>
      <c r="U149" s="955"/>
      <c r="V149" s="956">
        <f>V145</f>
        <v>10</v>
      </c>
      <c r="W149" s="956"/>
      <c r="X149" s="956"/>
      <c r="Y149" s="956"/>
      <c r="Z149" s="956">
        <f>Z145</f>
        <v>2</v>
      </c>
      <c r="AA149" s="956"/>
      <c r="AB149" s="956"/>
      <c r="AC149" s="956"/>
      <c r="AD149" s="488" t="s">
        <v>17</v>
      </c>
      <c r="AE149" s="488"/>
      <c r="AF149" s="488"/>
      <c r="AG149" s="488"/>
      <c r="AH149" s="488"/>
      <c r="AI149" s="488"/>
      <c r="AJ149" s="491" t="s">
        <v>17</v>
      </c>
      <c r="AK149" s="492"/>
      <c r="AL149" s="492"/>
      <c r="AM149" s="492"/>
      <c r="AN149" s="492"/>
      <c r="AO149" s="492"/>
      <c r="AP149" s="493"/>
      <c r="AQ149" s="921">
        <f>SUM(AQ145:AT148)</f>
        <v>1076.923744796989</v>
      </c>
      <c r="AR149" s="921"/>
      <c r="AS149" s="921"/>
      <c r="AT149" s="921"/>
      <c r="AU149" s="921">
        <f>SUM(AU145:AX148)</f>
        <v>269.23093619924725</v>
      </c>
      <c r="AV149" s="921"/>
      <c r="AW149" s="921"/>
      <c r="AX149" s="921"/>
      <c r="AY149" s="921">
        <f>SUM(AY145:BB148)</f>
        <v>3769.2331067894615</v>
      </c>
      <c r="AZ149" s="921"/>
      <c r="BA149" s="921"/>
      <c r="BB149" s="922"/>
    </row>
    <row r="150" spans="1:79" ht="30.75" customHeight="1" x14ac:dyDescent="0.2">
      <c r="A150" s="926" t="s">
        <v>75</v>
      </c>
      <c r="B150" s="927"/>
      <c r="C150" s="927"/>
      <c r="D150" s="927"/>
      <c r="E150" s="927"/>
      <c r="F150" s="927"/>
      <c r="G150" s="80">
        <v>0.3</v>
      </c>
      <c r="H150" s="928">
        <f>H149*G150</f>
        <v>80.76928085977417</v>
      </c>
      <c r="I150" s="928"/>
      <c r="J150" s="928"/>
      <c r="K150" s="928"/>
      <c r="L150" s="928"/>
      <c r="M150" s="928">
        <f>M149*G150</f>
        <v>80.76928085977417</v>
      </c>
      <c r="N150" s="928"/>
      <c r="O150" s="928"/>
      <c r="P150" s="928"/>
      <c r="Q150" s="928"/>
      <c r="R150" s="929">
        <f>R145</f>
        <v>14</v>
      </c>
      <c r="S150" s="930"/>
      <c r="T150" s="930"/>
      <c r="U150" s="931"/>
      <c r="V150" s="932">
        <f>V145</f>
        <v>10</v>
      </c>
      <c r="W150" s="930"/>
      <c r="X150" s="930"/>
      <c r="Y150" s="931"/>
      <c r="Z150" s="932">
        <f>Z145</f>
        <v>2</v>
      </c>
      <c r="AA150" s="930"/>
      <c r="AB150" s="930"/>
      <c r="AC150" s="931"/>
      <c r="AD150" s="462" t="s">
        <v>17</v>
      </c>
      <c r="AE150" s="462"/>
      <c r="AF150" s="462"/>
      <c r="AG150" s="462"/>
      <c r="AH150" s="462"/>
      <c r="AI150" s="462"/>
      <c r="AJ150" s="462" t="s">
        <v>17</v>
      </c>
      <c r="AK150" s="462"/>
      <c r="AL150" s="462"/>
      <c r="AM150" s="462"/>
      <c r="AN150" s="462"/>
      <c r="AO150" s="462"/>
      <c r="AP150" s="462"/>
      <c r="AQ150" s="923">
        <f>AQ149*G150</f>
        <v>323.07712343909668</v>
      </c>
      <c r="AR150" s="923"/>
      <c r="AS150" s="923"/>
      <c r="AT150" s="923"/>
      <c r="AU150" s="923">
        <f>AU149*G150</f>
        <v>80.76928085977417</v>
      </c>
      <c r="AV150" s="923"/>
      <c r="AW150" s="923"/>
      <c r="AX150" s="923"/>
      <c r="AY150" s="923">
        <f>AY149*G150</f>
        <v>1130.7699320368383</v>
      </c>
      <c r="AZ150" s="923"/>
      <c r="BA150" s="923"/>
      <c r="BB150" s="924"/>
    </row>
    <row r="151" spans="1:79" ht="30.75" customHeight="1" thickBot="1" x14ac:dyDescent="0.25">
      <c r="A151" s="933" t="s">
        <v>81</v>
      </c>
      <c r="B151" s="934"/>
      <c r="C151" s="934"/>
      <c r="D151" s="934"/>
      <c r="E151" s="934"/>
      <c r="F151" s="934"/>
      <c r="G151" s="935"/>
      <c r="H151" s="464">
        <f>H149+H150</f>
        <v>350.00021705902145</v>
      </c>
      <c r="I151" s="464"/>
      <c r="J151" s="464"/>
      <c r="K151" s="464"/>
      <c r="L151" s="464"/>
      <c r="M151" s="471">
        <f>M149+M150</f>
        <v>350.00021705902145</v>
      </c>
      <c r="N151" s="472"/>
      <c r="O151" s="472"/>
      <c r="P151" s="472"/>
      <c r="Q151" s="473"/>
      <c r="R151" s="936">
        <f>R145</f>
        <v>14</v>
      </c>
      <c r="S151" s="937"/>
      <c r="T151" s="937"/>
      <c r="U151" s="938"/>
      <c r="V151" s="939">
        <f>V145</f>
        <v>10</v>
      </c>
      <c r="W151" s="940"/>
      <c r="X151" s="940"/>
      <c r="Y151" s="941"/>
      <c r="Z151" s="939">
        <f>Z145</f>
        <v>2</v>
      </c>
      <c r="AA151" s="940"/>
      <c r="AB151" s="940"/>
      <c r="AC151" s="941"/>
      <c r="AD151" s="463" t="s">
        <v>17</v>
      </c>
      <c r="AE151" s="463"/>
      <c r="AF151" s="463"/>
      <c r="AG151" s="463"/>
      <c r="AH151" s="463"/>
      <c r="AI151" s="463"/>
      <c r="AJ151" s="463" t="s">
        <v>17</v>
      </c>
      <c r="AK151" s="463"/>
      <c r="AL151" s="463"/>
      <c r="AM151" s="463"/>
      <c r="AN151" s="463"/>
      <c r="AO151" s="463"/>
      <c r="AP151" s="463"/>
      <c r="AQ151" s="918">
        <f>AQ149+AQ150</f>
        <v>1400.0008682360858</v>
      </c>
      <c r="AR151" s="918"/>
      <c r="AS151" s="918"/>
      <c r="AT151" s="918"/>
      <c r="AU151" s="918">
        <f>AU149+AU150</f>
        <v>350.00021705902145</v>
      </c>
      <c r="AV151" s="918"/>
      <c r="AW151" s="918"/>
      <c r="AX151" s="918"/>
      <c r="AY151" s="918">
        <f>AY149+AY150</f>
        <v>4900.0030388263003</v>
      </c>
      <c r="AZ151" s="918"/>
      <c r="BA151" s="918"/>
      <c r="BB151" s="925"/>
      <c r="BE151" s="911"/>
      <c r="BF151" s="911"/>
      <c r="BG151" s="911"/>
      <c r="BH151" s="911"/>
      <c r="BI151" s="911"/>
      <c r="BJ151" s="911"/>
      <c r="BK151" s="911"/>
      <c r="BL151" s="911"/>
      <c r="BM151" s="911"/>
      <c r="BN151" s="911"/>
      <c r="BO151" s="911"/>
      <c r="BP151" s="911"/>
      <c r="BQ151" s="911"/>
      <c r="BR151" s="911"/>
      <c r="BS151" s="911"/>
      <c r="BT151" s="911"/>
      <c r="BU151" s="911"/>
      <c r="BV151" s="911"/>
      <c r="BW151" s="911"/>
      <c r="BX151" s="911"/>
      <c r="BY151" s="911"/>
      <c r="BZ151" s="911"/>
      <c r="CA151" s="911"/>
    </row>
    <row r="152" spans="1:79" ht="16.5" customHeight="1" x14ac:dyDescent="0.2">
      <c r="BC152" s="909"/>
      <c r="BD152" s="909"/>
      <c r="BE152" s="909"/>
      <c r="BF152" s="909"/>
      <c r="BG152" s="909"/>
      <c r="BH152" s="433"/>
      <c r="BI152" s="433"/>
      <c r="BJ152" s="433"/>
      <c r="BK152" s="433"/>
      <c r="BL152" s="433"/>
      <c r="BM152" s="320"/>
      <c r="BN152" s="320"/>
      <c r="BO152" s="320"/>
      <c r="BP152" s="320"/>
      <c r="BQ152" s="320"/>
      <c r="BR152" s="320"/>
      <c r="BS152" s="320"/>
      <c r="BT152" s="320"/>
    </row>
    <row r="153" spans="1:79" ht="0.6" customHeight="1" x14ac:dyDescent="0.2">
      <c r="BC153" s="909"/>
      <c r="BD153" s="909"/>
      <c r="BE153" s="913"/>
      <c r="BF153" s="909"/>
      <c r="BG153" s="909"/>
      <c r="BH153" s="216"/>
      <c r="BI153" s="432"/>
      <c r="BJ153" s="432"/>
      <c r="BK153" s="432"/>
      <c r="BL153" s="432"/>
      <c r="BM153" s="432"/>
      <c r="BN153" s="432"/>
      <c r="BO153" s="432"/>
      <c r="BP153" s="432"/>
      <c r="BQ153" s="432"/>
      <c r="BR153" s="432"/>
      <c r="BS153" s="432"/>
      <c r="BT153" s="432"/>
    </row>
    <row r="154" spans="1:79" ht="14.25" customHeight="1" x14ac:dyDescent="0.2">
      <c r="B154" s="920" t="s">
        <v>221</v>
      </c>
      <c r="C154" s="920"/>
      <c r="D154" s="920"/>
      <c r="E154" s="920"/>
      <c r="F154" s="920"/>
      <c r="G154" s="920"/>
      <c r="H154" s="920"/>
      <c r="I154" s="920"/>
      <c r="J154" s="920"/>
      <c r="K154" s="920"/>
      <c r="L154" s="920"/>
      <c r="M154" s="920"/>
      <c r="N154" s="920"/>
      <c r="O154" s="920"/>
      <c r="P154" s="920"/>
      <c r="Q154" s="920"/>
      <c r="R154" s="920"/>
      <c r="S154" s="920"/>
      <c r="U154" s="10"/>
      <c r="V154" s="10"/>
      <c r="W154" s="10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M154" s="919" t="s">
        <v>222</v>
      </c>
      <c r="AN154" s="763"/>
      <c r="AO154" s="763"/>
      <c r="AP154" s="763"/>
      <c r="AQ154" s="763"/>
      <c r="AR154" s="763"/>
      <c r="AS154" s="763"/>
      <c r="AT154" s="763"/>
      <c r="AU154" s="763"/>
      <c r="AV154" s="763"/>
      <c r="AW154" s="763"/>
      <c r="AX154" s="763"/>
      <c r="AY154" s="763"/>
      <c r="AZ154" s="763"/>
      <c r="BA154" s="763"/>
      <c r="BB154" s="763"/>
      <c r="BC154" s="909"/>
      <c r="BD154" s="909"/>
      <c r="BE154" s="909"/>
      <c r="BF154" s="909"/>
      <c r="BG154" s="909"/>
      <c r="BH154" s="216"/>
      <c r="BI154" s="435"/>
      <c r="BJ154" s="435"/>
      <c r="BK154" s="435"/>
      <c r="BL154" s="435"/>
      <c r="BM154" s="435"/>
      <c r="BN154" s="435"/>
      <c r="BO154" s="432"/>
      <c r="BP154" s="432"/>
      <c r="BQ154" s="432"/>
      <c r="BR154" s="432"/>
      <c r="BS154" s="432"/>
      <c r="BT154" s="432"/>
    </row>
    <row r="155" spans="1:79" ht="9" customHeight="1" x14ac:dyDescent="0.25">
      <c r="B155" s="920" t="s">
        <v>78</v>
      </c>
      <c r="C155" s="920"/>
      <c r="D155" s="920"/>
      <c r="E155" s="920"/>
      <c r="F155" s="920"/>
      <c r="G155" s="920"/>
      <c r="H155" s="920"/>
      <c r="I155" s="920"/>
      <c r="J155" s="920"/>
      <c r="K155" s="920"/>
      <c r="L155" s="920"/>
      <c r="M155" s="920"/>
      <c r="N155" s="920"/>
      <c r="O155" s="920"/>
      <c r="P155" s="920"/>
      <c r="Q155" s="920"/>
      <c r="R155" s="920"/>
      <c r="S155" s="920"/>
      <c r="AM155" s="386"/>
      <c r="AN155" s="386"/>
      <c r="AO155" s="386"/>
      <c r="AP155" s="386"/>
      <c r="AQ155" s="386"/>
      <c r="AR155" s="386"/>
      <c r="AS155" s="386"/>
      <c r="AT155" s="386"/>
      <c r="AU155" s="386"/>
      <c r="AV155" s="386"/>
      <c r="AW155" s="386"/>
      <c r="AX155" s="386"/>
      <c r="AY155" s="386"/>
      <c r="AZ155" s="386"/>
      <c r="BA155" s="386"/>
      <c r="BB155" s="386"/>
      <c r="BC155" s="254"/>
      <c r="BE155" s="909"/>
      <c r="BF155" s="909"/>
      <c r="BG155" s="909"/>
      <c r="BH155" s="216"/>
      <c r="BI155" s="435"/>
      <c r="BJ155" s="435"/>
      <c r="BK155" s="435"/>
      <c r="BL155" s="435"/>
      <c r="BM155" s="435"/>
      <c r="BN155" s="435"/>
      <c r="BO155" s="435"/>
      <c r="BP155" s="435"/>
      <c r="BQ155" s="435"/>
      <c r="BR155" s="435"/>
      <c r="BS155" s="435"/>
      <c r="BT155" s="435"/>
    </row>
    <row r="156" spans="1:79" ht="19.5" customHeight="1" x14ac:dyDescent="0.25">
      <c r="B156" s="920"/>
      <c r="C156" s="920"/>
      <c r="D156" s="920"/>
      <c r="E156" s="920"/>
      <c r="F156" s="920"/>
      <c r="G156" s="920"/>
      <c r="H156" s="920"/>
      <c r="I156" s="920"/>
      <c r="J156" s="920"/>
      <c r="K156" s="920"/>
      <c r="L156" s="920"/>
      <c r="M156" s="920"/>
      <c r="N156" s="920"/>
      <c r="O156" s="920"/>
      <c r="P156" s="920"/>
      <c r="Q156" s="920"/>
      <c r="R156" s="920"/>
      <c r="S156" s="920"/>
      <c r="U156" s="10"/>
      <c r="V156" s="10"/>
      <c r="W156" s="10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M156" s="919" t="s">
        <v>418</v>
      </c>
      <c r="AN156" s="763"/>
      <c r="AO156" s="763"/>
      <c r="AP156" s="763"/>
      <c r="AQ156" s="763"/>
      <c r="AR156" s="763"/>
      <c r="AS156" s="763"/>
      <c r="AT156" s="763"/>
      <c r="AU156" s="763"/>
      <c r="AV156" s="763"/>
      <c r="AW156" s="763"/>
      <c r="AX156" s="763"/>
      <c r="AY156" s="763"/>
      <c r="AZ156" s="763"/>
      <c r="BA156" s="763"/>
      <c r="BB156" s="763"/>
      <c r="BC156" s="254"/>
      <c r="BG156" s="87"/>
    </row>
    <row r="157" spans="1:79" ht="10.15" customHeight="1" x14ac:dyDescent="0.2"/>
    <row r="158" spans="1:79" ht="0.75" customHeight="1" x14ac:dyDescent="0.2">
      <c r="A158" s="54" t="s">
        <v>125</v>
      </c>
      <c r="B158" s="54"/>
      <c r="C158" s="54"/>
      <c r="D158" s="54"/>
      <c r="BG158" s="87"/>
    </row>
    <row r="159" spans="1:79" ht="21.75" hidden="1" customHeight="1" x14ac:dyDescent="0.2">
      <c r="A159" s="53"/>
      <c r="B159" s="53"/>
      <c r="C159" s="53"/>
      <c r="D159" s="53"/>
      <c r="E159" s="53"/>
      <c r="F159" s="53"/>
      <c r="G159" s="53">
        <v>300</v>
      </c>
      <c r="H159" s="53"/>
      <c r="I159" s="53"/>
      <c r="J159" s="53"/>
      <c r="K159" s="53"/>
      <c r="L159" s="53"/>
      <c r="M159" s="53"/>
      <c r="N159" s="53"/>
      <c r="BE159" s="911" t="s">
        <v>156</v>
      </c>
      <c r="BF159" s="911"/>
      <c r="BG159" s="911"/>
      <c r="BH159" s="911"/>
      <c r="BI159" s="911"/>
      <c r="BJ159" s="911"/>
      <c r="BK159" s="911"/>
      <c r="BL159" s="911"/>
      <c r="BM159" s="911"/>
      <c r="BN159" s="911"/>
      <c r="BO159" s="911"/>
      <c r="BP159" s="911"/>
      <c r="BQ159" s="911"/>
      <c r="BR159" s="911"/>
      <c r="BS159" s="911"/>
      <c r="BT159" s="911"/>
      <c r="BU159" s="911"/>
      <c r="BV159" s="911"/>
      <c r="BW159" s="911"/>
      <c r="BX159" s="911"/>
      <c r="BY159" s="911"/>
      <c r="BZ159" s="911"/>
      <c r="CA159" s="911"/>
    </row>
    <row r="160" spans="1:79" ht="18" hidden="1" customHeight="1" x14ac:dyDescent="0.25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BE160" s="909" t="s">
        <v>126</v>
      </c>
      <c r="BF160" s="909"/>
      <c r="BG160" s="909"/>
      <c r="BH160" s="912">
        <f>280*22</f>
        <v>6160</v>
      </c>
      <c r="BI160" s="912"/>
      <c r="BJ160" s="912"/>
      <c r="BK160" s="912"/>
      <c r="BL160" s="912"/>
      <c r="BM160" s="106" t="s">
        <v>127</v>
      </c>
      <c r="BN160" s="106"/>
      <c r="BO160" s="106"/>
      <c r="BP160" s="106"/>
      <c r="BQ160" s="106"/>
      <c r="BR160" s="106"/>
      <c r="BS160" s="106"/>
      <c r="BT160" s="106"/>
    </row>
    <row r="161" spans="26:79" ht="18" hidden="1" customHeight="1" x14ac:dyDescent="0.2">
      <c r="BE161" s="913">
        <v>0.6</v>
      </c>
      <c r="BF161" s="909"/>
      <c r="BG161" s="909"/>
      <c r="BH161" s="87">
        <f>BH160*BE161</f>
        <v>3696</v>
      </c>
      <c r="BI161" s="914" t="s">
        <v>128</v>
      </c>
      <c r="BJ161" s="914"/>
      <c r="BK161" s="914"/>
      <c r="BL161" s="914"/>
      <c r="BM161" s="914"/>
      <c r="BN161" s="909" t="s">
        <v>129</v>
      </c>
      <c r="BO161" s="909"/>
      <c r="BP161" s="909"/>
      <c r="BQ161" s="909"/>
      <c r="BR161" s="909"/>
      <c r="BS161" s="909"/>
      <c r="BT161" s="909"/>
    </row>
    <row r="162" spans="26:79" ht="15" hidden="1" customHeight="1" x14ac:dyDescent="0.2">
      <c r="BE162" s="909">
        <v>211</v>
      </c>
      <c r="BF162" s="909"/>
      <c r="BG162" s="909"/>
      <c r="BH162" s="87">
        <f>BH161-BH163</f>
        <v>2838.7096774193546</v>
      </c>
      <c r="BI162" s="910">
        <f>BH162*0.1</f>
        <v>283.87096774193549</v>
      </c>
      <c r="BJ162" s="910"/>
      <c r="BK162" s="910"/>
      <c r="BL162" s="910"/>
      <c r="BM162" s="910"/>
      <c r="BN162" s="436">
        <f>BH162-BI162</f>
        <v>2554.838709677419</v>
      </c>
      <c r="BO162" s="445"/>
      <c r="BP162" s="445"/>
      <c r="BQ162" s="445"/>
      <c r="BR162" s="445"/>
      <c r="BS162" s="445"/>
      <c r="BT162" s="445"/>
    </row>
    <row r="163" spans="26:79" ht="15.75" hidden="1" customHeight="1" x14ac:dyDescent="0.2">
      <c r="BE163" s="909">
        <v>213</v>
      </c>
      <c r="BF163" s="909"/>
      <c r="BG163" s="909"/>
      <c r="BH163" s="87">
        <f>BH161*30.2/130.2</f>
        <v>857.29032258064524</v>
      </c>
      <c r="BI163" s="910">
        <f>BI162*30.2%</f>
        <v>85.729032258064521</v>
      </c>
      <c r="BJ163" s="910"/>
      <c r="BK163" s="910"/>
      <c r="BL163" s="910"/>
      <c r="BM163" s="910"/>
      <c r="BN163" s="436">
        <f>BN162*30.2%</f>
        <v>771.56129032258048</v>
      </c>
      <c r="BO163" s="436"/>
      <c r="BP163" s="436"/>
      <c r="BQ163" s="436"/>
      <c r="BR163" s="436"/>
      <c r="BS163" s="436"/>
      <c r="BT163" s="436"/>
    </row>
    <row r="164" spans="26:79" ht="8.25" hidden="1" customHeight="1" x14ac:dyDescent="0.2">
      <c r="Z164" s="52"/>
      <c r="AA164" s="52"/>
      <c r="AB164" s="52"/>
      <c r="AC164" s="52"/>
      <c r="AD164" s="52"/>
      <c r="AE164" s="52"/>
      <c r="AF164" s="52"/>
      <c r="AG164" s="52"/>
    </row>
    <row r="165" spans="26:79" ht="8.25" hidden="1" customHeight="1" x14ac:dyDescent="0.2"/>
    <row r="166" spans="26:79" ht="8.25" hidden="1" customHeight="1" x14ac:dyDescent="0.2"/>
    <row r="167" spans="26:79" ht="16.5" hidden="1" customHeight="1" x14ac:dyDescent="0.2">
      <c r="BE167" s="911" t="s">
        <v>163</v>
      </c>
      <c r="BF167" s="911"/>
      <c r="BG167" s="911"/>
      <c r="BH167" s="911"/>
      <c r="BI167" s="911"/>
      <c r="BJ167" s="911"/>
      <c r="BK167" s="911"/>
      <c r="BL167" s="911"/>
      <c r="BM167" s="911"/>
      <c r="BN167" s="911"/>
      <c r="BO167" s="911"/>
      <c r="BP167" s="911"/>
      <c r="BQ167" s="911"/>
      <c r="BR167" s="911"/>
      <c r="BS167" s="911"/>
      <c r="BT167" s="911"/>
      <c r="BU167" s="911"/>
      <c r="BV167" s="911"/>
      <c r="BW167" s="911"/>
      <c r="BX167" s="911"/>
      <c r="BY167" s="911"/>
      <c r="BZ167" s="911"/>
      <c r="CA167" s="911"/>
    </row>
    <row r="168" spans="26:79" ht="15.75" hidden="1" customHeight="1" x14ac:dyDescent="0.2">
      <c r="BE168" s="909" t="s">
        <v>126</v>
      </c>
      <c r="BF168" s="909"/>
      <c r="BG168" s="909"/>
      <c r="BH168" s="912">
        <f>280*53</f>
        <v>14840</v>
      </c>
      <c r="BI168" s="912"/>
      <c r="BJ168" s="912"/>
      <c r="BK168" s="912"/>
      <c r="BL168" s="912"/>
      <c r="BM168" s="106" t="s">
        <v>127</v>
      </c>
      <c r="BN168" s="106"/>
      <c r="BO168" s="106"/>
      <c r="BP168" s="106"/>
      <c r="BQ168" s="106"/>
      <c r="BR168" s="106"/>
      <c r="BS168" s="106"/>
      <c r="BT168" s="106"/>
    </row>
    <row r="169" spans="26:79" ht="15" hidden="1" customHeight="1" x14ac:dyDescent="0.2">
      <c r="BE169" s="913">
        <v>0.6</v>
      </c>
      <c r="BF169" s="909"/>
      <c r="BG169" s="909"/>
      <c r="BH169" s="87">
        <f>BH168*BE169</f>
        <v>8904</v>
      </c>
      <c r="BI169" s="914" t="s">
        <v>128</v>
      </c>
      <c r="BJ169" s="914"/>
      <c r="BK169" s="914"/>
      <c r="BL169" s="914"/>
      <c r="BM169" s="914"/>
      <c r="BN169" s="909" t="s">
        <v>129</v>
      </c>
      <c r="BO169" s="909"/>
      <c r="BP169" s="909"/>
      <c r="BQ169" s="909"/>
      <c r="BR169" s="909"/>
      <c r="BS169" s="909"/>
      <c r="BT169" s="909"/>
    </row>
    <row r="170" spans="26:79" ht="14.25" hidden="1" customHeight="1" x14ac:dyDescent="0.2">
      <c r="BE170" s="909">
        <v>211</v>
      </c>
      <c r="BF170" s="909"/>
      <c r="BG170" s="909"/>
      <c r="BH170" s="87">
        <f>BH169-BH171</f>
        <v>6838.7096774193542</v>
      </c>
      <c r="BI170" s="910">
        <f>BH170*0.1</f>
        <v>683.87096774193549</v>
      </c>
      <c r="BJ170" s="910"/>
      <c r="BK170" s="910"/>
      <c r="BL170" s="910"/>
      <c r="BM170" s="910"/>
      <c r="BN170" s="436">
        <f>BH170-BI170</f>
        <v>6154.8387096774186</v>
      </c>
      <c r="BO170" s="445"/>
      <c r="BP170" s="445"/>
      <c r="BQ170" s="445"/>
      <c r="BR170" s="445"/>
      <c r="BS170" s="445"/>
      <c r="BT170" s="445"/>
    </row>
    <row r="171" spans="26:79" ht="12" hidden="1" customHeight="1" x14ac:dyDescent="0.2">
      <c r="BE171" s="909">
        <v>213</v>
      </c>
      <c r="BF171" s="909"/>
      <c r="BG171" s="909"/>
      <c r="BH171" s="87">
        <f>BH169*30.2/130.2</f>
        <v>2065.2903225806454</v>
      </c>
      <c r="BI171" s="910">
        <f>BI170*30.2%</f>
        <v>206.52903225806452</v>
      </c>
      <c r="BJ171" s="910"/>
      <c r="BK171" s="910"/>
      <c r="BL171" s="910"/>
      <c r="BM171" s="910"/>
      <c r="BN171" s="436">
        <f>BN170*30.2%</f>
        <v>1858.7612903225804</v>
      </c>
      <c r="BO171" s="436"/>
      <c r="BP171" s="436"/>
      <c r="BQ171" s="436"/>
      <c r="BR171" s="436"/>
      <c r="BS171" s="436"/>
      <c r="BT171" s="436"/>
    </row>
    <row r="172" spans="26:79" ht="16.5" hidden="1" customHeight="1" x14ac:dyDescent="0.2"/>
    <row r="173" spans="26:79" ht="8.25" hidden="1" customHeight="1" x14ac:dyDescent="0.2"/>
    <row r="174" spans="26:79" ht="8.25" hidden="1" customHeight="1" x14ac:dyDescent="0.2"/>
    <row r="175" spans="26:79" ht="15" hidden="1" customHeight="1" x14ac:dyDescent="0.2">
      <c r="BE175" s="911" t="s">
        <v>169</v>
      </c>
      <c r="BF175" s="911"/>
      <c r="BG175" s="911"/>
      <c r="BH175" s="911"/>
      <c r="BI175" s="911"/>
      <c r="BJ175" s="911"/>
      <c r="BK175" s="911"/>
      <c r="BL175" s="911"/>
      <c r="BM175" s="911"/>
      <c r="BN175" s="911"/>
      <c r="BO175" s="911"/>
      <c r="BP175" s="911"/>
      <c r="BQ175" s="911"/>
      <c r="BR175" s="911"/>
      <c r="BS175" s="911"/>
      <c r="BT175" s="911"/>
      <c r="BU175" s="911"/>
      <c r="BV175" s="911"/>
      <c r="BW175" s="911"/>
      <c r="BX175" s="911"/>
      <c r="BY175" s="911"/>
      <c r="BZ175" s="911"/>
      <c r="CA175" s="911"/>
    </row>
    <row r="176" spans="26:79" ht="12.75" hidden="1" customHeight="1" x14ac:dyDescent="0.2">
      <c r="BE176" s="909" t="s">
        <v>126</v>
      </c>
      <c r="BF176" s="909"/>
      <c r="BG176" s="909"/>
      <c r="BH176" s="912">
        <f>280*17</f>
        <v>4760</v>
      </c>
      <c r="BI176" s="912"/>
      <c r="BJ176" s="912"/>
      <c r="BK176" s="912"/>
      <c r="BL176" s="912"/>
      <c r="BM176" s="106" t="s">
        <v>127</v>
      </c>
      <c r="BN176" s="106"/>
      <c r="BO176" s="106"/>
      <c r="BP176" s="106"/>
      <c r="BQ176" s="106"/>
      <c r="BR176" s="106"/>
      <c r="BS176" s="106"/>
      <c r="BT176" s="106"/>
    </row>
    <row r="177" spans="57:79" ht="15.75" hidden="1" customHeight="1" x14ac:dyDescent="0.2">
      <c r="BE177" s="913">
        <v>0.6</v>
      </c>
      <c r="BF177" s="909"/>
      <c r="BG177" s="909"/>
      <c r="BH177" s="87">
        <f>BH176*BE177</f>
        <v>2856</v>
      </c>
      <c r="BI177" s="914" t="s">
        <v>128</v>
      </c>
      <c r="BJ177" s="914"/>
      <c r="BK177" s="914"/>
      <c r="BL177" s="914"/>
      <c r="BM177" s="914"/>
      <c r="BN177" s="909" t="s">
        <v>129</v>
      </c>
      <c r="BO177" s="909"/>
      <c r="BP177" s="909"/>
      <c r="BQ177" s="909"/>
      <c r="BR177" s="909"/>
      <c r="BS177" s="909"/>
      <c r="BT177" s="909"/>
    </row>
    <row r="178" spans="57:79" ht="12.75" hidden="1" customHeight="1" x14ac:dyDescent="0.2">
      <c r="BE178" s="909">
        <v>211</v>
      </c>
      <c r="BF178" s="909"/>
      <c r="BG178" s="909"/>
      <c r="BH178" s="87">
        <f>BH177-BH179</f>
        <v>2193.5483870967741</v>
      </c>
      <c r="BI178" s="910">
        <f>BH178*0.1</f>
        <v>219.35483870967744</v>
      </c>
      <c r="BJ178" s="910"/>
      <c r="BK178" s="910"/>
      <c r="BL178" s="910"/>
      <c r="BM178" s="910"/>
      <c r="BN178" s="436">
        <f>BH178-BI178</f>
        <v>1974.1935483870966</v>
      </c>
      <c r="BO178" s="445"/>
      <c r="BP178" s="445"/>
      <c r="BQ178" s="445"/>
      <c r="BR178" s="445"/>
      <c r="BS178" s="445"/>
      <c r="BT178" s="445"/>
    </row>
    <row r="179" spans="57:79" ht="12.75" hidden="1" customHeight="1" x14ac:dyDescent="0.2">
      <c r="BE179" s="909">
        <v>213</v>
      </c>
      <c r="BF179" s="909"/>
      <c r="BG179" s="909"/>
      <c r="BH179" s="87">
        <f>BH177*30.2/130.2</f>
        <v>662.45161290322585</v>
      </c>
      <c r="BI179" s="910">
        <f>BI178*30.2%</f>
        <v>66.245161290322585</v>
      </c>
      <c r="BJ179" s="910"/>
      <c r="BK179" s="910"/>
      <c r="BL179" s="910"/>
      <c r="BM179" s="910"/>
      <c r="BN179" s="436">
        <f>BN178*30.2%</f>
        <v>596.20645161290315</v>
      </c>
      <c r="BO179" s="436"/>
      <c r="BP179" s="436"/>
      <c r="BQ179" s="436"/>
      <c r="BR179" s="436"/>
      <c r="BS179" s="436"/>
      <c r="BT179" s="436"/>
    </row>
    <row r="180" spans="57:79" ht="8.25" hidden="1" customHeight="1" x14ac:dyDescent="0.2"/>
    <row r="181" spans="57:79" ht="8.25" hidden="1" customHeight="1" x14ac:dyDescent="0.2"/>
    <row r="182" spans="57:79" ht="8.25" hidden="1" customHeight="1" x14ac:dyDescent="0.2"/>
    <row r="183" spans="57:79" ht="15.75" hidden="1" customHeight="1" x14ac:dyDescent="0.2">
      <c r="BE183" s="911" t="s">
        <v>175</v>
      </c>
      <c r="BF183" s="911"/>
      <c r="BG183" s="911"/>
      <c r="BH183" s="911"/>
      <c r="BI183" s="911"/>
      <c r="BJ183" s="911"/>
      <c r="BK183" s="911"/>
      <c r="BL183" s="911"/>
      <c r="BM183" s="911"/>
      <c r="BN183" s="911"/>
      <c r="BO183" s="911"/>
      <c r="BP183" s="911"/>
      <c r="BQ183" s="911"/>
      <c r="BR183" s="911"/>
      <c r="BS183" s="911"/>
      <c r="BT183" s="911"/>
      <c r="BU183" s="911"/>
      <c r="BV183" s="911"/>
      <c r="BW183" s="911"/>
      <c r="BX183" s="911"/>
      <c r="BY183" s="911"/>
      <c r="BZ183" s="911"/>
      <c r="CA183" s="911"/>
    </row>
    <row r="184" spans="57:79" ht="15" hidden="1" customHeight="1" x14ac:dyDescent="0.2">
      <c r="BE184" s="909" t="s">
        <v>126</v>
      </c>
      <c r="BF184" s="909"/>
      <c r="BG184" s="909"/>
      <c r="BH184" s="912">
        <f>280*55</f>
        <v>15400</v>
      </c>
      <c r="BI184" s="912"/>
      <c r="BJ184" s="912"/>
      <c r="BK184" s="912"/>
      <c r="BL184" s="912"/>
      <c r="BM184" s="106" t="s">
        <v>127</v>
      </c>
      <c r="BN184" s="106"/>
      <c r="BO184" s="106"/>
      <c r="BP184" s="106"/>
      <c r="BQ184" s="106"/>
      <c r="BR184" s="106"/>
      <c r="BS184" s="106"/>
      <c r="BT184" s="106"/>
    </row>
    <row r="185" spans="57:79" ht="11.25" hidden="1" customHeight="1" x14ac:dyDescent="0.2">
      <c r="BE185" s="913">
        <v>0.6</v>
      </c>
      <c r="BF185" s="909"/>
      <c r="BG185" s="909"/>
      <c r="BH185" s="87">
        <f>BH184*BE185</f>
        <v>9240</v>
      </c>
      <c r="BI185" s="914" t="s">
        <v>128</v>
      </c>
      <c r="BJ185" s="914"/>
      <c r="BK185" s="914"/>
      <c r="BL185" s="914"/>
      <c r="BM185" s="914"/>
      <c r="BN185" s="909" t="s">
        <v>129</v>
      </c>
      <c r="BO185" s="909"/>
      <c r="BP185" s="909"/>
      <c r="BQ185" s="909"/>
      <c r="BR185" s="909"/>
      <c r="BS185" s="909"/>
      <c r="BT185" s="909"/>
    </row>
    <row r="186" spans="57:79" ht="15.75" hidden="1" customHeight="1" x14ac:dyDescent="0.2">
      <c r="BE186" s="909">
        <v>211</v>
      </c>
      <c r="BF186" s="909"/>
      <c r="BG186" s="909"/>
      <c r="BH186" s="87">
        <f>BH185-BH187</f>
        <v>7096.7741935483864</v>
      </c>
      <c r="BI186" s="910">
        <f>BH186*0.1</f>
        <v>709.67741935483866</v>
      </c>
      <c r="BJ186" s="910"/>
      <c r="BK186" s="910"/>
      <c r="BL186" s="910"/>
      <c r="BM186" s="910"/>
      <c r="BN186" s="436">
        <f>BH186-BI186</f>
        <v>6387.0967741935474</v>
      </c>
      <c r="BO186" s="445"/>
      <c r="BP186" s="445"/>
      <c r="BQ186" s="445"/>
      <c r="BR186" s="445"/>
      <c r="BS186" s="445"/>
      <c r="BT186" s="445"/>
    </row>
    <row r="187" spans="57:79" ht="12.75" hidden="1" customHeight="1" x14ac:dyDescent="0.2">
      <c r="BE187" s="909">
        <v>213</v>
      </c>
      <c r="BF187" s="909"/>
      <c r="BG187" s="909"/>
      <c r="BH187" s="87">
        <f>BH185*30.2/130.2</f>
        <v>2143.2258064516132</v>
      </c>
      <c r="BI187" s="910">
        <f>BI186*30.2%</f>
        <v>214.32258064516128</v>
      </c>
      <c r="BJ187" s="910"/>
      <c r="BK187" s="910"/>
      <c r="BL187" s="910"/>
      <c r="BM187" s="910"/>
      <c r="BN187" s="436">
        <f>BN186*30.2%</f>
        <v>1928.9032258064512</v>
      </c>
      <c r="BO187" s="436"/>
      <c r="BP187" s="436"/>
      <c r="BQ187" s="436"/>
      <c r="BR187" s="436"/>
      <c r="BS187" s="436"/>
      <c r="BT187" s="436"/>
    </row>
    <row r="188" spans="57:79" ht="8.25" hidden="1" customHeight="1" x14ac:dyDescent="0.2"/>
    <row r="189" spans="57:79" ht="8.25" hidden="1" customHeight="1" x14ac:dyDescent="0.2"/>
    <row r="190" spans="57:79" ht="16.5" hidden="1" customHeight="1" x14ac:dyDescent="0.2">
      <c r="BE190" s="917" t="s">
        <v>185</v>
      </c>
      <c r="BF190" s="917"/>
      <c r="BG190" s="917"/>
      <c r="BH190" s="917"/>
      <c r="BI190" s="917"/>
      <c r="BJ190" s="917"/>
      <c r="BK190" s="917"/>
      <c r="BL190" s="917"/>
      <c r="BM190" s="917"/>
      <c r="BN190" s="917"/>
      <c r="BO190" s="917"/>
      <c r="BP190" s="917"/>
      <c r="BQ190" s="917"/>
      <c r="BR190" s="917"/>
      <c r="BS190" s="917"/>
      <c r="BT190" s="917"/>
      <c r="BU190" s="917"/>
      <c r="BV190" s="917"/>
      <c r="BW190" s="917"/>
      <c r="BX190" s="917"/>
      <c r="BY190" s="917"/>
      <c r="BZ190" s="917"/>
      <c r="CA190" s="917"/>
    </row>
    <row r="191" spans="57:79" ht="15" hidden="1" customHeight="1" x14ac:dyDescent="0.2">
      <c r="BE191" s="909" t="s">
        <v>126</v>
      </c>
      <c r="BF191" s="909"/>
      <c r="BG191" s="909"/>
      <c r="BH191" s="912">
        <f>280*23</f>
        <v>6440</v>
      </c>
      <c r="BI191" s="912"/>
      <c r="BJ191" s="912"/>
      <c r="BK191" s="912"/>
      <c r="BL191" s="912"/>
      <c r="BM191" s="106" t="s">
        <v>127</v>
      </c>
      <c r="BN191" s="106"/>
      <c r="BO191" s="106"/>
      <c r="BP191" s="106"/>
      <c r="BQ191" s="106"/>
      <c r="BR191" s="106"/>
      <c r="BS191" s="106"/>
      <c r="BT191" s="106"/>
    </row>
    <row r="192" spans="57:79" ht="17.25" hidden="1" customHeight="1" x14ac:dyDescent="0.2">
      <c r="BE192" s="913">
        <v>0.6</v>
      </c>
      <c r="BF192" s="909"/>
      <c r="BG192" s="909"/>
      <c r="BH192" s="87">
        <f>BH191*BE192</f>
        <v>3864</v>
      </c>
      <c r="BI192" s="914" t="s">
        <v>128</v>
      </c>
      <c r="BJ192" s="914"/>
      <c r="BK192" s="914"/>
      <c r="BL192" s="914"/>
      <c r="BM192" s="914"/>
      <c r="BN192" s="909" t="s">
        <v>129</v>
      </c>
      <c r="BO192" s="909"/>
      <c r="BP192" s="909"/>
      <c r="BQ192" s="909"/>
      <c r="BR192" s="909"/>
      <c r="BS192" s="909"/>
      <c r="BT192" s="909"/>
    </row>
    <row r="193" spans="57:79" ht="17.25" hidden="1" customHeight="1" x14ac:dyDescent="0.2">
      <c r="BE193" s="909">
        <v>211</v>
      </c>
      <c r="BF193" s="909"/>
      <c r="BG193" s="909"/>
      <c r="BH193" s="87">
        <f>BH192-BH194</f>
        <v>2967.7419354838707</v>
      </c>
      <c r="BI193" s="910">
        <f>BH193*0.1</f>
        <v>296.77419354838707</v>
      </c>
      <c r="BJ193" s="910"/>
      <c r="BK193" s="910"/>
      <c r="BL193" s="910"/>
      <c r="BM193" s="910"/>
      <c r="BN193" s="436">
        <f>BH193-BI193</f>
        <v>2670.9677419354839</v>
      </c>
      <c r="BO193" s="445"/>
      <c r="BP193" s="445"/>
      <c r="BQ193" s="445"/>
      <c r="BR193" s="445"/>
      <c r="BS193" s="445"/>
      <c r="BT193" s="445"/>
    </row>
    <row r="194" spans="57:79" ht="15.75" hidden="1" customHeight="1" x14ac:dyDescent="0.2">
      <c r="BE194" s="909">
        <v>213</v>
      </c>
      <c r="BF194" s="909"/>
      <c r="BG194" s="909"/>
      <c r="BH194" s="87">
        <f>BH192*30.2/130.2</f>
        <v>896.25806451612914</v>
      </c>
      <c r="BI194" s="910">
        <f>BI193*30.2%</f>
        <v>89.625806451612888</v>
      </c>
      <c r="BJ194" s="910"/>
      <c r="BK194" s="910"/>
      <c r="BL194" s="910"/>
      <c r="BM194" s="910"/>
      <c r="BN194" s="436">
        <f>BN193*30.2%</f>
        <v>806.63225806451612</v>
      </c>
      <c r="BO194" s="436"/>
      <c r="BP194" s="436"/>
      <c r="BQ194" s="436"/>
      <c r="BR194" s="436"/>
      <c r="BS194" s="436"/>
      <c r="BT194" s="436"/>
    </row>
    <row r="195" spans="57:79" ht="8.25" hidden="1" customHeight="1" x14ac:dyDescent="0.2"/>
    <row r="196" spans="57:79" ht="8.25" hidden="1" customHeight="1" x14ac:dyDescent="0.2"/>
    <row r="197" spans="57:79" ht="12" hidden="1" x14ac:dyDescent="0.2"/>
    <row r="198" spans="57:79" ht="12" hidden="1" x14ac:dyDescent="0.2"/>
    <row r="199" spans="57:79" ht="12" hidden="1" x14ac:dyDescent="0.2">
      <c r="BE199" s="911" t="s">
        <v>336</v>
      </c>
      <c r="BF199" s="911"/>
      <c r="BG199" s="911"/>
      <c r="BH199" s="911"/>
      <c r="BI199" s="911"/>
      <c r="BJ199" s="911"/>
      <c r="BK199" s="911"/>
      <c r="BL199" s="911"/>
      <c r="BM199" s="911"/>
      <c r="BN199" s="911"/>
      <c r="BO199" s="911"/>
      <c r="BP199" s="911"/>
      <c r="BQ199" s="911"/>
      <c r="BR199" s="911"/>
      <c r="BS199" s="911"/>
      <c r="BT199" s="911"/>
      <c r="BU199" s="911"/>
      <c r="BV199" s="911"/>
      <c r="BW199" s="911"/>
      <c r="BX199" s="911"/>
      <c r="BY199" s="911"/>
      <c r="BZ199" s="911"/>
      <c r="CA199" s="911"/>
    </row>
    <row r="200" spans="57:79" ht="12" hidden="1" x14ac:dyDescent="0.2">
      <c r="BE200" s="909" t="s">
        <v>126</v>
      </c>
      <c r="BF200" s="909"/>
      <c r="BG200" s="909"/>
      <c r="BH200" s="912">
        <f>300*9</f>
        <v>2700</v>
      </c>
      <c r="BI200" s="912"/>
      <c r="BJ200" s="912"/>
      <c r="BK200" s="912"/>
      <c r="BL200" s="912"/>
      <c r="BM200" s="106" t="s">
        <v>127</v>
      </c>
      <c r="BN200" s="106"/>
      <c r="BO200" s="106"/>
      <c r="BP200" s="106"/>
      <c r="BQ200" s="106"/>
      <c r="BR200" s="106"/>
      <c r="BS200" s="106"/>
      <c r="BT200" s="106"/>
    </row>
    <row r="201" spans="57:79" ht="12" hidden="1" x14ac:dyDescent="0.2">
      <c r="BE201" s="913">
        <v>0.6</v>
      </c>
      <c r="BF201" s="909"/>
      <c r="BG201" s="909"/>
      <c r="BH201" s="87">
        <f>BH200*BE201</f>
        <v>1620</v>
      </c>
      <c r="BI201" s="914" t="s">
        <v>128</v>
      </c>
      <c r="BJ201" s="914"/>
      <c r="BK201" s="914"/>
      <c r="BL201" s="914"/>
      <c r="BM201" s="914"/>
      <c r="BN201" s="909" t="s">
        <v>129</v>
      </c>
      <c r="BO201" s="909"/>
      <c r="BP201" s="909"/>
      <c r="BQ201" s="909"/>
      <c r="BR201" s="909"/>
      <c r="BS201" s="909"/>
      <c r="BT201" s="909"/>
    </row>
    <row r="202" spans="57:79" ht="12" hidden="1" x14ac:dyDescent="0.2">
      <c r="BE202" s="909">
        <v>211</v>
      </c>
      <c r="BF202" s="909"/>
      <c r="BG202" s="909"/>
      <c r="BH202" s="87">
        <f>BH201-BH203</f>
        <v>1244.2396313364056</v>
      </c>
      <c r="BI202" s="910">
        <f>BH202*0.1</f>
        <v>124.42396313364057</v>
      </c>
      <c r="BJ202" s="910"/>
      <c r="BK202" s="910"/>
      <c r="BL202" s="910"/>
      <c r="BM202" s="910"/>
      <c r="BN202" s="436">
        <f>BH202-BI202</f>
        <v>1119.815668202765</v>
      </c>
      <c r="BO202" s="445"/>
      <c r="BP202" s="445"/>
      <c r="BQ202" s="445"/>
      <c r="BR202" s="445"/>
      <c r="BS202" s="445"/>
      <c r="BT202" s="445"/>
    </row>
    <row r="203" spans="57:79" ht="12" hidden="1" x14ac:dyDescent="0.2">
      <c r="BE203" s="909">
        <v>213</v>
      </c>
      <c r="BF203" s="909"/>
      <c r="BG203" s="909"/>
      <c r="BH203" s="87">
        <f>BH201*30.2/130.2</f>
        <v>375.76036866359448</v>
      </c>
      <c r="BI203" s="910">
        <f>BI202*30.2%</f>
        <v>37.576036866359452</v>
      </c>
      <c r="BJ203" s="910"/>
      <c r="BK203" s="910"/>
      <c r="BL203" s="910"/>
      <c r="BM203" s="910"/>
      <c r="BN203" s="436">
        <f>BN202*30.2%</f>
        <v>338.18433179723502</v>
      </c>
      <c r="BO203" s="436"/>
      <c r="BP203" s="436"/>
      <c r="BQ203" s="436"/>
      <c r="BR203" s="436"/>
      <c r="BS203" s="436"/>
      <c r="BT203" s="436"/>
    </row>
    <row r="204" spans="57:79" ht="8.25" hidden="1" customHeight="1" x14ac:dyDescent="0.2"/>
    <row r="205" spans="57:79" ht="8.25" hidden="1" customHeight="1" x14ac:dyDescent="0.2"/>
    <row r="206" spans="57:79" ht="8.25" hidden="1" customHeight="1" x14ac:dyDescent="0.2"/>
    <row r="207" spans="57:79" ht="12" hidden="1" x14ac:dyDescent="0.2">
      <c r="BE207" s="911" t="s">
        <v>352</v>
      </c>
      <c r="BF207" s="911"/>
      <c r="BG207" s="911"/>
      <c r="BH207" s="911"/>
      <c r="BI207" s="911"/>
      <c r="BJ207" s="911"/>
      <c r="BK207" s="911"/>
      <c r="BL207" s="911"/>
      <c r="BM207" s="911"/>
      <c r="BN207" s="911"/>
      <c r="BO207" s="911"/>
      <c r="BP207" s="911"/>
      <c r="BQ207" s="911"/>
      <c r="BR207" s="911"/>
      <c r="BS207" s="911"/>
      <c r="BT207" s="911"/>
      <c r="BU207" s="911"/>
      <c r="BV207" s="911"/>
      <c r="BW207" s="911"/>
      <c r="BX207" s="911"/>
      <c r="BY207" s="911"/>
      <c r="BZ207" s="911"/>
      <c r="CA207" s="911"/>
    </row>
    <row r="208" spans="57:79" ht="12" hidden="1" x14ac:dyDescent="0.2">
      <c r="BE208" s="909" t="s">
        <v>126</v>
      </c>
      <c r="BF208" s="909"/>
      <c r="BG208" s="909"/>
      <c r="BH208" s="912">
        <f>300*27</f>
        <v>8100</v>
      </c>
      <c r="BI208" s="912"/>
      <c r="BJ208" s="912"/>
      <c r="BK208" s="912"/>
      <c r="BL208" s="912"/>
      <c r="BM208" s="106" t="s">
        <v>127</v>
      </c>
      <c r="BN208" s="106"/>
      <c r="BO208" s="106"/>
      <c r="BP208" s="106"/>
      <c r="BQ208" s="106"/>
      <c r="BR208" s="106"/>
      <c r="BS208" s="106"/>
      <c r="BT208" s="106"/>
    </row>
    <row r="209" spans="57:79" ht="12" hidden="1" x14ac:dyDescent="0.2">
      <c r="BE209" s="913">
        <v>0.6</v>
      </c>
      <c r="BF209" s="909"/>
      <c r="BG209" s="909"/>
      <c r="BH209" s="87">
        <f>BH208*BE209</f>
        <v>4860</v>
      </c>
      <c r="BI209" s="914" t="s">
        <v>128</v>
      </c>
      <c r="BJ209" s="914"/>
      <c r="BK209" s="914"/>
      <c r="BL209" s="914"/>
      <c r="BM209" s="914"/>
      <c r="BN209" s="909" t="s">
        <v>129</v>
      </c>
      <c r="BO209" s="909"/>
      <c r="BP209" s="909"/>
      <c r="BQ209" s="909"/>
      <c r="BR209" s="909"/>
      <c r="BS209" s="909"/>
      <c r="BT209" s="909"/>
    </row>
    <row r="210" spans="57:79" ht="12" hidden="1" x14ac:dyDescent="0.2">
      <c r="BE210" s="909">
        <v>211</v>
      </c>
      <c r="BF210" s="909"/>
      <c r="BG210" s="909"/>
      <c r="BH210" s="87">
        <f>BH209-BH211</f>
        <v>3732.7188940092165</v>
      </c>
      <c r="BI210" s="910">
        <f>BH210*0.1</f>
        <v>373.27188940092168</v>
      </c>
      <c r="BJ210" s="910"/>
      <c r="BK210" s="910"/>
      <c r="BL210" s="910"/>
      <c r="BM210" s="910"/>
      <c r="BN210" s="436">
        <f>BH210-BI210</f>
        <v>3359.4470046082947</v>
      </c>
      <c r="BO210" s="445"/>
      <c r="BP210" s="445"/>
      <c r="BQ210" s="445"/>
      <c r="BR210" s="445"/>
      <c r="BS210" s="445"/>
      <c r="BT210" s="445"/>
    </row>
    <row r="211" spans="57:79" ht="12" hidden="1" x14ac:dyDescent="0.2">
      <c r="BE211" s="909">
        <v>213</v>
      </c>
      <c r="BF211" s="909"/>
      <c r="BG211" s="909"/>
      <c r="BH211" s="87">
        <f>BH209*30.2/130.2</f>
        <v>1127.2811059907835</v>
      </c>
      <c r="BI211" s="910">
        <f>BI210*30.2%</f>
        <v>112.72811059907835</v>
      </c>
      <c r="BJ211" s="910"/>
      <c r="BK211" s="910"/>
      <c r="BL211" s="910"/>
      <c r="BM211" s="910"/>
      <c r="BN211" s="436">
        <f>BN210*30.2%</f>
        <v>1014.5529953917049</v>
      </c>
      <c r="BO211" s="436"/>
      <c r="BP211" s="436"/>
      <c r="BQ211" s="436"/>
      <c r="BR211" s="436"/>
      <c r="BS211" s="436"/>
      <c r="BT211" s="436"/>
    </row>
    <row r="212" spans="57:79" ht="8.25" hidden="1" customHeight="1" x14ac:dyDescent="0.2"/>
    <row r="213" spans="57:79" ht="8.25" hidden="1" customHeight="1" x14ac:dyDescent="0.2"/>
    <row r="214" spans="57:79" ht="12" hidden="1" x14ac:dyDescent="0.2">
      <c r="BE214" s="911" t="s">
        <v>360</v>
      </c>
      <c r="BF214" s="911"/>
      <c r="BG214" s="911"/>
      <c r="BH214" s="911"/>
      <c r="BI214" s="911"/>
      <c r="BJ214" s="911"/>
      <c r="BK214" s="911"/>
      <c r="BL214" s="911"/>
      <c r="BM214" s="911"/>
      <c r="BN214" s="911"/>
      <c r="BO214" s="911"/>
      <c r="BP214" s="911"/>
      <c r="BQ214" s="911"/>
      <c r="BR214" s="911"/>
      <c r="BS214" s="911"/>
      <c r="BT214" s="911"/>
      <c r="BU214" s="911"/>
      <c r="BV214" s="911"/>
      <c r="BW214" s="911"/>
      <c r="BX214" s="911"/>
      <c r="BY214" s="911"/>
      <c r="BZ214" s="911"/>
      <c r="CA214" s="911"/>
    </row>
    <row r="215" spans="57:79" ht="12" hidden="1" x14ac:dyDescent="0.2">
      <c r="BE215" s="909" t="s">
        <v>126</v>
      </c>
      <c r="BF215" s="909"/>
      <c r="BG215" s="909"/>
      <c r="BH215" s="912">
        <f>300*7</f>
        <v>2100</v>
      </c>
      <c r="BI215" s="912"/>
      <c r="BJ215" s="912"/>
      <c r="BK215" s="912"/>
      <c r="BL215" s="912"/>
      <c r="BM215" s="106" t="s">
        <v>127</v>
      </c>
      <c r="BN215" s="106"/>
      <c r="BO215" s="106"/>
      <c r="BP215" s="106"/>
      <c r="BQ215" s="106"/>
      <c r="BR215" s="106"/>
      <c r="BS215" s="106"/>
      <c r="BT215" s="106"/>
    </row>
    <row r="216" spans="57:79" ht="12" hidden="1" x14ac:dyDescent="0.2">
      <c r="BE216" s="913">
        <v>0.6</v>
      </c>
      <c r="BF216" s="909"/>
      <c r="BG216" s="909"/>
      <c r="BH216" s="87">
        <f>BH215*BE216</f>
        <v>1260</v>
      </c>
      <c r="BI216" s="914" t="s">
        <v>128</v>
      </c>
      <c r="BJ216" s="914"/>
      <c r="BK216" s="914"/>
      <c r="BL216" s="914"/>
      <c r="BM216" s="914"/>
      <c r="BN216" s="909" t="s">
        <v>129</v>
      </c>
      <c r="BO216" s="909"/>
      <c r="BP216" s="909"/>
      <c r="BQ216" s="909"/>
      <c r="BR216" s="909"/>
      <c r="BS216" s="909"/>
      <c r="BT216" s="909"/>
    </row>
    <row r="217" spans="57:79" ht="12" hidden="1" x14ac:dyDescent="0.2">
      <c r="BE217" s="909">
        <v>211</v>
      </c>
      <c r="BF217" s="909"/>
      <c r="BG217" s="909"/>
      <c r="BH217" s="87">
        <f>BH216-BH218</f>
        <v>967.74193548387098</v>
      </c>
      <c r="BI217" s="910">
        <f>BH217*0.1</f>
        <v>96.774193548387103</v>
      </c>
      <c r="BJ217" s="910"/>
      <c r="BK217" s="910"/>
      <c r="BL217" s="910"/>
      <c r="BM217" s="910"/>
      <c r="BN217" s="436">
        <f>BH217-BI217</f>
        <v>870.9677419354839</v>
      </c>
      <c r="BO217" s="445"/>
      <c r="BP217" s="445"/>
      <c r="BQ217" s="445"/>
      <c r="BR217" s="445"/>
      <c r="BS217" s="445"/>
      <c r="BT217" s="445"/>
    </row>
    <row r="218" spans="57:79" ht="12" hidden="1" x14ac:dyDescent="0.2">
      <c r="BE218" s="909">
        <v>213</v>
      </c>
      <c r="BF218" s="909"/>
      <c r="BG218" s="909"/>
      <c r="BH218" s="87">
        <f>BH216*30.2/130.2</f>
        <v>292.25806451612908</v>
      </c>
      <c r="BI218" s="910">
        <f>BI217*30.2%</f>
        <v>29.225806451612904</v>
      </c>
      <c r="BJ218" s="910"/>
      <c r="BK218" s="910"/>
      <c r="BL218" s="910"/>
      <c r="BM218" s="910"/>
      <c r="BN218" s="436">
        <f>BN217*30.2%</f>
        <v>263.03225806451616</v>
      </c>
      <c r="BO218" s="436"/>
      <c r="BP218" s="436"/>
      <c r="BQ218" s="436"/>
      <c r="BR218" s="436"/>
      <c r="BS218" s="436"/>
      <c r="BT218" s="436"/>
    </row>
    <row r="219" spans="57:79" ht="8.25" hidden="1" customHeight="1" x14ac:dyDescent="0.2"/>
    <row r="220" spans="57:79" ht="8.25" hidden="1" customHeight="1" x14ac:dyDescent="0.2"/>
    <row r="221" spans="57:79" ht="8.25" hidden="1" customHeight="1" x14ac:dyDescent="0.2"/>
    <row r="222" spans="57:79" ht="8.25" hidden="1" customHeight="1" x14ac:dyDescent="0.2"/>
    <row r="223" spans="57:79" ht="12" hidden="1" x14ac:dyDescent="0.2">
      <c r="BE223" s="911" t="s">
        <v>403</v>
      </c>
      <c r="BF223" s="911"/>
      <c r="BG223" s="911"/>
      <c r="BH223" s="911"/>
      <c r="BI223" s="911"/>
      <c r="BJ223" s="911"/>
      <c r="BK223" s="911"/>
      <c r="BL223" s="911"/>
      <c r="BM223" s="911"/>
      <c r="BN223" s="911"/>
      <c r="BO223" s="911"/>
      <c r="BP223" s="911"/>
      <c r="BQ223" s="911"/>
      <c r="BR223" s="911"/>
      <c r="BS223" s="911"/>
      <c r="BT223" s="911"/>
      <c r="BU223" s="911"/>
      <c r="BV223" s="911"/>
      <c r="BW223" s="911"/>
      <c r="BX223" s="911"/>
      <c r="BY223" s="911"/>
      <c r="BZ223" s="911"/>
      <c r="CA223" s="911"/>
    </row>
    <row r="224" spans="57:79" ht="12" hidden="1" x14ac:dyDescent="0.2">
      <c r="BE224" s="909" t="s">
        <v>126</v>
      </c>
      <c r="BF224" s="909"/>
      <c r="BG224" s="909"/>
      <c r="BH224" s="912">
        <f>300*60</f>
        <v>18000</v>
      </c>
      <c r="BI224" s="912"/>
      <c r="BJ224" s="912"/>
      <c r="BK224" s="912"/>
      <c r="BL224" s="912"/>
      <c r="BM224" s="106" t="s">
        <v>127</v>
      </c>
      <c r="BN224" s="106"/>
      <c r="BO224" s="106"/>
      <c r="BP224" s="106"/>
      <c r="BQ224" s="106"/>
      <c r="BR224" s="106"/>
      <c r="BS224" s="106"/>
      <c r="BT224" s="106"/>
    </row>
    <row r="225" spans="57:94" ht="15" hidden="1" x14ac:dyDescent="0.25">
      <c r="BE225" s="913">
        <v>0.6</v>
      </c>
      <c r="BF225" s="909"/>
      <c r="BG225" s="909"/>
      <c r="BH225" s="87">
        <f>BH224*BE225</f>
        <v>10800</v>
      </c>
      <c r="BI225" s="914" t="s">
        <v>128</v>
      </c>
      <c r="BJ225" s="914"/>
      <c r="BK225" s="914"/>
      <c r="BL225" s="914"/>
      <c r="BM225" s="914"/>
      <c r="BN225" s="909" t="s">
        <v>129</v>
      </c>
      <c r="BO225" s="909"/>
      <c r="BP225" s="909"/>
      <c r="BQ225" s="909"/>
      <c r="BR225" s="909"/>
      <c r="BS225" s="909"/>
      <c r="BT225" s="909"/>
      <c r="CE225" s="432" t="s">
        <v>368</v>
      </c>
      <c r="CF225" s="443"/>
      <c r="CG225" s="443"/>
      <c r="CH225" s="443"/>
      <c r="CI225" s="117"/>
      <c r="CJ225" s="117"/>
      <c r="CK225" s="444" t="s">
        <v>366</v>
      </c>
      <c r="CL225" s="441"/>
      <c r="CM225" s="441"/>
      <c r="CN225" s="441"/>
      <c r="CO225" s="441"/>
      <c r="CP225" s="441"/>
    </row>
    <row r="226" spans="57:94" ht="15" hidden="1" x14ac:dyDescent="0.25">
      <c r="BE226" s="909">
        <v>211</v>
      </c>
      <c r="BF226" s="909"/>
      <c r="BG226" s="909"/>
      <c r="BH226" s="87">
        <f>BH225-BH227</f>
        <v>8294.9308755760358</v>
      </c>
      <c r="BI226" s="910">
        <f>BH226*0.2</f>
        <v>1658.9861751152073</v>
      </c>
      <c r="BJ226" s="910"/>
      <c r="BK226" s="910"/>
      <c r="BL226" s="910"/>
      <c r="BM226" s="910"/>
      <c r="BN226" s="436">
        <f>BH226-BI226</f>
        <v>6635.9447004608282</v>
      </c>
      <c r="BO226" s="445"/>
      <c r="BP226" s="445"/>
      <c r="BQ226" s="445"/>
      <c r="BR226" s="445"/>
      <c r="BS226" s="445"/>
      <c r="BT226" s="445"/>
      <c r="CE226" s="437">
        <f>BI226*15/20</f>
        <v>1244.2396313364056</v>
      </c>
      <c r="CF226" s="446"/>
      <c r="CG226" s="446"/>
      <c r="CH226" s="446"/>
      <c r="CI226" s="117"/>
      <c r="CJ226" s="117"/>
      <c r="CK226" s="437">
        <f>BI226*5/20</f>
        <v>414.74654377880177</v>
      </c>
      <c r="CL226" s="446"/>
      <c r="CM226" s="446"/>
      <c r="CN226" s="446"/>
      <c r="CO226" s="446"/>
      <c r="CP226" s="446"/>
    </row>
    <row r="227" spans="57:94" ht="12" hidden="1" x14ac:dyDescent="0.2">
      <c r="BE227" s="909">
        <v>213</v>
      </c>
      <c r="BF227" s="909"/>
      <c r="BG227" s="909"/>
      <c r="BH227" s="87">
        <f>BH225*30.2/130.2</f>
        <v>2505.0691244239633</v>
      </c>
      <c r="BI227" s="910">
        <f>BI226*30.2%</f>
        <v>501.0138248847926</v>
      </c>
      <c r="BJ227" s="910"/>
      <c r="BK227" s="910"/>
      <c r="BL227" s="910"/>
      <c r="BM227" s="910"/>
      <c r="BN227" s="436">
        <f>BN226*30.2%</f>
        <v>2004.0552995391702</v>
      </c>
      <c r="BO227" s="436"/>
      <c r="BP227" s="436"/>
      <c r="BQ227" s="436"/>
      <c r="BR227" s="436"/>
      <c r="BS227" s="436"/>
      <c r="BT227" s="436"/>
    </row>
    <row r="228" spans="57:94" ht="8.25" hidden="1" customHeight="1" x14ac:dyDescent="0.2"/>
    <row r="229" spans="57:94" ht="12" hidden="1" x14ac:dyDescent="0.2">
      <c r="CH229" s="243"/>
    </row>
    <row r="230" spans="57:94" ht="12" hidden="1" x14ac:dyDescent="0.2"/>
    <row r="231" spans="57:94" ht="12" hidden="1" x14ac:dyDescent="0.2">
      <c r="BE231" s="911" t="s">
        <v>404</v>
      </c>
      <c r="BF231" s="911"/>
      <c r="BG231" s="911"/>
      <c r="BH231" s="911"/>
      <c r="BI231" s="911"/>
      <c r="BJ231" s="911"/>
      <c r="BK231" s="911"/>
      <c r="BL231" s="911"/>
      <c r="BM231" s="911"/>
      <c r="BN231" s="911"/>
      <c r="BO231" s="911"/>
      <c r="BP231" s="911"/>
      <c r="BQ231" s="911"/>
      <c r="BR231" s="911"/>
      <c r="BS231" s="911"/>
      <c r="BT231" s="911"/>
      <c r="BU231" s="911"/>
      <c r="BV231" s="911"/>
      <c r="BW231" s="911"/>
      <c r="BX231" s="911"/>
      <c r="BY231" s="911"/>
      <c r="BZ231" s="911"/>
      <c r="CA231" s="911"/>
    </row>
    <row r="232" spans="57:94" ht="12" hidden="1" x14ac:dyDescent="0.2">
      <c r="BE232" s="909" t="s">
        <v>126</v>
      </c>
      <c r="BF232" s="909"/>
      <c r="BG232" s="909"/>
      <c r="BH232" s="912">
        <f>300*38</f>
        <v>11400</v>
      </c>
      <c r="BI232" s="912"/>
      <c r="BJ232" s="912"/>
      <c r="BK232" s="912"/>
      <c r="BL232" s="912"/>
      <c r="BM232" s="106" t="s">
        <v>127</v>
      </c>
      <c r="BN232" s="106"/>
      <c r="BO232" s="106"/>
      <c r="BP232" s="106"/>
      <c r="BQ232" s="106"/>
      <c r="BR232" s="106"/>
      <c r="BS232" s="106"/>
      <c r="BT232" s="106"/>
    </row>
    <row r="233" spans="57:94" ht="15" hidden="1" x14ac:dyDescent="0.25">
      <c r="BE233" s="913">
        <v>0.6</v>
      </c>
      <c r="BF233" s="909"/>
      <c r="BG233" s="909"/>
      <c r="BH233" s="87">
        <f>BH232*BE233</f>
        <v>6840</v>
      </c>
      <c r="BI233" s="914" t="s">
        <v>128</v>
      </c>
      <c r="BJ233" s="914"/>
      <c r="BK233" s="914"/>
      <c r="BL233" s="914"/>
      <c r="BM233" s="914"/>
      <c r="BN233" s="909" t="s">
        <v>129</v>
      </c>
      <c r="BO233" s="909"/>
      <c r="BP233" s="909"/>
      <c r="BQ233" s="909"/>
      <c r="BR233" s="909"/>
      <c r="BS233" s="909"/>
      <c r="BT233" s="909"/>
      <c r="CE233" s="432" t="s">
        <v>368</v>
      </c>
      <c r="CF233" s="443"/>
      <c r="CG233" s="443"/>
      <c r="CH233" s="443"/>
      <c r="CI233" s="117"/>
      <c r="CJ233" s="117"/>
      <c r="CK233" s="444" t="s">
        <v>366</v>
      </c>
      <c r="CL233" s="441"/>
      <c r="CM233" s="441"/>
      <c r="CN233" s="441"/>
      <c r="CO233" s="441"/>
      <c r="CP233" s="441"/>
    </row>
    <row r="234" spans="57:94" ht="15" hidden="1" x14ac:dyDescent="0.25">
      <c r="BE234" s="909">
        <v>211</v>
      </c>
      <c r="BF234" s="909"/>
      <c r="BG234" s="909"/>
      <c r="BH234" s="87">
        <f>BH233-BH235</f>
        <v>5253.4562211981565</v>
      </c>
      <c r="BI234" s="910">
        <f>BH234*0.2</f>
        <v>1050.6912442396313</v>
      </c>
      <c r="BJ234" s="910"/>
      <c r="BK234" s="910"/>
      <c r="BL234" s="910"/>
      <c r="BM234" s="910"/>
      <c r="BN234" s="436">
        <f>BH234-BI234</f>
        <v>4202.764976958525</v>
      </c>
      <c r="BO234" s="445"/>
      <c r="BP234" s="445"/>
      <c r="BQ234" s="445"/>
      <c r="BR234" s="445"/>
      <c r="BS234" s="445"/>
      <c r="BT234" s="445"/>
      <c r="CE234" s="437">
        <f>BI234*15/20</f>
        <v>788.01843317972339</v>
      </c>
      <c r="CF234" s="446"/>
      <c r="CG234" s="446"/>
      <c r="CH234" s="446"/>
      <c r="CI234" s="117"/>
      <c r="CJ234" s="117"/>
      <c r="CK234" s="437">
        <f>BI234*5/20</f>
        <v>262.67281105990781</v>
      </c>
      <c r="CL234" s="446"/>
      <c r="CM234" s="446"/>
      <c r="CN234" s="446"/>
      <c r="CO234" s="446"/>
      <c r="CP234" s="446"/>
    </row>
    <row r="235" spans="57:94" ht="12" hidden="1" x14ac:dyDescent="0.2">
      <c r="BE235" s="909">
        <v>213</v>
      </c>
      <c r="BF235" s="909"/>
      <c r="BG235" s="909"/>
      <c r="BH235" s="87">
        <f>BH233*30.2/130.2</f>
        <v>1586.5437788018435</v>
      </c>
      <c r="BI235" s="910">
        <f>BI234*30.2%</f>
        <v>317.30875576036863</v>
      </c>
      <c r="BJ235" s="910"/>
      <c r="BK235" s="910"/>
      <c r="BL235" s="910"/>
      <c r="BM235" s="910"/>
      <c r="BN235" s="436">
        <f>BN234*30.2%</f>
        <v>1269.2350230414745</v>
      </c>
      <c r="BO235" s="436"/>
      <c r="BP235" s="436"/>
      <c r="BQ235" s="436"/>
      <c r="BR235" s="436"/>
      <c r="BS235" s="436"/>
      <c r="BT235" s="436"/>
    </row>
    <row r="236" spans="57:94" ht="8.25" hidden="1" customHeight="1" x14ac:dyDescent="0.2"/>
    <row r="237" spans="57:94" ht="8.25" hidden="1" customHeight="1" x14ac:dyDescent="0.2"/>
    <row r="238" spans="57:94" ht="8.25" hidden="1" customHeight="1" x14ac:dyDescent="0.2"/>
    <row r="239" spans="57:94" ht="8.25" hidden="1" customHeight="1" x14ac:dyDescent="0.2"/>
    <row r="240" spans="57:94" ht="8.25" hidden="1" customHeight="1" x14ac:dyDescent="0.2"/>
    <row r="241" spans="57:94" ht="15" hidden="1" x14ac:dyDescent="0.25">
      <c r="BF241" s="253">
        <f>BI202+BI210+BI217+CK226+CK234</f>
        <v>1271.889400921659</v>
      </c>
    </row>
    <row r="242" spans="57:94" ht="8.25" hidden="1" customHeight="1" x14ac:dyDescent="0.2"/>
    <row r="243" spans="57:94" ht="8.25" hidden="1" customHeight="1" x14ac:dyDescent="0.2"/>
    <row r="244" spans="57:94" ht="12" hidden="1" x14ac:dyDescent="0.2">
      <c r="BE244" s="911" t="s">
        <v>415</v>
      </c>
      <c r="BF244" s="911"/>
      <c r="BG244" s="911"/>
      <c r="BH244" s="911"/>
      <c r="BI244" s="911"/>
      <c r="BJ244" s="911"/>
      <c r="BK244" s="911"/>
      <c r="BL244" s="911"/>
      <c r="BM244" s="911"/>
      <c r="BN244" s="911"/>
      <c r="BO244" s="911"/>
      <c r="BP244" s="911"/>
      <c r="BQ244" s="911"/>
      <c r="BR244" s="911"/>
      <c r="BS244" s="911"/>
      <c r="BT244" s="911"/>
      <c r="BU244" s="911"/>
      <c r="BV244" s="911"/>
      <c r="BW244" s="911"/>
      <c r="BX244" s="911"/>
      <c r="BY244" s="911"/>
      <c r="BZ244" s="911"/>
      <c r="CA244" s="911"/>
    </row>
    <row r="245" spans="57:94" ht="12" hidden="1" x14ac:dyDescent="0.2">
      <c r="BE245" s="909" t="s">
        <v>126</v>
      </c>
      <c r="BF245" s="909"/>
      <c r="BG245" s="909"/>
      <c r="BH245" s="912">
        <f>300*42</f>
        <v>12600</v>
      </c>
      <c r="BI245" s="912"/>
      <c r="BJ245" s="912"/>
      <c r="BK245" s="912"/>
      <c r="BL245" s="912"/>
      <c r="BM245" s="106" t="s">
        <v>127</v>
      </c>
      <c r="BN245" s="106"/>
      <c r="BO245" s="106"/>
      <c r="BP245" s="106"/>
      <c r="BQ245" s="106"/>
      <c r="BR245" s="106"/>
      <c r="BS245" s="106"/>
      <c r="BT245" s="106"/>
    </row>
    <row r="246" spans="57:94" ht="15" hidden="1" x14ac:dyDescent="0.25">
      <c r="BE246" s="913">
        <v>0.6</v>
      </c>
      <c r="BF246" s="909"/>
      <c r="BG246" s="909"/>
      <c r="BH246" s="87">
        <f>BH245*BE246</f>
        <v>7560</v>
      </c>
      <c r="BI246" s="914" t="s">
        <v>128</v>
      </c>
      <c r="BJ246" s="914"/>
      <c r="BK246" s="914"/>
      <c r="BL246" s="914"/>
      <c r="BM246" s="914"/>
      <c r="BN246" s="909" t="s">
        <v>129</v>
      </c>
      <c r="BO246" s="909"/>
      <c r="BP246" s="909"/>
      <c r="BQ246" s="909"/>
      <c r="BR246" s="909"/>
      <c r="BS246" s="909"/>
      <c r="BT246" s="909"/>
      <c r="CE246" s="432" t="s">
        <v>368</v>
      </c>
      <c r="CF246" s="443"/>
      <c r="CG246" s="443"/>
      <c r="CH246" s="443"/>
      <c r="CI246" s="117"/>
      <c r="CJ246" s="117"/>
      <c r="CK246" s="444" t="s">
        <v>366</v>
      </c>
      <c r="CL246" s="441"/>
      <c r="CM246" s="441"/>
      <c r="CN246" s="441"/>
      <c r="CO246" s="441"/>
      <c r="CP246" s="441"/>
    </row>
    <row r="247" spans="57:94" ht="15" hidden="1" x14ac:dyDescent="0.25">
      <c r="BE247" s="909">
        <v>211</v>
      </c>
      <c r="BF247" s="909"/>
      <c r="BG247" s="909"/>
      <c r="BH247" s="87">
        <f>BH246-BH248</f>
        <v>5806.4516129032254</v>
      </c>
      <c r="BI247" s="910">
        <f>BH247*0.2</f>
        <v>1161.2903225806451</v>
      </c>
      <c r="BJ247" s="910"/>
      <c r="BK247" s="910"/>
      <c r="BL247" s="910"/>
      <c r="BM247" s="910"/>
      <c r="BN247" s="436">
        <f>BH247-BI247</f>
        <v>4645.1612903225805</v>
      </c>
      <c r="BO247" s="445"/>
      <c r="BP247" s="445"/>
      <c r="BQ247" s="445"/>
      <c r="BR247" s="445"/>
      <c r="BS247" s="445"/>
      <c r="BT247" s="445"/>
      <c r="CE247" s="437">
        <f>BI247*15/20</f>
        <v>870.9677419354839</v>
      </c>
      <c r="CF247" s="446"/>
      <c r="CG247" s="446"/>
      <c r="CH247" s="446"/>
      <c r="CI247" s="117"/>
      <c r="CJ247" s="117"/>
      <c r="CK247" s="437">
        <f>BI247*5/20</f>
        <v>290.32258064516128</v>
      </c>
      <c r="CL247" s="446"/>
      <c r="CM247" s="446"/>
      <c r="CN247" s="446"/>
      <c r="CO247" s="446"/>
      <c r="CP247" s="446"/>
    </row>
    <row r="248" spans="57:94" ht="12" hidden="1" x14ac:dyDescent="0.2">
      <c r="BE248" s="909">
        <v>213</v>
      </c>
      <c r="BF248" s="909"/>
      <c r="BG248" s="909"/>
      <c r="BH248" s="87">
        <f>BH246*30.2/130.2</f>
        <v>1753.5483870967744</v>
      </c>
      <c r="BI248" s="910">
        <f>BI247*30.2%</f>
        <v>350.70967741935482</v>
      </c>
      <c r="BJ248" s="910"/>
      <c r="BK248" s="910"/>
      <c r="BL248" s="910"/>
      <c r="BM248" s="910"/>
      <c r="BN248" s="436">
        <f>BN247*30.2%</f>
        <v>1402.8387096774193</v>
      </c>
      <c r="BO248" s="436"/>
      <c r="BP248" s="436"/>
      <c r="BQ248" s="436"/>
      <c r="BR248" s="436"/>
      <c r="BS248" s="436"/>
      <c r="BT248" s="436"/>
    </row>
    <row r="249" spans="57:94" ht="8.25" hidden="1" customHeight="1" x14ac:dyDescent="0.2"/>
    <row r="250" spans="57:94" ht="8.25" hidden="1" customHeight="1" x14ac:dyDescent="0.2"/>
    <row r="251" spans="57:94" ht="8.25" hidden="1" customHeight="1" x14ac:dyDescent="0.2"/>
    <row r="252" spans="57:94" ht="12" hidden="1" x14ac:dyDescent="0.2">
      <c r="BE252" s="911" t="s">
        <v>447</v>
      </c>
      <c r="BF252" s="911"/>
      <c r="BG252" s="911"/>
      <c r="BH252" s="911"/>
      <c r="BI252" s="911"/>
      <c r="BJ252" s="911"/>
      <c r="BK252" s="911"/>
      <c r="BL252" s="911"/>
      <c r="BM252" s="911"/>
      <c r="BN252" s="911"/>
      <c r="BO252" s="911"/>
      <c r="BP252" s="911"/>
      <c r="BQ252" s="911"/>
      <c r="BR252" s="911"/>
      <c r="BS252" s="911"/>
      <c r="BT252" s="911"/>
      <c r="BU252" s="911"/>
      <c r="BV252" s="911"/>
      <c r="BW252" s="911"/>
      <c r="BX252" s="911"/>
      <c r="BY252" s="911"/>
      <c r="BZ252" s="911"/>
      <c r="CA252" s="911"/>
    </row>
    <row r="253" spans="57:94" ht="12" hidden="1" x14ac:dyDescent="0.2">
      <c r="BE253" s="909" t="s">
        <v>126</v>
      </c>
      <c r="BF253" s="909"/>
      <c r="BG253" s="909"/>
      <c r="BH253" s="912">
        <f>300*155</f>
        <v>46500</v>
      </c>
      <c r="BI253" s="912"/>
      <c r="BJ253" s="912"/>
      <c r="BK253" s="912"/>
      <c r="BL253" s="912"/>
      <c r="BM253" s="106" t="s">
        <v>127</v>
      </c>
      <c r="BN253" s="106"/>
      <c r="BO253" s="106"/>
      <c r="BP253" s="106"/>
      <c r="BQ253" s="106"/>
      <c r="BR253" s="106"/>
      <c r="BS253" s="106"/>
      <c r="BT253" s="106"/>
    </row>
    <row r="254" spans="57:94" ht="15" hidden="1" x14ac:dyDescent="0.25">
      <c r="BE254" s="913">
        <v>0.6</v>
      </c>
      <c r="BF254" s="909"/>
      <c r="BG254" s="909"/>
      <c r="BH254" s="87">
        <f>BH253*BE254</f>
        <v>27900</v>
      </c>
      <c r="BI254" s="914" t="s">
        <v>128</v>
      </c>
      <c r="BJ254" s="914"/>
      <c r="BK254" s="914"/>
      <c r="BL254" s="914"/>
      <c r="BM254" s="914"/>
      <c r="BN254" s="909" t="s">
        <v>129</v>
      </c>
      <c r="BO254" s="909"/>
      <c r="BP254" s="909"/>
      <c r="BQ254" s="909"/>
      <c r="BR254" s="909"/>
      <c r="BS254" s="909"/>
      <c r="BT254" s="909"/>
      <c r="CE254" s="432" t="s">
        <v>368</v>
      </c>
      <c r="CF254" s="443"/>
      <c r="CG254" s="443"/>
      <c r="CH254" s="443"/>
      <c r="CI254" s="117"/>
      <c r="CJ254" s="117"/>
      <c r="CK254" s="444" t="s">
        <v>366</v>
      </c>
      <c r="CL254" s="441"/>
      <c r="CM254" s="441"/>
      <c r="CN254" s="441"/>
      <c r="CO254" s="441"/>
      <c r="CP254" s="441"/>
    </row>
    <row r="255" spans="57:94" ht="15" hidden="1" x14ac:dyDescent="0.25">
      <c r="BE255" s="909">
        <v>211</v>
      </c>
      <c r="BF255" s="909"/>
      <c r="BG255" s="909"/>
      <c r="BH255" s="87">
        <f>BH254-BH256</f>
        <v>21428.571428571428</v>
      </c>
      <c r="BI255" s="910">
        <f>BH255*0.2</f>
        <v>4285.7142857142853</v>
      </c>
      <c r="BJ255" s="910"/>
      <c r="BK255" s="910"/>
      <c r="BL255" s="910"/>
      <c r="BM255" s="910"/>
      <c r="BN255" s="436">
        <f>BH255-BI255</f>
        <v>17142.857142857141</v>
      </c>
      <c r="BO255" s="445"/>
      <c r="BP255" s="445"/>
      <c r="BQ255" s="445"/>
      <c r="BR255" s="445"/>
      <c r="BS255" s="445"/>
      <c r="BT255" s="445"/>
      <c r="CE255" s="437">
        <f>BI255*15/20</f>
        <v>3214.2857142857142</v>
      </c>
      <c r="CF255" s="446"/>
      <c r="CG255" s="446"/>
      <c r="CH255" s="446"/>
      <c r="CI255" s="117"/>
      <c r="CJ255" s="117"/>
      <c r="CK255" s="437">
        <f>BI255*5/20</f>
        <v>1071.4285714285713</v>
      </c>
      <c r="CL255" s="446"/>
      <c r="CM255" s="446"/>
      <c r="CN255" s="446"/>
      <c r="CO255" s="446"/>
      <c r="CP255" s="446"/>
    </row>
    <row r="256" spans="57:94" ht="12" hidden="1" x14ac:dyDescent="0.2">
      <c r="BE256" s="909">
        <v>213</v>
      </c>
      <c r="BF256" s="909"/>
      <c r="BG256" s="909"/>
      <c r="BH256" s="87">
        <f>BH254*30.2/130.2</f>
        <v>6471.4285714285716</v>
      </c>
      <c r="BI256" s="910">
        <f>BI255*30.2%</f>
        <v>1294.2857142857142</v>
      </c>
      <c r="BJ256" s="910"/>
      <c r="BK256" s="910"/>
      <c r="BL256" s="910"/>
      <c r="BM256" s="910"/>
      <c r="BN256" s="436">
        <f>BN255*30.2%</f>
        <v>5177.1428571428569</v>
      </c>
      <c r="BO256" s="436"/>
      <c r="BP256" s="436"/>
      <c r="BQ256" s="436"/>
      <c r="BR256" s="436"/>
      <c r="BS256" s="436"/>
      <c r="BT256" s="436"/>
    </row>
    <row r="257" spans="57:94" ht="12" hidden="1" x14ac:dyDescent="0.2"/>
    <row r="258" spans="57:94" ht="8.25" hidden="1" customHeight="1" x14ac:dyDescent="0.2"/>
    <row r="259" spans="57:94" ht="12" hidden="1" x14ac:dyDescent="0.2">
      <c r="BE259" s="911" t="s">
        <v>452</v>
      </c>
      <c r="BF259" s="911"/>
      <c r="BG259" s="911"/>
      <c r="BH259" s="911"/>
      <c r="BI259" s="911"/>
      <c r="BJ259" s="911"/>
      <c r="BK259" s="911"/>
      <c r="BL259" s="911"/>
      <c r="BM259" s="911"/>
      <c r="BN259" s="911"/>
      <c r="BO259" s="911"/>
      <c r="BP259" s="911"/>
      <c r="BQ259" s="911"/>
      <c r="BR259" s="911"/>
      <c r="BS259" s="911"/>
      <c r="BT259" s="911"/>
      <c r="BU259" s="911"/>
      <c r="BV259" s="911"/>
      <c r="BW259" s="911"/>
      <c r="BX259" s="911"/>
      <c r="BY259" s="911"/>
      <c r="BZ259" s="911"/>
      <c r="CA259" s="911"/>
    </row>
    <row r="260" spans="57:94" ht="12" hidden="1" x14ac:dyDescent="0.2">
      <c r="BE260" s="909" t="s">
        <v>126</v>
      </c>
      <c r="BF260" s="909"/>
      <c r="BG260" s="909"/>
      <c r="BH260" s="912">
        <f>300*115</f>
        <v>34500</v>
      </c>
      <c r="BI260" s="912"/>
      <c r="BJ260" s="912"/>
      <c r="BK260" s="912"/>
      <c r="BL260" s="912"/>
      <c r="BM260" s="106" t="s">
        <v>127</v>
      </c>
      <c r="BN260" s="106"/>
      <c r="BO260" s="106"/>
      <c r="BP260" s="106"/>
      <c r="BQ260" s="106"/>
      <c r="BR260" s="106"/>
      <c r="BS260" s="106"/>
      <c r="BT260" s="106"/>
    </row>
    <row r="261" spans="57:94" ht="15" hidden="1" x14ac:dyDescent="0.25">
      <c r="BE261" s="913">
        <v>0.6</v>
      </c>
      <c r="BF261" s="909"/>
      <c r="BG261" s="909"/>
      <c r="BH261" s="87">
        <f>BH260*BE261</f>
        <v>20700</v>
      </c>
      <c r="BI261" s="914" t="s">
        <v>128</v>
      </c>
      <c r="BJ261" s="914"/>
      <c r="BK261" s="914"/>
      <c r="BL261" s="914"/>
      <c r="BM261" s="914"/>
      <c r="BN261" s="909" t="s">
        <v>129</v>
      </c>
      <c r="BO261" s="909"/>
      <c r="BP261" s="909"/>
      <c r="BQ261" s="909"/>
      <c r="BR261" s="909"/>
      <c r="BS261" s="909"/>
      <c r="BT261" s="909"/>
      <c r="CE261" s="432" t="s">
        <v>368</v>
      </c>
      <c r="CF261" s="443"/>
      <c r="CG261" s="443"/>
      <c r="CH261" s="443"/>
      <c r="CI261" s="117"/>
      <c r="CJ261" s="117"/>
      <c r="CK261" s="444" t="s">
        <v>366</v>
      </c>
      <c r="CL261" s="441"/>
      <c r="CM261" s="441"/>
      <c r="CN261" s="441"/>
      <c r="CO261" s="441"/>
      <c r="CP261" s="441"/>
    </row>
    <row r="262" spans="57:94" ht="15" hidden="1" x14ac:dyDescent="0.25">
      <c r="BE262" s="909">
        <v>211</v>
      </c>
      <c r="BF262" s="909"/>
      <c r="BG262" s="909"/>
      <c r="BH262" s="87">
        <f>BH261-BH263</f>
        <v>15898.617511520737</v>
      </c>
      <c r="BI262" s="910">
        <f>BH262*0.2</f>
        <v>3179.7235023041476</v>
      </c>
      <c r="BJ262" s="910"/>
      <c r="BK262" s="910"/>
      <c r="BL262" s="910"/>
      <c r="BM262" s="910"/>
      <c r="BN262" s="436">
        <f>BH262-BI262</f>
        <v>12718.89400921659</v>
      </c>
      <c r="BO262" s="445"/>
      <c r="BP262" s="445"/>
      <c r="BQ262" s="445"/>
      <c r="BR262" s="445"/>
      <c r="BS262" s="445"/>
      <c r="BT262" s="445"/>
      <c r="CE262" s="437">
        <f>BI262*15/20</f>
        <v>2384.7926267281105</v>
      </c>
      <c r="CF262" s="446"/>
      <c r="CG262" s="446"/>
      <c r="CH262" s="446"/>
      <c r="CI262" s="117"/>
      <c r="CJ262" s="117"/>
      <c r="CK262" s="437">
        <f>BI262*5/20</f>
        <v>794.9308755760369</v>
      </c>
      <c r="CL262" s="446"/>
      <c r="CM262" s="446"/>
      <c r="CN262" s="446"/>
      <c r="CO262" s="446"/>
      <c r="CP262" s="446"/>
    </row>
    <row r="263" spans="57:94" ht="12" hidden="1" x14ac:dyDescent="0.2">
      <c r="BE263" s="909">
        <v>213</v>
      </c>
      <c r="BF263" s="909"/>
      <c r="BG263" s="909"/>
      <c r="BH263" s="87">
        <f>BH261*30.2/130.2</f>
        <v>4801.382488479263</v>
      </c>
      <c r="BI263" s="910">
        <f>BI262*30.2%</f>
        <v>960.27649769585253</v>
      </c>
      <c r="BJ263" s="910"/>
      <c r="BK263" s="910"/>
      <c r="BL263" s="910"/>
      <c r="BM263" s="910"/>
      <c r="BN263" s="436">
        <f>BN262*30.2%</f>
        <v>3841.1059907834101</v>
      </c>
      <c r="BO263" s="436"/>
      <c r="BP263" s="436"/>
      <c r="BQ263" s="436"/>
      <c r="BR263" s="436"/>
      <c r="BS263" s="436"/>
      <c r="BT263" s="436"/>
    </row>
    <row r="264" spans="57:94" ht="8.25" hidden="1" customHeight="1" x14ac:dyDescent="0.2"/>
    <row r="265" spans="57:94" ht="12" hidden="1" x14ac:dyDescent="0.2"/>
    <row r="266" spans="57:94" ht="12" hidden="1" x14ac:dyDescent="0.2">
      <c r="BE266" s="911" t="s">
        <v>462</v>
      </c>
      <c r="BF266" s="911"/>
      <c r="BG266" s="911"/>
      <c r="BH266" s="911"/>
      <c r="BI266" s="911"/>
      <c r="BJ266" s="911"/>
      <c r="BK266" s="911"/>
      <c r="BL266" s="911"/>
      <c r="BM266" s="911"/>
      <c r="BN266" s="911"/>
      <c r="BO266" s="911"/>
      <c r="BP266" s="911"/>
      <c r="BQ266" s="911"/>
      <c r="BR266" s="911"/>
      <c r="BS266" s="911"/>
      <c r="BT266" s="911"/>
      <c r="BU266" s="911"/>
      <c r="BV266" s="911"/>
      <c r="BW266" s="911"/>
      <c r="BX266" s="911"/>
      <c r="BY266" s="911"/>
      <c r="BZ266" s="911"/>
      <c r="CA266" s="911"/>
    </row>
    <row r="267" spans="57:94" ht="12" hidden="1" x14ac:dyDescent="0.2">
      <c r="BE267" s="909" t="s">
        <v>126</v>
      </c>
      <c r="BF267" s="909"/>
      <c r="BG267" s="909"/>
      <c r="BH267" s="912">
        <f>300*142</f>
        <v>42600</v>
      </c>
      <c r="BI267" s="912"/>
      <c r="BJ267" s="912"/>
      <c r="BK267" s="912"/>
      <c r="BL267" s="912"/>
      <c r="BM267" s="106" t="s">
        <v>127</v>
      </c>
      <c r="BN267" s="106"/>
      <c r="BO267" s="106"/>
      <c r="BP267" s="106"/>
      <c r="BQ267" s="106"/>
      <c r="BR267" s="106"/>
      <c r="BS267" s="106"/>
      <c r="BT267" s="106"/>
    </row>
    <row r="268" spans="57:94" ht="15" hidden="1" x14ac:dyDescent="0.25">
      <c r="BE268" s="913">
        <v>0.6</v>
      </c>
      <c r="BF268" s="909"/>
      <c r="BG268" s="909"/>
      <c r="BH268" s="87">
        <f>BH267*BE268</f>
        <v>25560</v>
      </c>
      <c r="BI268" s="914" t="s">
        <v>128</v>
      </c>
      <c r="BJ268" s="914"/>
      <c r="BK268" s="914"/>
      <c r="BL268" s="914"/>
      <c r="BM268" s="914"/>
      <c r="BN268" s="909" t="s">
        <v>129</v>
      </c>
      <c r="BO268" s="909"/>
      <c r="BP268" s="909"/>
      <c r="BQ268" s="909"/>
      <c r="BR268" s="909"/>
      <c r="BS268" s="909"/>
      <c r="BT268" s="909"/>
      <c r="CE268" s="432" t="s">
        <v>368</v>
      </c>
      <c r="CF268" s="443"/>
      <c r="CG268" s="443"/>
      <c r="CH268" s="443"/>
      <c r="CI268" s="117"/>
      <c r="CJ268" s="117"/>
      <c r="CK268" s="444" t="s">
        <v>366</v>
      </c>
      <c r="CL268" s="441"/>
      <c r="CM268" s="441"/>
      <c r="CN268" s="441"/>
      <c r="CO268" s="441"/>
      <c r="CP268" s="441"/>
    </row>
    <row r="269" spans="57:94" ht="15" hidden="1" x14ac:dyDescent="0.25">
      <c r="BE269" s="909">
        <v>211</v>
      </c>
      <c r="BF269" s="909"/>
      <c r="BG269" s="909"/>
      <c r="BH269" s="87">
        <f>BH268-BH270</f>
        <v>19631.336405529953</v>
      </c>
      <c r="BI269" s="910">
        <f>BH269*0.2</f>
        <v>3926.2672811059911</v>
      </c>
      <c r="BJ269" s="910"/>
      <c r="BK269" s="910"/>
      <c r="BL269" s="910"/>
      <c r="BM269" s="910"/>
      <c r="BN269" s="436">
        <f>BH269-BI269</f>
        <v>15705.069124423962</v>
      </c>
      <c r="BO269" s="445"/>
      <c r="BP269" s="445"/>
      <c r="BQ269" s="445"/>
      <c r="BR269" s="445"/>
      <c r="BS269" s="445"/>
      <c r="BT269" s="445"/>
      <c r="CE269" s="437">
        <f>BI269*15/20</f>
        <v>2944.7004608294933</v>
      </c>
      <c r="CF269" s="446"/>
      <c r="CG269" s="446"/>
      <c r="CH269" s="446"/>
      <c r="CI269" s="117"/>
      <c r="CJ269" s="117"/>
      <c r="CK269" s="437">
        <f>BI269*5/20</f>
        <v>981.56682027649765</v>
      </c>
      <c r="CL269" s="446"/>
      <c r="CM269" s="446"/>
      <c r="CN269" s="446"/>
      <c r="CO269" s="446"/>
      <c r="CP269" s="446"/>
    </row>
    <row r="270" spans="57:94" ht="12" hidden="1" x14ac:dyDescent="0.2">
      <c r="BE270" s="909">
        <v>213</v>
      </c>
      <c r="BF270" s="909"/>
      <c r="BG270" s="909"/>
      <c r="BH270" s="87">
        <f>BH268*30.2/130.2</f>
        <v>5928.6635944700465</v>
      </c>
      <c r="BI270" s="910">
        <f>BI269*30.2%</f>
        <v>1185.7327188940092</v>
      </c>
      <c r="BJ270" s="910"/>
      <c r="BK270" s="910"/>
      <c r="BL270" s="910"/>
      <c r="BM270" s="910"/>
      <c r="BN270" s="436">
        <f>BN269*30.2%</f>
        <v>4742.9308755760367</v>
      </c>
      <c r="BO270" s="436"/>
      <c r="BP270" s="436"/>
      <c r="BQ270" s="436"/>
      <c r="BR270" s="436"/>
      <c r="BS270" s="436"/>
      <c r="BT270" s="436"/>
    </row>
    <row r="271" spans="57:94" ht="8.25" hidden="1" customHeight="1" x14ac:dyDescent="0.2"/>
    <row r="272" spans="57:94" ht="8.25" hidden="1" customHeight="1" x14ac:dyDescent="0.2"/>
    <row r="273" spans="57:94" ht="8.25" hidden="1" customHeight="1" x14ac:dyDescent="0.2"/>
    <row r="274" spans="57:94" ht="12" hidden="1" x14ac:dyDescent="0.2">
      <c r="BE274" s="911" t="s">
        <v>471</v>
      </c>
      <c r="BF274" s="911"/>
      <c r="BG274" s="911"/>
      <c r="BH274" s="911"/>
      <c r="BI274" s="911"/>
      <c r="BJ274" s="911"/>
      <c r="BK274" s="911"/>
      <c r="BL274" s="911"/>
      <c r="BM274" s="911"/>
      <c r="BN274" s="911"/>
      <c r="BO274" s="911"/>
      <c r="BP274" s="911"/>
      <c r="BQ274" s="911"/>
      <c r="BR274" s="911"/>
      <c r="BS274" s="911"/>
      <c r="BT274" s="911"/>
      <c r="BU274" s="911"/>
      <c r="BV274" s="911"/>
      <c r="BW274" s="911"/>
      <c r="BX274" s="911"/>
      <c r="BY274" s="911"/>
      <c r="BZ274" s="911"/>
      <c r="CA274" s="911"/>
    </row>
    <row r="275" spans="57:94" ht="12" hidden="1" x14ac:dyDescent="0.2">
      <c r="BE275" s="909" t="s">
        <v>126</v>
      </c>
      <c r="BF275" s="909"/>
      <c r="BG275" s="909"/>
      <c r="BH275" s="912">
        <f>300*62</f>
        <v>18600</v>
      </c>
      <c r="BI275" s="912"/>
      <c r="BJ275" s="912"/>
      <c r="BK275" s="912"/>
      <c r="BL275" s="912"/>
      <c r="BM275" s="106" t="s">
        <v>127</v>
      </c>
      <c r="BN275" s="106"/>
      <c r="BO275" s="106"/>
      <c r="BP275" s="106"/>
      <c r="BQ275" s="106"/>
      <c r="BR275" s="106"/>
      <c r="BS275" s="106"/>
      <c r="BT275" s="106"/>
    </row>
    <row r="276" spans="57:94" ht="15" hidden="1" x14ac:dyDescent="0.25">
      <c r="BE276" s="913">
        <v>0.6</v>
      </c>
      <c r="BF276" s="909"/>
      <c r="BG276" s="909"/>
      <c r="BH276" s="87">
        <f>BH275*BE276</f>
        <v>11160</v>
      </c>
      <c r="BI276" s="914" t="s">
        <v>128</v>
      </c>
      <c r="BJ276" s="914"/>
      <c r="BK276" s="914"/>
      <c r="BL276" s="914"/>
      <c r="BM276" s="914"/>
      <c r="BN276" s="909" t="s">
        <v>129</v>
      </c>
      <c r="BO276" s="909"/>
      <c r="BP276" s="909"/>
      <c r="BQ276" s="909"/>
      <c r="BR276" s="909"/>
      <c r="BS276" s="909"/>
      <c r="BT276" s="909"/>
      <c r="CE276" s="432" t="s">
        <v>368</v>
      </c>
      <c r="CF276" s="443"/>
      <c r="CG276" s="443"/>
      <c r="CH276" s="443"/>
      <c r="CI276" s="117"/>
      <c r="CJ276" s="117"/>
      <c r="CK276" s="444" t="s">
        <v>366</v>
      </c>
      <c r="CL276" s="441"/>
      <c r="CM276" s="441"/>
      <c r="CN276" s="441"/>
      <c r="CO276" s="441"/>
      <c r="CP276" s="441"/>
    </row>
    <row r="277" spans="57:94" ht="15" hidden="1" x14ac:dyDescent="0.25">
      <c r="BE277" s="909">
        <v>211</v>
      </c>
      <c r="BF277" s="909"/>
      <c r="BG277" s="909"/>
      <c r="BH277" s="87">
        <f>BH276-BH278</f>
        <v>8571.4285714285706</v>
      </c>
      <c r="BI277" s="910">
        <f>BH277*0.2</f>
        <v>1714.2857142857142</v>
      </c>
      <c r="BJ277" s="910"/>
      <c r="BK277" s="910"/>
      <c r="BL277" s="910"/>
      <c r="BM277" s="910"/>
      <c r="BN277" s="436">
        <f>BH277-BI277</f>
        <v>6857.1428571428569</v>
      </c>
      <c r="BO277" s="445"/>
      <c r="BP277" s="445"/>
      <c r="BQ277" s="445"/>
      <c r="BR277" s="445"/>
      <c r="BS277" s="445"/>
      <c r="BT277" s="445"/>
      <c r="CE277" s="437">
        <f>BI277*15/20</f>
        <v>1285.7142857142858</v>
      </c>
      <c r="CF277" s="446"/>
      <c r="CG277" s="446"/>
      <c r="CH277" s="446"/>
      <c r="CI277" s="117"/>
      <c r="CJ277" s="117"/>
      <c r="CK277" s="437">
        <f>BI277*5/20</f>
        <v>428.57142857142856</v>
      </c>
      <c r="CL277" s="446"/>
      <c r="CM277" s="446"/>
      <c r="CN277" s="446"/>
      <c r="CO277" s="446"/>
      <c r="CP277" s="446"/>
    </row>
    <row r="278" spans="57:94" ht="12" hidden="1" x14ac:dyDescent="0.2">
      <c r="BE278" s="909">
        <v>213</v>
      </c>
      <c r="BF278" s="909"/>
      <c r="BG278" s="909"/>
      <c r="BH278" s="87">
        <f>BH276*30.2/130.2</f>
        <v>2588.5714285714289</v>
      </c>
      <c r="BI278" s="910">
        <f>BI277*30.2%</f>
        <v>517.71428571428567</v>
      </c>
      <c r="BJ278" s="910"/>
      <c r="BK278" s="910"/>
      <c r="BL278" s="910"/>
      <c r="BM278" s="910"/>
      <c r="BN278" s="436">
        <f>BN277*30.2%</f>
        <v>2070.8571428571427</v>
      </c>
      <c r="BO278" s="436"/>
      <c r="BP278" s="436"/>
      <c r="BQ278" s="436"/>
      <c r="BR278" s="436"/>
      <c r="BS278" s="436"/>
      <c r="BT278" s="436"/>
    </row>
    <row r="279" spans="57:94" ht="12" hidden="1" x14ac:dyDescent="0.2"/>
    <row r="280" spans="57:94" ht="8.25" hidden="1" customHeight="1" x14ac:dyDescent="0.2"/>
    <row r="281" spans="57:94" ht="12" hidden="1" x14ac:dyDescent="0.2">
      <c r="BE281" s="911" t="s">
        <v>486</v>
      </c>
      <c r="BF281" s="911"/>
      <c r="BG281" s="911"/>
      <c r="BH281" s="911"/>
      <c r="BI281" s="911"/>
      <c r="BJ281" s="911"/>
      <c r="BK281" s="911"/>
      <c r="BL281" s="911"/>
      <c r="BM281" s="911"/>
      <c r="BN281" s="911"/>
      <c r="BO281" s="911"/>
      <c r="BP281" s="911"/>
      <c r="BQ281" s="911"/>
      <c r="BR281" s="911"/>
      <c r="BS281" s="911"/>
      <c r="BT281" s="911"/>
      <c r="BU281" s="911"/>
      <c r="BV281" s="911"/>
      <c r="BW281" s="911"/>
      <c r="BX281" s="911"/>
      <c r="BY281" s="911"/>
      <c r="BZ281" s="911"/>
      <c r="CA281" s="911"/>
    </row>
    <row r="282" spans="57:94" ht="12" hidden="1" x14ac:dyDescent="0.2">
      <c r="BE282" s="909" t="s">
        <v>126</v>
      </c>
      <c r="BF282" s="909"/>
      <c r="BG282" s="909"/>
      <c r="BH282" s="912">
        <f>300*107</f>
        <v>32100</v>
      </c>
      <c r="BI282" s="912"/>
      <c r="BJ282" s="912"/>
      <c r="BK282" s="912"/>
      <c r="BL282" s="912"/>
      <c r="BM282" s="106" t="s">
        <v>127</v>
      </c>
      <c r="BN282" s="106"/>
      <c r="BO282" s="106"/>
      <c r="BP282" s="106"/>
      <c r="BQ282" s="106"/>
      <c r="BR282" s="106"/>
      <c r="BS282" s="106"/>
      <c r="BT282" s="106"/>
    </row>
    <row r="283" spans="57:94" ht="15" hidden="1" x14ac:dyDescent="0.25">
      <c r="BE283" s="913">
        <v>0.6</v>
      </c>
      <c r="BF283" s="909"/>
      <c r="BG283" s="909"/>
      <c r="BH283" s="87">
        <f>BH282*BE283</f>
        <v>19260</v>
      </c>
      <c r="BI283" s="914" t="s">
        <v>128</v>
      </c>
      <c r="BJ283" s="914"/>
      <c r="BK283" s="914"/>
      <c r="BL283" s="914"/>
      <c r="BM283" s="914"/>
      <c r="BN283" s="909" t="s">
        <v>129</v>
      </c>
      <c r="BO283" s="909"/>
      <c r="BP283" s="909"/>
      <c r="BQ283" s="909"/>
      <c r="BR283" s="909"/>
      <c r="BS283" s="909"/>
      <c r="BT283" s="909"/>
      <c r="CE283" s="432" t="s">
        <v>368</v>
      </c>
      <c r="CF283" s="443"/>
      <c r="CG283" s="443"/>
      <c r="CH283" s="443"/>
      <c r="CI283" s="117"/>
      <c r="CJ283" s="117"/>
      <c r="CK283" s="444" t="s">
        <v>366</v>
      </c>
      <c r="CL283" s="441"/>
      <c r="CM283" s="441"/>
      <c r="CN283" s="441"/>
      <c r="CO283" s="441"/>
      <c r="CP283" s="441"/>
    </row>
    <row r="284" spans="57:94" ht="15" hidden="1" x14ac:dyDescent="0.25">
      <c r="BE284" s="909">
        <v>211</v>
      </c>
      <c r="BF284" s="909"/>
      <c r="BG284" s="909"/>
      <c r="BH284" s="87">
        <f>BH283-BH285</f>
        <v>14792.626728110597</v>
      </c>
      <c r="BI284" s="910">
        <f>BH284*0.2</f>
        <v>2958.5253456221199</v>
      </c>
      <c r="BJ284" s="910"/>
      <c r="BK284" s="910"/>
      <c r="BL284" s="910"/>
      <c r="BM284" s="910"/>
      <c r="BN284" s="436">
        <f>BH284-BI284</f>
        <v>11834.101382488478</v>
      </c>
      <c r="BO284" s="445"/>
      <c r="BP284" s="445"/>
      <c r="BQ284" s="445"/>
      <c r="BR284" s="445"/>
      <c r="BS284" s="445"/>
      <c r="BT284" s="445"/>
      <c r="CE284" s="437">
        <f>BI284*15/20</f>
        <v>2218.8940092165899</v>
      </c>
      <c r="CF284" s="446"/>
      <c r="CG284" s="446"/>
      <c r="CH284" s="446"/>
      <c r="CI284" s="117"/>
      <c r="CJ284" s="117"/>
      <c r="CK284" s="437">
        <f>BI284*5/20</f>
        <v>739.63133640552996</v>
      </c>
      <c r="CL284" s="446"/>
      <c r="CM284" s="446"/>
      <c r="CN284" s="446"/>
      <c r="CO284" s="446"/>
      <c r="CP284" s="446"/>
    </row>
    <row r="285" spans="57:94" ht="12" hidden="1" x14ac:dyDescent="0.2">
      <c r="BE285" s="909">
        <v>213</v>
      </c>
      <c r="BF285" s="909"/>
      <c r="BG285" s="909"/>
      <c r="BH285" s="87">
        <f>BH283*30.2/130.2</f>
        <v>4467.3732718894016</v>
      </c>
      <c r="BI285" s="910">
        <f>BI284*30.2%</f>
        <v>893.47465437788014</v>
      </c>
      <c r="BJ285" s="910"/>
      <c r="BK285" s="910"/>
      <c r="BL285" s="910"/>
      <c r="BM285" s="910"/>
      <c r="BN285" s="436">
        <f>BN284*30.2%</f>
        <v>3573.8986175115201</v>
      </c>
      <c r="BO285" s="436"/>
      <c r="BP285" s="436"/>
      <c r="BQ285" s="436"/>
      <c r="BR285" s="436"/>
      <c r="BS285" s="436"/>
      <c r="BT285" s="436"/>
    </row>
    <row r="286" spans="57:94" ht="8.25" hidden="1" customHeight="1" x14ac:dyDescent="0.2"/>
    <row r="287" spans="57:94" ht="8.25" hidden="1" customHeight="1" x14ac:dyDescent="0.2"/>
    <row r="288" spans="57:94" ht="8.25" hidden="1" customHeight="1" x14ac:dyDescent="0.2"/>
    <row r="289" spans="57:94" ht="12" hidden="1" x14ac:dyDescent="0.2">
      <c r="BE289" s="911" t="s">
        <v>494</v>
      </c>
      <c r="BF289" s="911"/>
      <c r="BG289" s="911"/>
      <c r="BH289" s="911"/>
      <c r="BI289" s="911"/>
      <c r="BJ289" s="911"/>
      <c r="BK289" s="911"/>
      <c r="BL289" s="911"/>
      <c r="BM289" s="911"/>
      <c r="BN289" s="911"/>
      <c r="BO289" s="911"/>
      <c r="BP289" s="911"/>
      <c r="BQ289" s="911"/>
      <c r="BR289" s="911"/>
      <c r="BS289" s="911"/>
      <c r="BT289" s="911"/>
      <c r="BU289" s="911"/>
      <c r="BV289" s="911"/>
      <c r="BW289" s="911"/>
      <c r="BX289" s="911"/>
      <c r="BY289" s="911"/>
      <c r="BZ289" s="911"/>
      <c r="CA289" s="911"/>
    </row>
    <row r="290" spans="57:94" ht="12" hidden="1" x14ac:dyDescent="0.2">
      <c r="BE290" s="909" t="s">
        <v>126</v>
      </c>
      <c r="BF290" s="909"/>
      <c r="BG290" s="909"/>
      <c r="BH290" s="912">
        <f>300*101</f>
        <v>30300</v>
      </c>
      <c r="BI290" s="912"/>
      <c r="BJ290" s="912"/>
      <c r="BK290" s="912"/>
      <c r="BL290" s="912"/>
      <c r="BM290" s="106" t="s">
        <v>127</v>
      </c>
      <c r="BN290" s="106"/>
      <c r="BO290" s="106"/>
      <c r="BP290" s="106"/>
      <c r="BQ290" s="106"/>
      <c r="BR290" s="106"/>
      <c r="BS290" s="106"/>
      <c r="BT290" s="106"/>
    </row>
    <row r="291" spans="57:94" ht="15" hidden="1" x14ac:dyDescent="0.25">
      <c r="BE291" s="913">
        <v>0.6</v>
      </c>
      <c r="BF291" s="909"/>
      <c r="BG291" s="909"/>
      <c r="BH291" s="87">
        <f>BH290*BE291</f>
        <v>18180</v>
      </c>
      <c r="BI291" s="914" t="s">
        <v>128</v>
      </c>
      <c r="BJ291" s="914"/>
      <c r="BK291" s="914"/>
      <c r="BL291" s="914"/>
      <c r="BM291" s="914"/>
      <c r="BN291" s="909" t="s">
        <v>129</v>
      </c>
      <c r="BO291" s="909"/>
      <c r="BP291" s="909"/>
      <c r="BQ291" s="909"/>
      <c r="BR291" s="909"/>
      <c r="BS291" s="909"/>
      <c r="BT291" s="909"/>
      <c r="CE291" s="432" t="s">
        <v>368</v>
      </c>
      <c r="CF291" s="443"/>
      <c r="CG291" s="443"/>
      <c r="CH291" s="443"/>
      <c r="CI291" s="117"/>
      <c r="CJ291" s="117"/>
      <c r="CK291" s="444" t="s">
        <v>366</v>
      </c>
      <c r="CL291" s="441"/>
      <c r="CM291" s="441"/>
      <c r="CN291" s="441"/>
      <c r="CO291" s="441"/>
      <c r="CP291" s="441"/>
    </row>
    <row r="292" spans="57:94" ht="15" hidden="1" x14ac:dyDescent="0.25">
      <c r="BE292" s="909">
        <v>211</v>
      </c>
      <c r="BF292" s="909"/>
      <c r="BG292" s="909"/>
      <c r="BH292" s="87">
        <f>BH291-BH293</f>
        <v>13963.133640552995</v>
      </c>
      <c r="BI292" s="910">
        <f>BH292*0.2</f>
        <v>2792.6267281105993</v>
      </c>
      <c r="BJ292" s="910"/>
      <c r="BK292" s="910"/>
      <c r="BL292" s="910"/>
      <c r="BM292" s="910"/>
      <c r="BN292" s="436">
        <f>BH292-BI292</f>
        <v>11170.506912442395</v>
      </c>
      <c r="BO292" s="445"/>
      <c r="BP292" s="445"/>
      <c r="BQ292" s="445"/>
      <c r="BR292" s="445"/>
      <c r="BS292" s="445"/>
      <c r="BT292" s="445"/>
      <c r="CE292" s="437">
        <f>BI292*15/20</f>
        <v>2094.4700460829495</v>
      </c>
      <c r="CF292" s="446"/>
      <c r="CG292" s="446"/>
      <c r="CH292" s="446"/>
      <c r="CI292" s="117"/>
      <c r="CJ292" s="117"/>
      <c r="CK292" s="437">
        <f>BI292*5/20</f>
        <v>698.15668202764982</v>
      </c>
      <c r="CL292" s="446"/>
      <c r="CM292" s="446"/>
      <c r="CN292" s="446"/>
      <c r="CO292" s="446"/>
      <c r="CP292" s="446"/>
    </row>
    <row r="293" spans="57:94" ht="12" hidden="1" x14ac:dyDescent="0.2">
      <c r="BE293" s="909">
        <v>213</v>
      </c>
      <c r="BF293" s="909"/>
      <c r="BG293" s="909"/>
      <c r="BH293" s="87">
        <f>BH291*30.2/130.2</f>
        <v>4216.8663594470054</v>
      </c>
      <c r="BI293" s="910">
        <f>BI292*30.2%</f>
        <v>843.37327188940094</v>
      </c>
      <c r="BJ293" s="910"/>
      <c r="BK293" s="910"/>
      <c r="BL293" s="910"/>
      <c r="BM293" s="910"/>
      <c r="BN293" s="436">
        <f>BN292*30.2%</f>
        <v>3373.4930875576033</v>
      </c>
      <c r="BO293" s="436"/>
      <c r="BP293" s="436"/>
      <c r="BQ293" s="436"/>
      <c r="BR293" s="436"/>
      <c r="BS293" s="436"/>
      <c r="BT293" s="436"/>
    </row>
    <row r="294" spans="57:94" ht="8.25" hidden="1" customHeight="1" x14ac:dyDescent="0.2"/>
    <row r="295" spans="57:94" ht="8.25" hidden="1" customHeight="1" x14ac:dyDescent="0.2"/>
    <row r="296" spans="57:94" ht="8.25" hidden="1" customHeight="1" x14ac:dyDescent="0.2"/>
    <row r="297" spans="57:94" ht="8.25" hidden="1" customHeight="1" x14ac:dyDescent="0.2"/>
    <row r="298" spans="57:94" ht="12" hidden="1" x14ac:dyDescent="0.2">
      <c r="BE298" s="911" t="s">
        <v>500</v>
      </c>
      <c r="BF298" s="911"/>
      <c r="BG298" s="911"/>
      <c r="BH298" s="911"/>
      <c r="BI298" s="911"/>
      <c r="BJ298" s="911"/>
      <c r="BK298" s="911"/>
      <c r="BL298" s="911"/>
      <c r="BM298" s="911"/>
      <c r="BN298" s="911"/>
      <c r="BO298" s="911"/>
      <c r="BP298" s="911"/>
      <c r="BQ298" s="911"/>
      <c r="BR298" s="911"/>
      <c r="BS298" s="911"/>
      <c r="BT298" s="911"/>
      <c r="BU298" s="911"/>
      <c r="BV298" s="911"/>
      <c r="BW298" s="911"/>
      <c r="BX298" s="911"/>
      <c r="BY298" s="911"/>
      <c r="BZ298" s="911"/>
      <c r="CA298" s="911"/>
    </row>
    <row r="299" spans="57:94" ht="12" hidden="1" x14ac:dyDescent="0.2">
      <c r="BE299" s="909" t="s">
        <v>126</v>
      </c>
      <c r="BF299" s="909"/>
      <c r="BG299" s="909"/>
      <c r="BH299" s="912">
        <f>300*121</f>
        <v>36300</v>
      </c>
      <c r="BI299" s="912"/>
      <c r="BJ299" s="912"/>
      <c r="BK299" s="912"/>
      <c r="BL299" s="912"/>
      <c r="BM299" s="106" t="s">
        <v>127</v>
      </c>
      <c r="BN299" s="106"/>
      <c r="BO299" s="106"/>
      <c r="BP299" s="106"/>
      <c r="BQ299" s="106"/>
      <c r="BR299" s="106"/>
      <c r="BS299" s="106"/>
      <c r="BT299" s="106"/>
    </row>
    <row r="300" spans="57:94" ht="15" hidden="1" x14ac:dyDescent="0.25">
      <c r="BE300" s="913">
        <v>0.6</v>
      </c>
      <c r="BF300" s="909"/>
      <c r="BG300" s="909"/>
      <c r="BH300" s="87">
        <f>BH299*BE300</f>
        <v>21780</v>
      </c>
      <c r="BI300" s="914" t="s">
        <v>128</v>
      </c>
      <c r="BJ300" s="914"/>
      <c r="BK300" s="914"/>
      <c r="BL300" s="914"/>
      <c r="BM300" s="914"/>
      <c r="BN300" s="909" t="s">
        <v>129</v>
      </c>
      <c r="BO300" s="909"/>
      <c r="BP300" s="909"/>
      <c r="BQ300" s="909"/>
      <c r="BR300" s="909"/>
      <c r="BS300" s="909"/>
      <c r="BT300" s="909"/>
      <c r="CE300" s="432" t="s">
        <v>368</v>
      </c>
      <c r="CF300" s="443"/>
      <c r="CG300" s="443"/>
      <c r="CH300" s="443"/>
      <c r="CI300" s="117"/>
      <c r="CJ300" s="117"/>
      <c r="CK300" s="444" t="s">
        <v>366</v>
      </c>
      <c r="CL300" s="441"/>
      <c r="CM300" s="441"/>
      <c r="CN300" s="441"/>
      <c r="CO300" s="441"/>
      <c r="CP300" s="441"/>
    </row>
    <row r="301" spans="57:94" ht="15" hidden="1" x14ac:dyDescent="0.25">
      <c r="BE301" s="909">
        <v>211</v>
      </c>
      <c r="BF301" s="909"/>
      <c r="BG301" s="909"/>
      <c r="BH301" s="87">
        <f>BH300-BH302</f>
        <v>16728.11059907834</v>
      </c>
      <c r="BI301" s="910">
        <f>BH301*0.2</f>
        <v>3345.6221198156682</v>
      </c>
      <c r="BJ301" s="910"/>
      <c r="BK301" s="910"/>
      <c r="BL301" s="910"/>
      <c r="BM301" s="910"/>
      <c r="BN301" s="436">
        <f>BH301-BI301</f>
        <v>13382.488479262673</v>
      </c>
      <c r="BO301" s="445"/>
      <c r="BP301" s="445"/>
      <c r="BQ301" s="445"/>
      <c r="BR301" s="445"/>
      <c r="BS301" s="445"/>
      <c r="BT301" s="445"/>
      <c r="CE301" s="437">
        <f>BI301*15/20</f>
        <v>2509.2165898617509</v>
      </c>
      <c r="CF301" s="446"/>
      <c r="CG301" s="446"/>
      <c r="CH301" s="446"/>
      <c r="CI301" s="117"/>
      <c r="CJ301" s="117"/>
      <c r="CK301" s="437">
        <f>BI301*5/20</f>
        <v>836.40552995391704</v>
      </c>
      <c r="CL301" s="446"/>
      <c r="CM301" s="446"/>
      <c r="CN301" s="446"/>
      <c r="CO301" s="446"/>
      <c r="CP301" s="446"/>
    </row>
    <row r="302" spans="57:94" ht="12" hidden="1" x14ac:dyDescent="0.2">
      <c r="BE302" s="909">
        <v>213</v>
      </c>
      <c r="BF302" s="909"/>
      <c r="BG302" s="909"/>
      <c r="BH302" s="87">
        <f>BH300*30.2/130.2</f>
        <v>5051.8894009216592</v>
      </c>
      <c r="BI302" s="910">
        <f>BI301*30.2%</f>
        <v>1010.3778801843317</v>
      </c>
      <c r="BJ302" s="910"/>
      <c r="BK302" s="910"/>
      <c r="BL302" s="910"/>
      <c r="BM302" s="910"/>
      <c r="BN302" s="436">
        <f>BN301*30.2%</f>
        <v>4041.5115207373269</v>
      </c>
      <c r="BO302" s="436"/>
      <c r="BP302" s="436"/>
      <c r="BQ302" s="436"/>
      <c r="BR302" s="436"/>
      <c r="BS302" s="436"/>
      <c r="BT302" s="436"/>
    </row>
    <row r="303" spans="57:94" ht="12" hidden="1" x14ac:dyDescent="0.2"/>
    <row r="304" spans="57:94" ht="8.25" hidden="1" customHeight="1" x14ac:dyDescent="0.2"/>
    <row r="305" spans="57:94" ht="12" hidden="1" x14ac:dyDescent="0.2">
      <c r="BE305" s="911" t="s">
        <v>540</v>
      </c>
      <c r="BF305" s="911"/>
      <c r="BG305" s="911"/>
      <c r="BH305" s="911"/>
      <c r="BI305" s="911"/>
      <c r="BJ305" s="911"/>
      <c r="BK305" s="911"/>
      <c r="BL305" s="911"/>
      <c r="BM305" s="911"/>
      <c r="BN305" s="911"/>
      <c r="BO305" s="911"/>
      <c r="BP305" s="911"/>
      <c r="BQ305" s="911"/>
      <c r="BR305" s="911"/>
      <c r="BS305" s="911"/>
      <c r="BT305" s="911"/>
      <c r="BU305" s="911"/>
      <c r="BV305" s="911"/>
      <c r="BW305" s="911"/>
      <c r="BX305" s="911"/>
      <c r="BY305" s="911"/>
      <c r="BZ305" s="911"/>
      <c r="CA305" s="911"/>
    </row>
    <row r="306" spans="57:94" ht="12" hidden="1" x14ac:dyDescent="0.2">
      <c r="BE306" s="909" t="s">
        <v>126</v>
      </c>
      <c r="BF306" s="909"/>
      <c r="BG306" s="909"/>
      <c r="BH306" s="912">
        <f>300*22</f>
        <v>6600</v>
      </c>
      <c r="BI306" s="912"/>
      <c r="BJ306" s="912"/>
      <c r="BK306" s="912"/>
      <c r="BL306" s="912"/>
      <c r="BM306" s="106" t="s">
        <v>127</v>
      </c>
      <c r="BN306" s="106"/>
      <c r="BO306" s="106"/>
      <c r="BP306" s="106"/>
      <c r="BQ306" s="106"/>
      <c r="BR306" s="106"/>
      <c r="BS306" s="106"/>
      <c r="BT306" s="106"/>
    </row>
    <row r="307" spans="57:94" ht="15" hidden="1" x14ac:dyDescent="0.25">
      <c r="BE307" s="913">
        <v>0.6</v>
      </c>
      <c r="BF307" s="909"/>
      <c r="BG307" s="909"/>
      <c r="BH307" s="87">
        <f>BH306*BE307</f>
        <v>3960</v>
      </c>
      <c r="BI307" s="914" t="s">
        <v>128</v>
      </c>
      <c r="BJ307" s="914"/>
      <c r="BK307" s="914"/>
      <c r="BL307" s="914"/>
      <c r="BM307" s="914"/>
      <c r="BN307" s="909" t="s">
        <v>129</v>
      </c>
      <c r="BO307" s="909"/>
      <c r="BP307" s="909"/>
      <c r="BQ307" s="909"/>
      <c r="BR307" s="909"/>
      <c r="BS307" s="909"/>
      <c r="BT307" s="909"/>
      <c r="CE307" s="432" t="s">
        <v>368</v>
      </c>
      <c r="CF307" s="443"/>
      <c r="CG307" s="443"/>
      <c r="CH307" s="443"/>
      <c r="CI307" s="117"/>
      <c r="CJ307" s="117"/>
      <c r="CK307" s="444" t="s">
        <v>366</v>
      </c>
      <c r="CL307" s="441"/>
      <c r="CM307" s="441"/>
      <c r="CN307" s="441"/>
      <c r="CO307" s="441"/>
      <c r="CP307" s="441"/>
    </row>
    <row r="308" spans="57:94" ht="15" hidden="1" x14ac:dyDescent="0.25">
      <c r="BE308" s="909">
        <v>211</v>
      </c>
      <c r="BF308" s="909"/>
      <c r="BG308" s="909"/>
      <c r="BH308" s="87">
        <f>BH307-BH309</f>
        <v>3041.4746543778801</v>
      </c>
      <c r="BI308" s="910">
        <f>BH308*0.2</f>
        <v>608.29493087557603</v>
      </c>
      <c r="BJ308" s="910"/>
      <c r="BK308" s="910"/>
      <c r="BL308" s="910"/>
      <c r="BM308" s="910"/>
      <c r="BN308" s="436">
        <f>BH308-BI308</f>
        <v>2433.1797235023041</v>
      </c>
      <c r="BO308" s="445"/>
      <c r="BP308" s="445"/>
      <c r="BQ308" s="445"/>
      <c r="BR308" s="445"/>
      <c r="BS308" s="445"/>
      <c r="BT308" s="445"/>
      <c r="CE308" s="437">
        <f>BI308*15/20</f>
        <v>456.22119815668202</v>
      </c>
      <c r="CF308" s="446"/>
      <c r="CG308" s="446"/>
      <c r="CH308" s="446"/>
      <c r="CI308" s="117"/>
      <c r="CJ308" s="117"/>
      <c r="CK308" s="437">
        <f>BI308*5/20</f>
        <v>152.07373271889401</v>
      </c>
      <c r="CL308" s="446"/>
      <c r="CM308" s="446"/>
      <c r="CN308" s="446"/>
      <c r="CO308" s="446"/>
      <c r="CP308" s="446"/>
    </row>
    <row r="309" spans="57:94" ht="12" hidden="1" x14ac:dyDescent="0.2">
      <c r="BE309" s="909">
        <v>213</v>
      </c>
      <c r="BF309" s="909"/>
      <c r="BG309" s="909"/>
      <c r="BH309" s="87">
        <f>BH307*30.2/130.2</f>
        <v>918.52534562211986</v>
      </c>
      <c r="BI309" s="910">
        <f>BI308*30.2%</f>
        <v>183.70506912442394</v>
      </c>
      <c r="BJ309" s="910"/>
      <c r="BK309" s="910"/>
      <c r="BL309" s="910"/>
      <c r="BM309" s="910"/>
      <c r="BN309" s="436">
        <f>BN308*30.2%</f>
        <v>734.82027649769577</v>
      </c>
      <c r="BO309" s="436"/>
      <c r="BP309" s="436"/>
      <c r="BQ309" s="436"/>
      <c r="BR309" s="436"/>
      <c r="BS309" s="436"/>
      <c r="BT309" s="436"/>
    </row>
    <row r="310" spans="57:94" ht="8.25" hidden="1" customHeight="1" x14ac:dyDescent="0.2"/>
    <row r="311" spans="57:94" ht="8.25" hidden="1" customHeight="1" x14ac:dyDescent="0.2"/>
    <row r="312" spans="57:94" ht="8.25" hidden="1" customHeight="1" x14ac:dyDescent="0.2"/>
    <row r="313" spans="57:94" ht="15" hidden="1" x14ac:dyDescent="0.25">
      <c r="CJ313" s="778">
        <f>CK255+CK262+CK269+CK277+CK284+CK292+CK301+CK308</f>
        <v>5702.7649769585241</v>
      </c>
      <c r="CK313" s="779"/>
      <c r="CL313" s="779"/>
      <c r="CM313" s="779"/>
      <c r="CN313" s="779"/>
      <c r="CO313" s="779"/>
      <c r="CP313" s="779"/>
    </row>
    <row r="314" spans="57:94" ht="8.25" hidden="1" customHeight="1" x14ac:dyDescent="0.2"/>
    <row r="315" spans="57:94" ht="12" hidden="1" x14ac:dyDescent="0.2">
      <c r="BE315" s="911" t="s">
        <v>549</v>
      </c>
      <c r="BF315" s="911"/>
      <c r="BG315" s="911"/>
      <c r="BH315" s="911"/>
      <c r="BI315" s="911"/>
      <c r="BJ315" s="911"/>
      <c r="BK315" s="911"/>
      <c r="BL315" s="911"/>
      <c r="BM315" s="911"/>
      <c r="BN315" s="911"/>
      <c r="BO315" s="911"/>
      <c r="BP315" s="911"/>
      <c r="BQ315" s="911"/>
      <c r="BR315" s="911"/>
      <c r="BS315" s="911"/>
      <c r="BT315" s="911"/>
      <c r="BU315" s="911"/>
      <c r="BV315" s="911"/>
      <c r="BW315" s="911"/>
      <c r="BX315" s="911"/>
      <c r="BY315" s="911"/>
      <c r="BZ315" s="911"/>
      <c r="CA315" s="911"/>
    </row>
    <row r="316" spans="57:94" ht="12" hidden="1" x14ac:dyDescent="0.2">
      <c r="BE316" s="909" t="s">
        <v>126</v>
      </c>
      <c r="BF316" s="909"/>
      <c r="BG316" s="909"/>
      <c r="BH316" s="912">
        <f>300*89</f>
        <v>26700</v>
      </c>
      <c r="BI316" s="912"/>
      <c r="BJ316" s="912"/>
      <c r="BK316" s="912"/>
      <c r="BL316" s="912"/>
      <c r="BM316" s="106" t="s">
        <v>127</v>
      </c>
      <c r="BN316" s="106"/>
      <c r="BO316" s="106"/>
      <c r="BP316" s="106"/>
      <c r="BQ316" s="106"/>
      <c r="BR316" s="106"/>
      <c r="BS316" s="106"/>
      <c r="BT316" s="106"/>
    </row>
    <row r="317" spans="57:94" ht="15" hidden="1" x14ac:dyDescent="0.25">
      <c r="BE317" s="913">
        <v>0.6</v>
      </c>
      <c r="BF317" s="909"/>
      <c r="BG317" s="909"/>
      <c r="BH317" s="87">
        <f>BH316*BE317</f>
        <v>16020</v>
      </c>
      <c r="BI317" s="914" t="s">
        <v>128</v>
      </c>
      <c r="BJ317" s="914"/>
      <c r="BK317" s="914"/>
      <c r="BL317" s="914"/>
      <c r="BM317" s="914"/>
      <c r="BN317" s="909" t="s">
        <v>129</v>
      </c>
      <c r="BO317" s="909"/>
      <c r="BP317" s="909"/>
      <c r="BQ317" s="909"/>
      <c r="BR317" s="909"/>
      <c r="BS317" s="909"/>
      <c r="BT317" s="909"/>
      <c r="CE317" s="432" t="s">
        <v>368</v>
      </c>
      <c r="CF317" s="443"/>
      <c r="CG317" s="443"/>
      <c r="CH317" s="443"/>
      <c r="CI317" s="117"/>
      <c r="CJ317" s="117"/>
      <c r="CK317" s="444" t="s">
        <v>366</v>
      </c>
      <c r="CL317" s="441"/>
      <c r="CM317" s="441"/>
      <c r="CN317" s="441"/>
      <c r="CO317" s="441"/>
      <c r="CP317" s="441"/>
    </row>
    <row r="318" spans="57:94" ht="15" hidden="1" x14ac:dyDescent="0.25">
      <c r="BE318" s="909">
        <v>211</v>
      </c>
      <c r="BF318" s="909"/>
      <c r="BG318" s="909"/>
      <c r="BH318" s="87">
        <f>BH317-BH319</f>
        <v>12304.147465437787</v>
      </c>
      <c r="BI318" s="910">
        <f>BH318*0.2</f>
        <v>2460.8294930875577</v>
      </c>
      <c r="BJ318" s="910"/>
      <c r="BK318" s="910"/>
      <c r="BL318" s="910"/>
      <c r="BM318" s="910"/>
      <c r="BN318" s="436">
        <f>BH318-BI318</f>
        <v>9843.317972350229</v>
      </c>
      <c r="BO318" s="445"/>
      <c r="BP318" s="445"/>
      <c r="BQ318" s="445"/>
      <c r="BR318" s="445"/>
      <c r="BS318" s="445"/>
      <c r="BT318" s="445"/>
      <c r="CE318" s="437">
        <f>BI318*15/20</f>
        <v>1845.6221198156684</v>
      </c>
      <c r="CF318" s="446"/>
      <c r="CG318" s="446"/>
      <c r="CH318" s="446"/>
      <c r="CI318" s="117"/>
      <c r="CJ318" s="117"/>
      <c r="CK318" s="437">
        <f>BI318*5/20</f>
        <v>615.20737327188942</v>
      </c>
      <c r="CL318" s="446"/>
      <c r="CM318" s="446"/>
      <c r="CN318" s="446"/>
      <c r="CO318" s="446"/>
      <c r="CP318" s="446"/>
    </row>
    <row r="319" spans="57:94" ht="12" hidden="1" x14ac:dyDescent="0.2">
      <c r="BE319" s="909">
        <v>213</v>
      </c>
      <c r="BF319" s="909"/>
      <c r="BG319" s="909"/>
      <c r="BH319" s="87">
        <f>BH317*30.2/130.2</f>
        <v>3715.8525345622124</v>
      </c>
      <c r="BI319" s="910">
        <f>BI318*30.2%</f>
        <v>743.17050691244242</v>
      </c>
      <c r="BJ319" s="910"/>
      <c r="BK319" s="910"/>
      <c r="BL319" s="910"/>
      <c r="BM319" s="910"/>
      <c r="BN319" s="436">
        <f>BN318*30.2%</f>
        <v>2972.6820276497692</v>
      </c>
      <c r="BO319" s="436"/>
      <c r="BP319" s="436"/>
      <c r="BQ319" s="436"/>
      <c r="BR319" s="436"/>
      <c r="BS319" s="436"/>
      <c r="BT319" s="436"/>
    </row>
    <row r="320" spans="57:94" ht="12" hidden="1" x14ac:dyDescent="0.2"/>
    <row r="321" spans="57:94" ht="8.25" hidden="1" customHeight="1" x14ac:dyDescent="0.2"/>
    <row r="322" spans="57:94" ht="12" hidden="1" x14ac:dyDescent="0.2">
      <c r="BE322" s="911" t="s">
        <v>566</v>
      </c>
      <c r="BF322" s="911"/>
      <c r="BG322" s="911"/>
      <c r="BH322" s="911"/>
      <c r="BI322" s="911"/>
      <c r="BJ322" s="911"/>
      <c r="BK322" s="911"/>
      <c r="BL322" s="911"/>
      <c r="BM322" s="911"/>
      <c r="BN322" s="911"/>
      <c r="BO322" s="911"/>
      <c r="BP322" s="911"/>
      <c r="BQ322" s="911"/>
      <c r="BR322" s="911"/>
      <c r="BS322" s="911"/>
      <c r="BT322" s="911"/>
      <c r="BU322" s="911"/>
      <c r="BV322" s="911"/>
      <c r="BW322" s="911"/>
      <c r="BX322" s="911"/>
      <c r="BY322" s="911"/>
      <c r="BZ322" s="911"/>
      <c r="CA322" s="911"/>
    </row>
    <row r="323" spans="57:94" ht="12" hidden="1" x14ac:dyDescent="0.2">
      <c r="BE323" s="909" t="s">
        <v>126</v>
      </c>
      <c r="BF323" s="909"/>
      <c r="BG323" s="909"/>
      <c r="BH323" s="912">
        <f>300*90</f>
        <v>27000</v>
      </c>
      <c r="BI323" s="912"/>
      <c r="BJ323" s="912"/>
      <c r="BK323" s="912"/>
      <c r="BL323" s="912"/>
      <c r="BM323" s="106" t="s">
        <v>127</v>
      </c>
      <c r="BN323" s="106"/>
      <c r="BO323" s="106"/>
      <c r="BP323" s="106"/>
      <c r="BQ323" s="106"/>
      <c r="BR323" s="106"/>
      <c r="BS323" s="106"/>
      <c r="BT323" s="106"/>
    </row>
    <row r="324" spans="57:94" ht="15" hidden="1" x14ac:dyDescent="0.25">
      <c r="BE324" s="913">
        <v>0.6</v>
      </c>
      <c r="BF324" s="909"/>
      <c r="BG324" s="909"/>
      <c r="BH324" s="87">
        <f>BH323*BE324</f>
        <v>16200</v>
      </c>
      <c r="BI324" s="914" t="s">
        <v>128</v>
      </c>
      <c r="BJ324" s="914"/>
      <c r="BK324" s="914"/>
      <c r="BL324" s="914"/>
      <c r="BM324" s="914"/>
      <c r="BN324" s="909" t="s">
        <v>129</v>
      </c>
      <c r="BO324" s="909"/>
      <c r="BP324" s="909"/>
      <c r="BQ324" s="909"/>
      <c r="BR324" s="909"/>
      <c r="BS324" s="909"/>
      <c r="BT324" s="909"/>
      <c r="CE324" s="432" t="s">
        <v>368</v>
      </c>
      <c r="CF324" s="443"/>
      <c r="CG324" s="443"/>
      <c r="CH324" s="443"/>
      <c r="CI324" s="117"/>
      <c r="CJ324" s="117"/>
      <c r="CK324" s="444" t="s">
        <v>366</v>
      </c>
      <c r="CL324" s="441"/>
      <c r="CM324" s="441"/>
      <c r="CN324" s="441"/>
      <c r="CO324" s="441"/>
      <c r="CP324" s="441"/>
    </row>
    <row r="325" spans="57:94" ht="15" hidden="1" x14ac:dyDescent="0.25">
      <c r="BE325" s="909">
        <v>211</v>
      </c>
      <c r="BF325" s="909"/>
      <c r="BG325" s="909"/>
      <c r="BH325" s="87">
        <f>BH324-BH326</f>
        <v>12442.396313364055</v>
      </c>
      <c r="BI325" s="910">
        <f>BH325*0.2</f>
        <v>2488.4792626728113</v>
      </c>
      <c r="BJ325" s="910"/>
      <c r="BK325" s="910"/>
      <c r="BL325" s="910"/>
      <c r="BM325" s="910"/>
      <c r="BN325" s="436">
        <f>BH325-BI325</f>
        <v>9953.9170506912451</v>
      </c>
      <c r="BO325" s="445"/>
      <c r="BP325" s="445"/>
      <c r="BQ325" s="445"/>
      <c r="BR325" s="445"/>
      <c r="BS325" s="445"/>
      <c r="BT325" s="445"/>
      <c r="CE325" s="437">
        <f>BI325*15/20</f>
        <v>1866.3594470046087</v>
      </c>
      <c r="CF325" s="446"/>
      <c r="CG325" s="446"/>
      <c r="CH325" s="446"/>
      <c r="CI325" s="117"/>
      <c r="CJ325" s="117"/>
      <c r="CK325" s="437">
        <f>BI325*5/20</f>
        <v>622.11981566820282</v>
      </c>
      <c r="CL325" s="446"/>
      <c r="CM325" s="446"/>
      <c r="CN325" s="446"/>
      <c r="CO325" s="446"/>
      <c r="CP325" s="446"/>
    </row>
    <row r="326" spans="57:94" ht="12" hidden="1" x14ac:dyDescent="0.2">
      <c r="BE326" s="909">
        <v>213</v>
      </c>
      <c r="BF326" s="909"/>
      <c r="BG326" s="909"/>
      <c r="BH326" s="87">
        <f>BH324*30.2/130.2</f>
        <v>3757.603686635945</v>
      </c>
      <c r="BI326" s="910">
        <f>BI325*30.2%</f>
        <v>751.52073732718895</v>
      </c>
      <c r="BJ326" s="910"/>
      <c r="BK326" s="910"/>
      <c r="BL326" s="910"/>
      <c r="BM326" s="910"/>
      <c r="BN326" s="436">
        <f>BN325*30.2%</f>
        <v>3006.0829493087558</v>
      </c>
      <c r="BO326" s="436"/>
      <c r="BP326" s="436"/>
      <c r="BQ326" s="436"/>
      <c r="BR326" s="436"/>
      <c r="BS326" s="436"/>
      <c r="BT326" s="436"/>
    </row>
    <row r="327" spans="57:94" ht="8.25" hidden="1" customHeight="1" x14ac:dyDescent="0.2"/>
    <row r="328" spans="57:94" ht="8.25" hidden="1" customHeight="1" x14ac:dyDescent="0.2"/>
    <row r="329" spans="57:94" ht="12" hidden="1" x14ac:dyDescent="0.2">
      <c r="BE329" s="911" t="s">
        <v>582</v>
      </c>
      <c r="BF329" s="911"/>
      <c r="BG329" s="911"/>
      <c r="BH329" s="911"/>
      <c r="BI329" s="911"/>
      <c r="BJ329" s="911"/>
      <c r="BK329" s="911"/>
      <c r="BL329" s="911"/>
      <c r="BM329" s="911"/>
      <c r="BN329" s="911"/>
      <c r="BO329" s="911"/>
      <c r="BP329" s="911"/>
      <c r="BQ329" s="911"/>
      <c r="BR329" s="911"/>
      <c r="BS329" s="911"/>
      <c r="BT329" s="911"/>
      <c r="BU329" s="911"/>
      <c r="BV329" s="911"/>
      <c r="BW329" s="911"/>
      <c r="BX329" s="911"/>
      <c r="BY329" s="911"/>
      <c r="BZ329" s="911"/>
      <c r="CA329" s="911"/>
    </row>
    <row r="330" spans="57:94" ht="12" hidden="1" x14ac:dyDescent="0.2">
      <c r="BE330" s="909" t="s">
        <v>126</v>
      </c>
      <c r="BF330" s="909"/>
      <c r="BG330" s="909"/>
      <c r="BH330" s="912">
        <f>300*29</f>
        <v>8700</v>
      </c>
      <c r="BI330" s="912"/>
      <c r="BJ330" s="912"/>
      <c r="BK330" s="912"/>
      <c r="BL330" s="912"/>
      <c r="BM330" s="106" t="s">
        <v>127</v>
      </c>
      <c r="BN330" s="106"/>
      <c r="BO330" s="106"/>
      <c r="BP330" s="106"/>
      <c r="BQ330" s="106"/>
      <c r="BR330" s="106"/>
      <c r="BS330" s="106"/>
      <c r="BT330" s="106"/>
    </row>
    <row r="331" spans="57:94" ht="15" hidden="1" x14ac:dyDescent="0.25">
      <c r="BE331" s="913">
        <v>0.6</v>
      </c>
      <c r="BF331" s="909"/>
      <c r="BG331" s="909"/>
      <c r="BH331" s="87">
        <f>BH330*BE331</f>
        <v>5220</v>
      </c>
      <c r="BI331" s="914" t="s">
        <v>128</v>
      </c>
      <c r="BJ331" s="914"/>
      <c r="BK331" s="914"/>
      <c r="BL331" s="914"/>
      <c r="BM331" s="914"/>
      <c r="BN331" s="909" t="s">
        <v>129</v>
      </c>
      <c r="BO331" s="909"/>
      <c r="BP331" s="909"/>
      <c r="BQ331" s="909"/>
      <c r="BR331" s="909"/>
      <c r="BS331" s="909"/>
      <c r="BT331" s="909"/>
      <c r="CE331" s="432" t="s">
        <v>368</v>
      </c>
      <c r="CF331" s="443"/>
      <c r="CG331" s="443"/>
      <c r="CH331" s="443"/>
      <c r="CI331" s="117"/>
      <c r="CJ331" s="117"/>
      <c r="CK331" s="444" t="s">
        <v>366</v>
      </c>
      <c r="CL331" s="441"/>
      <c r="CM331" s="441"/>
      <c r="CN331" s="441"/>
      <c r="CO331" s="441"/>
      <c r="CP331" s="441"/>
    </row>
    <row r="332" spans="57:94" ht="15" hidden="1" x14ac:dyDescent="0.25">
      <c r="BE332" s="909">
        <v>211</v>
      </c>
      <c r="BF332" s="909"/>
      <c r="BG332" s="909"/>
      <c r="BH332" s="87">
        <f>BH331-BH333</f>
        <v>4009.2165898617513</v>
      </c>
      <c r="BI332" s="910">
        <f>BH332*0.2</f>
        <v>801.84331797235029</v>
      </c>
      <c r="BJ332" s="910"/>
      <c r="BK332" s="910"/>
      <c r="BL332" s="910"/>
      <c r="BM332" s="910"/>
      <c r="BN332" s="436">
        <f>BH332-BI332</f>
        <v>3207.3732718894012</v>
      </c>
      <c r="BO332" s="445"/>
      <c r="BP332" s="445"/>
      <c r="BQ332" s="445"/>
      <c r="BR332" s="445"/>
      <c r="BS332" s="445"/>
      <c r="BT332" s="445"/>
      <c r="CE332" s="437">
        <f>BI332*15/20</f>
        <v>601.38248847926275</v>
      </c>
      <c r="CF332" s="446"/>
      <c r="CG332" s="446"/>
      <c r="CH332" s="446"/>
      <c r="CI332" s="117"/>
      <c r="CJ332" s="117"/>
      <c r="CK332" s="437">
        <f>BI332*5/20</f>
        <v>200.46082949308757</v>
      </c>
      <c r="CL332" s="446"/>
      <c r="CM332" s="446"/>
      <c r="CN332" s="446"/>
      <c r="CO332" s="446"/>
      <c r="CP332" s="446"/>
    </row>
    <row r="333" spans="57:94" ht="12" hidden="1" x14ac:dyDescent="0.2">
      <c r="BE333" s="909">
        <v>213</v>
      </c>
      <c r="BF333" s="909"/>
      <c r="BG333" s="909"/>
      <c r="BH333" s="87">
        <f>BH331*30.2/130.2</f>
        <v>1210.7834101382489</v>
      </c>
      <c r="BI333" s="910">
        <f>BI332*30.2%</f>
        <v>242.15668202764979</v>
      </c>
      <c r="BJ333" s="910"/>
      <c r="BK333" s="910"/>
      <c r="BL333" s="910"/>
      <c r="BM333" s="910"/>
      <c r="BN333" s="436">
        <f>BN332*30.2%</f>
        <v>968.62672811059917</v>
      </c>
      <c r="BO333" s="436"/>
      <c r="BP333" s="436"/>
      <c r="BQ333" s="436"/>
      <c r="BR333" s="436"/>
      <c r="BS333" s="436"/>
      <c r="BT333" s="436"/>
    </row>
    <row r="334" spans="57:94" ht="8.25" hidden="1" customHeight="1" x14ac:dyDescent="0.2"/>
    <row r="335" spans="57:94" ht="8.25" hidden="1" customHeight="1" x14ac:dyDescent="0.2"/>
    <row r="336" spans="57:94" ht="8.25" hidden="1" customHeight="1" x14ac:dyDescent="0.2"/>
    <row r="337" spans="1:94" ht="12" hidden="1" x14ac:dyDescent="0.2">
      <c r="BE337" s="911" t="s">
        <v>652</v>
      </c>
      <c r="BF337" s="911"/>
      <c r="BG337" s="911"/>
      <c r="BH337" s="911"/>
      <c r="BI337" s="911"/>
      <c r="BJ337" s="911"/>
      <c r="BK337" s="911"/>
      <c r="BL337" s="911"/>
      <c r="BM337" s="911"/>
      <c r="BN337" s="911"/>
      <c r="BO337" s="911"/>
      <c r="BP337" s="911"/>
      <c r="BQ337" s="911"/>
      <c r="BR337" s="911"/>
      <c r="BS337" s="911"/>
      <c r="BT337" s="911"/>
      <c r="BU337" s="911"/>
      <c r="BV337" s="911"/>
      <c r="BW337" s="911"/>
      <c r="BX337" s="911"/>
      <c r="BY337" s="911"/>
      <c r="BZ337" s="911"/>
      <c r="CA337" s="911"/>
    </row>
    <row r="338" spans="1:94" ht="12" hidden="1" x14ac:dyDescent="0.2">
      <c r="BE338" s="909" t="s">
        <v>126</v>
      </c>
      <c r="BF338" s="909"/>
      <c r="BG338" s="909"/>
      <c r="BH338" s="912">
        <f>300*75</f>
        <v>22500</v>
      </c>
      <c r="BI338" s="912"/>
      <c r="BJ338" s="912"/>
      <c r="BK338" s="912"/>
      <c r="BL338" s="912"/>
      <c r="BM338" s="106" t="s">
        <v>127</v>
      </c>
      <c r="BN338" s="106"/>
      <c r="BO338" s="106"/>
      <c r="BP338" s="106"/>
      <c r="BQ338" s="106"/>
      <c r="BR338" s="106"/>
      <c r="BS338" s="106"/>
      <c r="BT338" s="106"/>
    </row>
    <row r="339" spans="1:94" ht="15" hidden="1" x14ac:dyDescent="0.25">
      <c r="BE339" s="913">
        <v>0.6</v>
      </c>
      <c r="BF339" s="909"/>
      <c r="BG339" s="909"/>
      <c r="BH339" s="87">
        <f>BH338*BE339</f>
        <v>13500</v>
      </c>
      <c r="BI339" s="914" t="s">
        <v>128</v>
      </c>
      <c r="BJ339" s="914"/>
      <c r="BK339" s="914"/>
      <c r="BL339" s="914"/>
      <c r="BM339" s="914"/>
      <c r="BN339" s="909" t="s">
        <v>129</v>
      </c>
      <c r="BO339" s="909"/>
      <c r="BP339" s="909"/>
      <c r="BQ339" s="909"/>
      <c r="BR339" s="909"/>
      <c r="BS339" s="909"/>
      <c r="BT339" s="909"/>
      <c r="CE339" s="432" t="s">
        <v>368</v>
      </c>
      <c r="CF339" s="443"/>
      <c r="CG339" s="443"/>
      <c r="CH339" s="443"/>
      <c r="CI339" s="117"/>
      <c r="CJ339" s="117"/>
      <c r="CK339" s="444" t="s">
        <v>366</v>
      </c>
      <c r="CL339" s="441"/>
      <c r="CM339" s="441"/>
      <c r="CN339" s="441"/>
      <c r="CO339" s="441"/>
      <c r="CP339" s="441"/>
    </row>
    <row r="340" spans="1:94" ht="15" hidden="1" x14ac:dyDescent="0.25">
      <c r="BE340" s="909">
        <v>211</v>
      </c>
      <c r="BF340" s="909"/>
      <c r="BG340" s="909"/>
      <c r="BH340" s="87">
        <f>BH339-BH341</f>
        <v>10368.663594470047</v>
      </c>
      <c r="BI340" s="910">
        <f>BH340*0.2</f>
        <v>2073.7327188940094</v>
      </c>
      <c r="BJ340" s="910"/>
      <c r="BK340" s="910"/>
      <c r="BL340" s="910"/>
      <c r="BM340" s="910"/>
      <c r="BN340" s="436">
        <f>BH340-BI340</f>
        <v>8294.9308755760376</v>
      </c>
      <c r="BO340" s="445"/>
      <c r="BP340" s="445"/>
      <c r="BQ340" s="445"/>
      <c r="BR340" s="445"/>
      <c r="BS340" s="445"/>
      <c r="BT340" s="445"/>
      <c r="CE340" s="437">
        <f>BI340*15/20</f>
        <v>1555.2995391705069</v>
      </c>
      <c r="CF340" s="446"/>
      <c r="CG340" s="446"/>
      <c r="CH340" s="446"/>
      <c r="CI340" s="117"/>
      <c r="CJ340" s="117"/>
      <c r="CK340" s="437">
        <f>BI340*5/20</f>
        <v>518.43317972350235</v>
      </c>
      <c r="CL340" s="446"/>
      <c r="CM340" s="446"/>
      <c r="CN340" s="446"/>
      <c r="CO340" s="446"/>
      <c r="CP340" s="446"/>
    </row>
    <row r="341" spans="1:94" ht="12" hidden="1" x14ac:dyDescent="0.2">
      <c r="BE341" s="909">
        <v>213</v>
      </c>
      <c r="BF341" s="909"/>
      <c r="BG341" s="909"/>
      <c r="BH341" s="87">
        <f>BH339*30.2/130.2</f>
        <v>3131.3364055299544</v>
      </c>
      <c r="BI341" s="910">
        <f>BI340*30.2%</f>
        <v>626.26728110599083</v>
      </c>
      <c r="BJ341" s="910"/>
      <c r="BK341" s="910"/>
      <c r="BL341" s="910"/>
      <c r="BM341" s="910"/>
      <c r="BN341" s="436">
        <f>BN340*30.2%</f>
        <v>2505.0691244239633</v>
      </c>
      <c r="BO341" s="436"/>
      <c r="BP341" s="436"/>
      <c r="BQ341" s="436"/>
      <c r="BR341" s="436"/>
      <c r="BS341" s="436"/>
      <c r="BT341" s="436"/>
    </row>
    <row r="342" spans="1:94" ht="12" hidden="1" x14ac:dyDescent="0.2"/>
    <row r="343" spans="1:94" ht="12.75" x14ac:dyDescent="0.2">
      <c r="A343" s="219" t="s">
        <v>125</v>
      </c>
      <c r="B343" s="219"/>
      <c r="C343" s="219"/>
      <c r="BE343" s="911" t="s">
        <v>693</v>
      </c>
      <c r="BF343" s="911"/>
      <c r="BG343" s="911"/>
      <c r="BH343" s="911"/>
      <c r="BI343" s="911"/>
      <c r="BJ343" s="911"/>
      <c r="BK343" s="911"/>
      <c r="BL343" s="911"/>
      <c r="BM343" s="911"/>
      <c r="BN343" s="911"/>
      <c r="BO343" s="911"/>
      <c r="BP343" s="911"/>
      <c r="BQ343" s="911"/>
      <c r="BR343" s="911"/>
      <c r="BS343" s="911"/>
      <c r="BT343" s="911"/>
      <c r="BU343" s="911"/>
      <c r="BV343" s="911"/>
      <c r="BW343" s="911"/>
      <c r="BX343" s="911"/>
      <c r="BY343" s="911"/>
      <c r="BZ343" s="911"/>
      <c r="CA343" s="911"/>
    </row>
    <row r="344" spans="1:94" ht="12" x14ac:dyDescent="0.2">
      <c r="BE344" s="909" t="s">
        <v>126</v>
      </c>
      <c r="BF344" s="909"/>
      <c r="BG344" s="909"/>
      <c r="BH344" s="912">
        <f>350*55</f>
        <v>19250</v>
      </c>
      <c r="BI344" s="912"/>
      <c r="BJ344" s="912"/>
      <c r="BK344" s="912"/>
      <c r="BL344" s="912"/>
      <c r="BM344" s="106" t="s">
        <v>127</v>
      </c>
      <c r="BN344" s="106"/>
      <c r="BO344" s="106"/>
      <c r="BP344" s="106"/>
      <c r="BQ344" s="106"/>
      <c r="BR344" s="106"/>
      <c r="BS344" s="106"/>
      <c r="BT344" s="106"/>
    </row>
    <row r="345" spans="1:94" ht="15" x14ac:dyDescent="0.25">
      <c r="BE345" s="913">
        <v>0.6</v>
      </c>
      <c r="BF345" s="909"/>
      <c r="BG345" s="909"/>
      <c r="BH345" s="87">
        <f>BH344*BE345</f>
        <v>11550</v>
      </c>
      <c r="BI345" s="914" t="s">
        <v>128</v>
      </c>
      <c r="BJ345" s="914"/>
      <c r="BK345" s="914"/>
      <c r="BL345" s="914"/>
      <c r="BM345" s="914"/>
      <c r="BN345" s="909" t="s">
        <v>129</v>
      </c>
      <c r="BO345" s="909"/>
      <c r="BP345" s="909"/>
      <c r="BQ345" s="909"/>
      <c r="BR345" s="909"/>
      <c r="BS345" s="909"/>
      <c r="BT345" s="909"/>
      <c r="CE345" s="432" t="s">
        <v>368</v>
      </c>
      <c r="CF345" s="443"/>
      <c r="CG345" s="443"/>
      <c r="CH345" s="443"/>
      <c r="CI345" s="117"/>
      <c r="CJ345" s="117"/>
      <c r="CK345" s="444" t="s">
        <v>366</v>
      </c>
      <c r="CL345" s="441"/>
      <c r="CM345" s="441"/>
      <c r="CN345" s="441"/>
      <c r="CO345" s="441"/>
      <c r="CP345" s="441"/>
    </row>
    <row r="346" spans="1:94" ht="15" x14ac:dyDescent="0.25">
      <c r="BE346" s="909">
        <v>211</v>
      </c>
      <c r="BF346" s="909"/>
      <c r="BG346" s="909"/>
      <c r="BH346" s="87">
        <f>BH345-BH347</f>
        <v>8870.967741935483</v>
      </c>
      <c r="BI346" s="910">
        <f>BH346*0.2</f>
        <v>1774.1935483870966</v>
      </c>
      <c r="BJ346" s="910"/>
      <c r="BK346" s="910"/>
      <c r="BL346" s="910"/>
      <c r="BM346" s="910"/>
      <c r="BN346" s="436">
        <f>BH346-BI346</f>
        <v>7096.7741935483864</v>
      </c>
      <c r="BO346" s="445"/>
      <c r="BP346" s="445"/>
      <c r="BQ346" s="445"/>
      <c r="BR346" s="445"/>
      <c r="BS346" s="445"/>
      <c r="BT346" s="445"/>
      <c r="CE346" s="437">
        <f>BI346*15/20</f>
        <v>1330.6451612903224</v>
      </c>
      <c r="CF346" s="446"/>
      <c r="CG346" s="446"/>
      <c r="CH346" s="446"/>
      <c r="CI346" s="117"/>
      <c r="CJ346" s="117"/>
      <c r="CK346" s="437">
        <f>BI346*5/20</f>
        <v>443.54838709677415</v>
      </c>
      <c r="CL346" s="446"/>
      <c r="CM346" s="446"/>
      <c r="CN346" s="446"/>
      <c r="CO346" s="446"/>
      <c r="CP346" s="446"/>
    </row>
    <row r="347" spans="1:94" ht="12" x14ac:dyDescent="0.2">
      <c r="BE347" s="909">
        <v>213</v>
      </c>
      <c r="BF347" s="909"/>
      <c r="BG347" s="909"/>
      <c r="BH347" s="87">
        <f>BH345*30.2/130.2</f>
        <v>2679.0322580645166</v>
      </c>
      <c r="BI347" s="910">
        <f>BI346*30.2%</f>
        <v>535.80645161290317</v>
      </c>
      <c r="BJ347" s="910"/>
      <c r="BK347" s="910"/>
      <c r="BL347" s="910"/>
      <c r="BM347" s="910"/>
      <c r="BN347" s="436">
        <f>BN346*30.2%</f>
        <v>2143.2258064516127</v>
      </c>
      <c r="BO347" s="436"/>
      <c r="BP347" s="436"/>
      <c r="BQ347" s="436"/>
      <c r="BR347" s="436"/>
      <c r="BS347" s="436"/>
      <c r="BT347" s="436"/>
    </row>
  </sheetData>
  <mergeCells count="776">
    <mergeCell ref="BN324:BT324"/>
    <mergeCell ref="CE324:CH324"/>
    <mergeCell ref="CK324:CP324"/>
    <mergeCell ref="BE325:BG325"/>
    <mergeCell ref="BI325:BM325"/>
    <mergeCell ref="BN325:BT325"/>
    <mergeCell ref="CE325:CH325"/>
    <mergeCell ref="CK325:CP325"/>
    <mergeCell ref="BI292:BM292"/>
    <mergeCell ref="BN292:BT292"/>
    <mergeCell ref="CE292:CH292"/>
    <mergeCell ref="CE301:CH301"/>
    <mergeCell ref="CK301:CP301"/>
    <mergeCell ref="CE307:CH307"/>
    <mergeCell ref="CK307:CP307"/>
    <mergeCell ref="BI301:BM301"/>
    <mergeCell ref="BN301:BT301"/>
    <mergeCell ref="BI302:BM302"/>
    <mergeCell ref="BN302:BT302"/>
    <mergeCell ref="BE305:CA305"/>
    <mergeCell ref="BE306:BG306"/>
    <mergeCell ref="BH306:BL306"/>
    <mergeCell ref="BE307:BG307"/>
    <mergeCell ref="BI307:BM307"/>
    <mergeCell ref="BN307:BT307"/>
    <mergeCell ref="BE298:CA298"/>
    <mergeCell ref="BE299:BG299"/>
    <mergeCell ref="BH299:BL299"/>
    <mergeCell ref="BE300:BG300"/>
    <mergeCell ref="BI300:BM300"/>
    <mergeCell ref="BN300:BT300"/>
    <mergeCell ref="CE261:CH261"/>
    <mergeCell ref="CK261:CP261"/>
    <mergeCell ref="BE262:BG262"/>
    <mergeCell ref="BI262:BM262"/>
    <mergeCell ref="BN262:BT262"/>
    <mergeCell ref="CE262:CH262"/>
    <mergeCell ref="CK262:CP262"/>
    <mergeCell ref="CK284:CP284"/>
    <mergeCell ref="BE263:BG263"/>
    <mergeCell ref="BI263:BM263"/>
    <mergeCell ref="BN263:BT263"/>
    <mergeCell ref="CK268:CP268"/>
    <mergeCell ref="BE269:BG269"/>
    <mergeCell ref="BI269:BM269"/>
    <mergeCell ref="BN269:BT269"/>
    <mergeCell ref="CE269:CH269"/>
    <mergeCell ref="CK269:CP269"/>
    <mergeCell ref="CE276:CH276"/>
    <mergeCell ref="CK276:CP276"/>
    <mergeCell ref="BE277:BG277"/>
    <mergeCell ref="BI277:BM277"/>
    <mergeCell ref="BN277:BT277"/>
    <mergeCell ref="CE277:CH277"/>
    <mergeCell ref="CK277:CP277"/>
    <mergeCell ref="BE253:BG253"/>
    <mergeCell ref="BH253:BL253"/>
    <mergeCell ref="BE254:BG254"/>
    <mergeCell ref="BI254:BM254"/>
    <mergeCell ref="BN254:BT254"/>
    <mergeCell ref="BE259:CA259"/>
    <mergeCell ref="BE260:BG260"/>
    <mergeCell ref="BH260:BL260"/>
    <mergeCell ref="BE261:BG261"/>
    <mergeCell ref="BI261:BM261"/>
    <mergeCell ref="BN261:BT261"/>
    <mergeCell ref="BE256:BG256"/>
    <mergeCell ref="BI256:BM256"/>
    <mergeCell ref="BN256:BT256"/>
    <mergeCell ref="CK254:CP254"/>
    <mergeCell ref="BE255:BG255"/>
    <mergeCell ref="BI255:BM255"/>
    <mergeCell ref="CE247:CH247"/>
    <mergeCell ref="CK247:CP247"/>
    <mergeCell ref="BE235:BG235"/>
    <mergeCell ref="BI235:BM235"/>
    <mergeCell ref="BN235:BT235"/>
    <mergeCell ref="CK233:CP233"/>
    <mergeCell ref="BE234:BG234"/>
    <mergeCell ref="BI234:BM234"/>
    <mergeCell ref="BN234:BT234"/>
    <mergeCell ref="CE234:CH234"/>
    <mergeCell ref="CK234:CP234"/>
    <mergeCell ref="CE233:CH233"/>
    <mergeCell ref="CE246:CH246"/>
    <mergeCell ref="CK246:CP246"/>
    <mergeCell ref="BE233:BG233"/>
    <mergeCell ref="BI233:BM233"/>
    <mergeCell ref="BN233:BT233"/>
    <mergeCell ref="BN255:BT255"/>
    <mergeCell ref="CE255:CH255"/>
    <mergeCell ref="CK255:CP255"/>
    <mergeCell ref="AX19:BB19"/>
    <mergeCell ref="AO35:AR35"/>
    <mergeCell ref="AS35:AW35"/>
    <mergeCell ref="AX35:BB35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CE225:CH225"/>
    <mergeCell ref="CK225:CP225"/>
    <mergeCell ref="CE226:CH226"/>
    <mergeCell ref="CK226:CP226"/>
    <mergeCell ref="A20:G22"/>
    <mergeCell ref="H20:AB22"/>
    <mergeCell ref="AC20:AG22"/>
    <mergeCell ref="A12:S12"/>
    <mergeCell ref="U12:W12"/>
    <mergeCell ref="A14:S14"/>
    <mergeCell ref="U14:W14"/>
    <mergeCell ref="A16:S16"/>
    <mergeCell ref="U16:W16"/>
    <mergeCell ref="A7:BA7"/>
    <mergeCell ref="A8:BA8"/>
    <mergeCell ref="C10:E10"/>
    <mergeCell ref="G10:L10"/>
    <mergeCell ref="N10:Q10"/>
    <mergeCell ref="AH10:AI10"/>
    <mergeCell ref="AJ10:AL10"/>
    <mergeCell ref="AN10:AT10"/>
    <mergeCell ref="AV10:AY10"/>
    <mergeCell ref="Y16:AA16"/>
    <mergeCell ref="U10:AG10"/>
    <mergeCell ref="AH20:AM22"/>
    <mergeCell ref="AN20:AR22"/>
    <mergeCell ref="AS20:AW22"/>
    <mergeCell ref="AX20:BB22"/>
    <mergeCell ref="H34:M34"/>
    <mergeCell ref="AS34:AW34"/>
    <mergeCell ref="AX34:BB34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H51:K51"/>
    <mergeCell ref="AS51:AW51"/>
    <mergeCell ref="AX51:BB51"/>
    <mergeCell ref="AO52:AR52"/>
    <mergeCell ref="AS52:AW52"/>
    <mergeCell ref="AX52:BB52"/>
    <mergeCell ref="AX37:BB39"/>
    <mergeCell ref="A40:BB4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37:G39"/>
    <mergeCell ref="H37:AB39"/>
    <mergeCell ref="AC37:AG39"/>
    <mergeCell ref="AH37:AM39"/>
    <mergeCell ref="AN37:AR39"/>
    <mergeCell ref="AS37:AW39"/>
    <mergeCell ref="A54:G56"/>
    <mergeCell ref="H54:AB56"/>
    <mergeCell ref="AC54:AG56"/>
    <mergeCell ref="AH54:AM56"/>
    <mergeCell ref="AN54:AR56"/>
    <mergeCell ref="AS54:AW56"/>
    <mergeCell ref="AX63:BB67"/>
    <mergeCell ref="H64:M64"/>
    <mergeCell ref="N64:P64"/>
    <mergeCell ref="R64:V64"/>
    <mergeCell ref="I66:K66"/>
    <mergeCell ref="R59:V59"/>
    <mergeCell ref="Z61:AB61"/>
    <mergeCell ref="M66:O66"/>
    <mergeCell ref="Q66:S66"/>
    <mergeCell ref="U66:W66"/>
    <mergeCell ref="Z66:AB66"/>
    <mergeCell ref="H61:X61"/>
    <mergeCell ref="A68:G72"/>
    <mergeCell ref="AC68:AG72"/>
    <mergeCell ref="U71:W71"/>
    <mergeCell ref="Z71:AB71"/>
    <mergeCell ref="A63:G67"/>
    <mergeCell ref="AC63:AG67"/>
    <mergeCell ref="AH73:AM77"/>
    <mergeCell ref="AN73:AR77"/>
    <mergeCell ref="AS73:AW77"/>
    <mergeCell ref="AH63:AM67"/>
    <mergeCell ref="AN63:AR67"/>
    <mergeCell ref="AS63:AW67"/>
    <mergeCell ref="AX73:BB77"/>
    <mergeCell ref="H74:M74"/>
    <mergeCell ref="N74:P74"/>
    <mergeCell ref="R74:V74"/>
    <mergeCell ref="I76:K76"/>
    <mergeCell ref="AH68:AM72"/>
    <mergeCell ref="AN68:AR72"/>
    <mergeCell ref="AS68:AW72"/>
    <mergeCell ref="AX68:BB72"/>
    <mergeCell ref="H69:M69"/>
    <mergeCell ref="N69:P69"/>
    <mergeCell ref="R69:V69"/>
    <mergeCell ref="I71:K71"/>
    <mergeCell ref="M71:O71"/>
    <mergeCell ref="Q71:S71"/>
    <mergeCell ref="M76:O76"/>
    <mergeCell ref="Q76:S76"/>
    <mergeCell ref="U76:W76"/>
    <mergeCell ref="Z76:AB76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AX78:BB82"/>
    <mergeCell ref="H79:M79"/>
    <mergeCell ref="N79:P79"/>
    <mergeCell ref="R79:V79"/>
    <mergeCell ref="I81:K81"/>
    <mergeCell ref="M81:O81"/>
    <mergeCell ref="Q81:S81"/>
    <mergeCell ref="AS83:AW83"/>
    <mergeCell ref="AX83:BB83"/>
    <mergeCell ref="AO84:AR84"/>
    <mergeCell ref="AS84:AW84"/>
    <mergeCell ref="AX84:BB84"/>
    <mergeCell ref="A86:N86"/>
    <mergeCell ref="O86:AN86"/>
    <mergeCell ref="AO86:AU86"/>
    <mergeCell ref="AV86:BB86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103:Z103"/>
    <mergeCell ref="AA103:AF103"/>
    <mergeCell ref="AG103:AL103"/>
    <mergeCell ref="AM103:AT103"/>
    <mergeCell ref="AU103:BB103"/>
    <mergeCell ref="AU106:BB106"/>
    <mergeCell ref="A107:Z107"/>
    <mergeCell ref="AA107:AF107"/>
    <mergeCell ref="AU107:BB107"/>
    <mergeCell ref="A108:Z108"/>
    <mergeCell ref="AA108:AF108"/>
    <mergeCell ref="AU108:BB108"/>
    <mergeCell ref="A104:Z104"/>
    <mergeCell ref="AA104:AF104"/>
    <mergeCell ref="AG104:AL125"/>
    <mergeCell ref="AM104:AT125"/>
    <mergeCell ref="AU104:BB104"/>
    <mergeCell ref="A105:Z105"/>
    <mergeCell ref="AA105:AF105"/>
    <mergeCell ref="AU105:BB105"/>
    <mergeCell ref="A106:Z106"/>
    <mergeCell ref="AA106:AF106"/>
    <mergeCell ref="A111:Z111"/>
    <mergeCell ref="AA111:AF111"/>
    <mergeCell ref="AU111:BB111"/>
    <mergeCell ref="A112:Z112"/>
    <mergeCell ref="AA112:AF112"/>
    <mergeCell ref="AU112:BB112"/>
    <mergeCell ref="A109:Z109"/>
    <mergeCell ref="AA109:AF109"/>
    <mergeCell ref="AU109:BB109"/>
    <mergeCell ref="A110:Z110"/>
    <mergeCell ref="AA110:AF110"/>
    <mergeCell ref="AU110:BB110"/>
    <mergeCell ref="A115:Z115"/>
    <mergeCell ref="AA115:AF115"/>
    <mergeCell ref="AU115:BB115"/>
    <mergeCell ref="A116:Z116"/>
    <mergeCell ref="AA116:AF116"/>
    <mergeCell ref="AU116:BB116"/>
    <mergeCell ref="A113:Z113"/>
    <mergeCell ref="AA113:AF113"/>
    <mergeCell ref="AU113:BB113"/>
    <mergeCell ref="A114:Z114"/>
    <mergeCell ref="AA114:AF114"/>
    <mergeCell ref="AU114:BB114"/>
    <mergeCell ref="A120:Z120"/>
    <mergeCell ref="AA120:AF120"/>
    <mergeCell ref="AU120:BB120"/>
    <mergeCell ref="A121:Z121"/>
    <mergeCell ref="AA121:AF121"/>
    <mergeCell ref="AU121:BB121"/>
    <mergeCell ref="A117:Z117"/>
    <mergeCell ref="AA117:AF117"/>
    <mergeCell ref="AU117:BB117"/>
    <mergeCell ref="A118:Z118"/>
    <mergeCell ref="AA118:AF118"/>
    <mergeCell ref="AU118:BB118"/>
    <mergeCell ref="A119:Z119"/>
    <mergeCell ref="AA119:AF119"/>
    <mergeCell ref="AU119:BB119"/>
    <mergeCell ref="A124:Z124"/>
    <mergeCell ref="AA124:AF124"/>
    <mergeCell ref="AU124:BB124"/>
    <mergeCell ref="A125:Z125"/>
    <mergeCell ref="AA125:AF125"/>
    <mergeCell ref="AU125:BB125"/>
    <mergeCell ref="A122:Z122"/>
    <mergeCell ref="AA122:AF122"/>
    <mergeCell ref="AU122:BB122"/>
    <mergeCell ref="A123:Z123"/>
    <mergeCell ref="AA123:AF123"/>
    <mergeCell ref="AU123:BB123"/>
    <mergeCell ref="A126:Z126"/>
    <mergeCell ref="AA126:AF126"/>
    <mergeCell ref="AG126:AL126"/>
    <mergeCell ref="AM126:AT126"/>
    <mergeCell ref="AU126:BB126"/>
    <mergeCell ref="A130:Z130"/>
    <mergeCell ref="AA130:AF130"/>
    <mergeCell ref="AG130:AL130"/>
    <mergeCell ref="AM130:AT130"/>
    <mergeCell ref="AU130:BB130"/>
    <mergeCell ref="A133:Z133"/>
    <mergeCell ref="AA133:AF133"/>
    <mergeCell ref="AU133:BB133"/>
    <mergeCell ref="A134:Z134"/>
    <mergeCell ref="AA134:AF134"/>
    <mergeCell ref="AU134:BB134"/>
    <mergeCell ref="A131:Z131"/>
    <mergeCell ref="AA131:AF131"/>
    <mergeCell ref="AG131:AL131"/>
    <mergeCell ref="AM131:AT131"/>
    <mergeCell ref="AU131:BB131"/>
    <mergeCell ref="A132:Z132"/>
    <mergeCell ref="AA132:AF132"/>
    <mergeCell ref="AG132:AL137"/>
    <mergeCell ref="AM132:AT137"/>
    <mergeCell ref="AU132:BB132"/>
    <mergeCell ref="A137:Z137"/>
    <mergeCell ref="AA137:AF137"/>
    <mergeCell ref="AU137:BB137"/>
    <mergeCell ref="A138:Z138"/>
    <mergeCell ref="AA138:AF138"/>
    <mergeCell ref="AG138:AL138"/>
    <mergeCell ref="AM138:AT138"/>
    <mergeCell ref="AU138:BB138"/>
    <mergeCell ref="A135:Z135"/>
    <mergeCell ref="AA135:AF135"/>
    <mergeCell ref="AU135:BB135"/>
    <mergeCell ref="A136:Z136"/>
    <mergeCell ref="AA136:AF136"/>
    <mergeCell ref="AU136:BB136"/>
    <mergeCell ref="AD142:AP142"/>
    <mergeCell ref="AQ142:AT142"/>
    <mergeCell ref="AU142:AX142"/>
    <mergeCell ref="AY142:BB142"/>
    <mergeCell ref="H143:L143"/>
    <mergeCell ref="M143:Q143"/>
    <mergeCell ref="AD143:AI143"/>
    <mergeCell ref="AJ143:AP143"/>
    <mergeCell ref="AQ143:AT143"/>
    <mergeCell ref="AU143:AX143"/>
    <mergeCell ref="H142:L142"/>
    <mergeCell ref="M142:Q142"/>
    <mergeCell ref="R142:U143"/>
    <mergeCell ref="V142:Y143"/>
    <mergeCell ref="Z142:AC143"/>
    <mergeCell ref="AY143:BB143"/>
    <mergeCell ref="A144:G144"/>
    <mergeCell ref="H144:L144"/>
    <mergeCell ref="M144:Q144"/>
    <mergeCell ref="R144:U144"/>
    <mergeCell ref="V144:Y144"/>
    <mergeCell ref="Z144:AC144"/>
    <mergeCell ref="AD144:AI144"/>
    <mergeCell ref="AJ144:AP144"/>
    <mergeCell ref="AQ144:AT144"/>
    <mergeCell ref="A142:G143"/>
    <mergeCell ref="AU144:AX144"/>
    <mergeCell ref="AY144:BB144"/>
    <mergeCell ref="A145:G145"/>
    <mergeCell ref="H145:L145"/>
    <mergeCell ref="M145:Q145"/>
    <mergeCell ref="R145:U148"/>
    <mergeCell ref="V145:Y148"/>
    <mergeCell ref="Z145:AC148"/>
    <mergeCell ref="AD145:AI145"/>
    <mergeCell ref="AJ145:AP145"/>
    <mergeCell ref="AQ145:AT145"/>
    <mergeCell ref="AU145:AX145"/>
    <mergeCell ref="AY145:BB145"/>
    <mergeCell ref="A146:G146"/>
    <mergeCell ref="H146:L146"/>
    <mergeCell ref="M146:Q146"/>
    <mergeCell ref="AD146:AI146"/>
    <mergeCell ref="AJ146:AP146"/>
    <mergeCell ref="AQ146:AT146"/>
    <mergeCell ref="AU146:AX146"/>
    <mergeCell ref="AY146:BB146"/>
    <mergeCell ref="A147:G147"/>
    <mergeCell ref="H147:L147"/>
    <mergeCell ref="M147:Q147"/>
    <mergeCell ref="AD147:AI147"/>
    <mergeCell ref="AJ147:AP147"/>
    <mergeCell ref="AQ147:AT147"/>
    <mergeCell ref="AU147:AX147"/>
    <mergeCell ref="AY147:BB147"/>
    <mergeCell ref="AU148:AX148"/>
    <mergeCell ref="AY148:BB148"/>
    <mergeCell ref="A149:G149"/>
    <mergeCell ref="H149:L149"/>
    <mergeCell ref="M149:Q149"/>
    <mergeCell ref="R149:U149"/>
    <mergeCell ref="V149:Y149"/>
    <mergeCell ref="Z149:AC149"/>
    <mergeCell ref="AD149:AI149"/>
    <mergeCell ref="AJ149:AP149"/>
    <mergeCell ref="A148:G148"/>
    <mergeCell ref="H148:L148"/>
    <mergeCell ref="M148:Q148"/>
    <mergeCell ref="AD148:AI148"/>
    <mergeCell ref="AJ148:AP148"/>
    <mergeCell ref="AQ148:AT148"/>
    <mergeCell ref="AQ149:AT149"/>
    <mergeCell ref="AU149:AX149"/>
    <mergeCell ref="AY149:BB149"/>
    <mergeCell ref="AU150:AX150"/>
    <mergeCell ref="AY150:BB150"/>
    <mergeCell ref="AY151:BB151"/>
    <mergeCell ref="BE151:CA151"/>
    <mergeCell ref="A150:F150"/>
    <mergeCell ref="H150:L150"/>
    <mergeCell ref="M150:Q150"/>
    <mergeCell ref="R150:U150"/>
    <mergeCell ref="V150:Y150"/>
    <mergeCell ref="Z150:AC150"/>
    <mergeCell ref="AD150:AI150"/>
    <mergeCell ref="AJ150:AP150"/>
    <mergeCell ref="AQ150:AT150"/>
    <mergeCell ref="A151:G151"/>
    <mergeCell ref="H151:L151"/>
    <mergeCell ref="M151:Q151"/>
    <mergeCell ref="R151:U151"/>
    <mergeCell ref="V151:Y151"/>
    <mergeCell ref="Z151:AC151"/>
    <mergeCell ref="B155:S156"/>
    <mergeCell ref="BE155:BG155"/>
    <mergeCell ref="BI155:BM155"/>
    <mergeCell ref="BN155:BT155"/>
    <mergeCell ref="BE159:CA159"/>
    <mergeCell ref="BN153:BT153"/>
    <mergeCell ref="B154:S154"/>
    <mergeCell ref="BC154:BD154"/>
    <mergeCell ref="BE154:BG154"/>
    <mergeCell ref="BI154:BM154"/>
    <mergeCell ref="BN154:BT154"/>
    <mergeCell ref="BC153:BD153"/>
    <mergeCell ref="BE153:BG153"/>
    <mergeCell ref="BI153:BM153"/>
    <mergeCell ref="BC152:BD152"/>
    <mergeCell ref="BE152:BG152"/>
    <mergeCell ref="BH152:BL152"/>
    <mergeCell ref="AD151:AI151"/>
    <mergeCell ref="AJ151:AP151"/>
    <mergeCell ref="AQ151:AT151"/>
    <mergeCell ref="AU151:AX151"/>
    <mergeCell ref="BE163:BG163"/>
    <mergeCell ref="BI163:BM163"/>
    <mergeCell ref="AM154:BB154"/>
    <mergeCell ref="AM156:BB156"/>
    <mergeCell ref="BN163:BT163"/>
    <mergeCell ref="BE167:CA167"/>
    <mergeCell ref="BE168:BG168"/>
    <mergeCell ref="BH168:BL168"/>
    <mergeCell ref="BE160:BG160"/>
    <mergeCell ref="BH160:BL160"/>
    <mergeCell ref="BE161:BG161"/>
    <mergeCell ref="BI161:BM161"/>
    <mergeCell ref="BN161:BT161"/>
    <mergeCell ref="BE162:BG162"/>
    <mergeCell ref="BI162:BM162"/>
    <mergeCell ref="BN162:BT162"/>
    <mergeCell ref="BE171:BG171"/>
    <mergeCell ref="BI171:BM171"/>
    <mergeCell ref="BN171:BT171"/>
    <mergeCell ref="BE175:CA175"/>
    <mergeCell ref="BE176:BG176"/>
    <mergeCell ref="BH176:BL176"/>
    <mergeCell ref="BE169:BG169"/>
    <mergeCell ref="BI169:BM169"/>
    <mergeCell ref="BN169:BT169"/>
    <mergeCell ref="BE170:BG170"/>
    <mergeCell ref="BI170:BM170"/>
    <mergeCell ref="BN170:BT170"/>
    <mergeCell ref="BE179:BG179"/>
    <mergeCell ref="BI179:BM179"/>
    <mergeCell ref="BN179:BT179"/>
    <mergeCell ref="BE183:CA183"/>
    <mergeCell ref="BE184:BG184"/>
    <mergeCell ref="BH184:BL184"/>
    <mergeCell ref="BE177:BG177"/>
    <mergeCell ref="BI177:BM177"/>
    <mergeCell ref="BN177:BT177"/>
    <mergeCell ref="BE178:BG178"/>
    <mergeCell ref="BI178:BM178"/>
    <mergeCell ref="BN178:BT178"/>
    <mergeCell ref="BE187:BG187"/>
    <mergeCell ref="BI187:BM187"/>
    <mergeCell ref="BN187:BT187"/>
    <mergeCell ref="BE190:CA190"/>
    <mergeCell ref="BE191:BG191"/>
    <mergeCell ref="BH191:BL191"/>
    <mergeCell ref="BE185:BG185"/>
    <mergeCell ref="BI185:BM185"/>
    <mergeCell ref="BN185:BT185"/>
    <mergeCell ref="BE186:BG186"/>
    <mergeCell ref="BI186:BM186"/>
    <mergeCell ref="BN186:BT186"/>
    <mergeCell ref="BN194:BT194"/>
    <mergeCell ref="BE192:BG192"/>
    <mergeCell ref="BI192:BM192"/>
    <mergeCell ref="BN192:BT192"/>
    <mergeCell ref="BE193:BG193"/>
    <mergeCell ref="BI193:BM193"/>
    <mergeCell ref="BN193:BT193"/>
    <mergeCell ref="BE194:BG194"/>
    <mergeCell ref="BI194:BM194"/>
    <mergeCell ref="BN248:BT248"/>
    <mergeCell ref="BE244:CA244"/>
    <mergeCell ref="BE245:BG245"/>
    <mergeCell ref="BH245:BL245"/>
    <mergeCell ref="BE246:BG246"/>
    <mergeCell ref="BI246:BM246"/>
    <mergeCell ref="BN246:BT246"/>
    <mergeCell ref="BE247:BG247"/>
    <mergeCell ref="BI247:BM247"/>
    <mergeCell ref="BN247:BT247"/>
    <mergeCell ref="BE203:BG203"/>
    <mergeCell ref="BI203:BM203"/>
    <mergeCell ref="BN203:BT203"/>
    <mergeCell ref="BE199:CA199"/>
    <mergeCell ref="BE200:BG200"/>
    <mergeCell ref="BH200:BL200"/>
    <mergeCell ref="BE201:BG201"/>
    <mergeCell ref="BN210:BT210"/>
    <mergeCell ref="BE225:BG225"/>
    <mergeCell ref="BI225:BM225"/>
    <mergeCell ref="BN225:BT225"/>
    <mergeCell ref="BE227:BG227"/>
    <mergeCell ref="BE231:CA231"/>
    <mergeCell ref="CE268:CH268"/>
    <mergeCell ref="BE214:CA214"/>
    <mergeCell ref="BE215:BG215"/>
    <mergeCell ref="BH215:BL215"/>
    <mergeCell ref="BE216:BG216"/>
    <mergeCell ref="BI216:BM216"/>
    <mergeCell ref="BN216:BT216"/>
    <mergeCell ref="BE217:BG217"/>
    <mergeCell ref="BI217:BM217"/>
    <mergeCell ref="BN217:BT217"/>
    <mergeCell ref="BE218:BG218"/>
    <mergeCell ref="BI218:BM218"/>
    <mergeCell ref="BN218:BT218"/>
    <mergeCell ref="BE223:CA223"/>
    <mergeCell ref="BE224:BG224"/>
    <mergeCell ref="BH224:BL224"/>
    <mergeCell ref="BI227:BM227"/>
    <mergeCell ref="BN227:BT227"/>
    <mergeCell ref="BE226:BG226"/>
    <mergeCell ref="CE254:CH254"/>
    <mergeCell ref="BE248:BG248"/>
    <mergeCell ref="BI248:BM248"/>
    <mergeCell ref="BE267:BG267"/>
    <mergeCell ref="BH267:BL267"/>
    <mergeCell ref="BE268:BG268"/>
    <mergeCell ref="BI268:BM268"/>
    <mergeCell ref="BN268:BT268"/>
    <mergeCell ref="BI201:BM201"/>
    <mergeCell ref="BN201:BT201"/>
    <mergeCell ref="BE202:BG202"/>
    <mergeCell ref="BI202:BM202"/>
    <mergeCell ref="BN202:BT202"/>
    <mergeCell ref="BE211:BG211"/>
    <mergeCell ref="BI211:BM211"/>
    <mergeCell ref="BN211:BT211"/>
    <mergeCell ref="BE207:CA207"/>
    <mergeCell ref="BE208:BG208"/>
    <mergeCell ref="BH208:BL208"/>
    <mergeCell ref="BE209:BG209"/>
    <mergeCell ref="BI209:BM209"/>
    <mergeCell ref="BN209:BT209"/>
    <mergeCell ref="BE210:BG210"/>
    <mergeCell ref="BI210:BM210"/>
    <mergeCell ref="BE232:BG232"/>
    <mergeCell ref="BI226:BM226"/>
    <mergeCell ref="BN226:BT226"/>
    <mergeCell ref="BH232:BL232"/>
    <mergeCell ref="BI308:BM308"/>
    <mergeCell ref="BN308:BT308"/>
    <mergeCell ref="BE301:BG301"/>
    <mergeCell ref="BE309:BG309"/>
    <mergeCell ref="BI309:BM309"/>
    <mergeCell ref="BN309:BT309"/>
    <mergeCell ref="BE318:BG318"/>
    <mergeCell ref="BI318:BM318"/>
    <mergeCell ref="BI270:BM270"/>
    <mergeCell ref="BN270:BT270"/>
    <mergeCell ref="BE278:BG278"/>
    <mergeCell ref="BI278:BM278"/>
    <mergeCell ref="BN278:BT278"/>
    <mergeCell ref="BE274:CA274"/>
    <mergeCell ref="BE275:BG275"/>
    <mergeCell ref="BH275:BL275"/>
    <mergeCell ref="BE276:BG276"/>
    <mergeCell ref="BI276:BM276"/>
    <mergeCell ref="BN276:BT276"/>
    <mergeCell ref="BE270:BG270"/>
    <mergeCell ref="BN318:BT318"/>
    <mergeCell ref="BE252:CA252"/>
    <mergeCell ref="BE266:CA266"/>
    <mergeCell ref="CE283:CH283"/>
    <mergeCell ref="CK283:CP283"/>
    <mergeCell ref="BE284:BG284"/>
    <mergeCell ref="BI284:BM284"/>
    <mergeCell ref="BN284:BT284"/>
    <mergeCell ref="CE284:CH284"/>
    <mergeCell ref="BE293:BG293"/>
    <mergeCell ref="BI293:BM293"/>
    <mergeCell ref="BN293:BT293"/>
    <mergeCell ref="BE289:CA289"/>
    <mergeCell ref="BE290:BG290"/>
    <mergeCell ref="BH290:BL290"/>
    <mergeCell ref="BE291:BG291"/>
    <mergeCell ref="BI291:BM291"/>
    <mergeCell ref="BN291:BT291"/>
    <mergeCell ref="BE285:BG285"/>
    <mergeCell ref="BI285:BM285"/>
    <mergeCell ref="BN285:BT285"/>
    <mergeCell ref="CE291:CH291"/>
    <mergeCell ref="CK291:CP291"/>
    <mergeCell ref="BE292:BG292"/>
    <mergeCell ref="CK292:CP292"/>
    <mergeCell ref="BE283:BG283"/>
    <mergeCell ref="BI283:BM283"/>
    <mergeCell ref="BE340:BG340"/>
    <mergeCell ref="BI340:BM340"/>
    <mergeCell ref="BN340:BT340"/>
    <mergeCell ref="CE340:CH340"/>
    <mergeCell ref="CK340:CP340"/>
    <mergeCell ref="BE326:BG326"/>
    <mergeCell ref="BI326:BM326"/>
    <mergeCell ref="BN326:BT326"/>
    <mergeCell ref="CE331:CH331"/>
    <mergeCell ref="CK331:CP331"/>
    <mergeCell ref="BE332:BG332"/>
    <mergeCell ref="BI332:BM332"/>
    <mergeCell ref="BN332:BT332"/>
    <mergeCell ref="CE332:CH332"/>
    <mergeCell ref="CK332:CP332"/>
    <mergeCell ref="BE333:BG333"/>
    <mergeCell ref="BI333:BM333"/>
    <mergeCell ref="BN333:BT333"/>
    <mergeCell ref="BE329:CA329"/>
    <mergeCell ref="BE330:BG330"/>
    <mergeCell ref="BH330:BL330"/>
    <mergeCell ref="BE331:BG331"/>
    <mergeCell ref="BI331:BM331"/>
    <mergeCell ref="BN331:BT331"/>
    <mergeCell ref="BE308:BG308"/>
    <mergeCell ref="CE339:CH339"/>
    <mergeCell ref="CK339:CP339"/>
    <mergeCell ref="CE300:CH300"/>
    <mergeCell ref="CK300:CP300"/>
    <mergeCell ref="CE308:CH308"/>
    <mergeCell ref="CK308:CP308"/>
    <mergeCell ref="BE302:BG302"/>
    <mergeCell ref="CJ313:CP313"/>
    <mergeCell ref="BE315:CA315"/>
    <mergeCell ref="BE316:BG316"/>
    <mergeCell ref="BH316:BL316"/>
    <mergeCell ref="BE317:BG317"/>
    <mergeCell ref="BI317:BM317"/>
    <mergeCell ref="BN317:BT317"/>
    <mergeCell ref="CE317:CH317"/>
    <mergeCell ref="CK317:CP317"/>
    <mergeCell ref="CE318:CH318"/>
    <mergeCell ref="CK318:CP318"/>
    <mergeCell ref="BE322:CA322"/>
    <mergeCell ref="BE323:BG323"/>
    <mergeCell ref="BH323:BL323"/>
    <mergeCell ref="BE324:BG324"/>
    <mergeCell ref="BI324:BM324"/>
    <mergeCell ref="CE345:CH345"/>
    <mergeCell ref="CK345:CP345"/>
    <mergeCell ref="BE346:BG346"/>
    <mergeCell ref="BI346:BM346"/>
    <mergeCell ref="BN346:BT346"/>
    <mergeCell ref="CE346:CH346"/>
    <mergeCell ref="CK346:CP346"/>
    <mergeCell ref="AQ2:BC2"/>
    <mergeCell ref="BE341:BG341"/>
    <mergeCell ref="BI341:BM341"/>
    <mergeCell ref="BN341:BT341"/>
    <mergeCell ref="BE337:CA337"/>
    <mergeCell ref="BE338:BG338"/>
    <mergeCell ref="BH338:BL338"/>
    <mergeCell ref="BE339:BG339"/>
    <mergeCell ref="BI339:BM339"/>
    <mergeCell ref="BN339:BT339"/>
    <mergeCell ref="BE281:CA281"/>
    <mergeCell ref="BE282:BG282"/>
    <mergeCell ref="BH282:BL282"/>
    <mergeCell ref="BN283:BT283"/>
    <mergeCell ref="BE319:BG319"/>
    <mergeCell ref="BI319:BM319"/>
    <mergeCell ref="BN319:BT319"/>
    <mergeCell ref="BE347:BG347"/>
    <mergeCell ref="BI347:BM347"/>
    <mergeCell ref="BN347:BT347"/>
    <mergeCell ref="BE343:CA343"/>
    <mergeCell ref="BE344:BG344"/>
    <mergeCell ref="BH344:BL344"/>
    <mergeCell ref="BE345:BG345"/>
    <mergeCell ref="BI345:BM345"/>
    <mergeCell ref="BN345:BT345"/>
  </mergeCells>
  <pageMargins left="0" right="0" top="0" bottom="0" header="0.31496062992125984" footer="0.31496062992125984"/>
  <pageSetup paperSize="9" scale="75" fitToHeight="0" orientation="portrait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  <pageSetUpPr fitToPage="1"/>
  </sheetPr>
  <dimension ref="A1:LR301"/>
  <sheetViews>
    <sheetView topLeftCell="A136" workbookViewId="0">
      <selection activeCell="BE297" sqref="BE297:BI297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6" width="1.85546875" style="117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4.42578125" style="117" customWidth="1"/>
    <col min="55" max="55" width="4.5703125" style="117" customWidth="1"/>
    <col min="56" max="56" width="4.7109375" style="117" customWidth="1"/>
    <col min="57" max="57" width="8.42578125" style="117" customWidth="1"/>
    <col min="58" max="58" width="8.140625" style="117" customWidth="1"/>
    <col min="59" max="59" width="4.140625" style="117" customWidth="1"/>
    <col min="60" max="60" width="7.7109375" style="117" customWidth="1"/>
    <col min="61" max="61" width="3.140625" style="117" customWidth="1"/>
    <col min="62" max="78" width="1.85546875" style="117"/>
    <col min="79" max="82" width="0" style="117" hidden="1" customWidth="1"/>
    <col min="83" max="83" width="8.85546875" style="117" hidden="1" customWidth="1"/>
    <col min="84" max="110" width="0" style="117" hidden="1" customWidth="1"/>
    <col min="111" max="111" width="10.85546875" style="117" hidden="1" customWidth="1"/>
    <col min="112" max="136" width="0" style="117" hidden="1" customWidth="1"/>
    <col min="137" max="137" width="7.85546875" style="117" hidden="1" customWidth="1"/>
    <col min="138" max="163" width="0" style="117" hidden="1" customWidth="1"/>
    <col min="164" max="164" width="9.140625" style="117" hidden="1" customWidth="1"/>
    <col min="165" max="188" width="0" style="117" hidden="1" customWidth="1"/>
    <col min="189" max="193" width="1.85546875" style="117"/>
    <col min="194" max="194" width="5.5703125" style="117" customWidth="1"/>
    <col min="195" max="209" width="1.85546875" style="117"/>
    <col min="210" max="210" width="7.140625" style="117" customWidth="1"/>
    <col min="211" max="211" width="3.5703125" style="117" customWidth="1"/>
    <col min="212" max="231" width="1.85546875" style="117"/>
    <col min="232" max="262" width="0" style="117" hidden="1" customWidth="1"/>
    <col min="263" max="263" width="6.140625" style="117" hidden="1" customWidth="1"/>
    <col min="264" max="264" width="6.28515625" style="117" hidden="1" customWidth="1"/>
    <col min="265" max="317" width="0" style="117" hidden="1" customWidth="1"/>
    <col min="318" max="321" width="1.85546875" style="117"/>
    <col min="322" max="322" width="4.85546875" style="117" customWidth="1"/>
    <col min="323" max="16384" width="1.85546875" style="117"/>
  </cols>
  <sheetData>
    <row r="1" spans="1:53" s="100" customFormat="1" ht="15" customHeight="1" x14ac:dyDescent="0.25">
      <c r="AW1" s="100" t="s">
        <v>83</v>
      </c>
    </row>
    <row r="2" spans="1:53" s="100" customFormat="1" ht="5.0999999999999996" customHeight="1" x14ac:dyDescent="0.25"/>
    <row r="3" spans="1:53" s="100" customFormat="1" ht="15" customHeight="1" x14ac:dyDescent="0.25">
      <c r="AQ3" s="100" t="s">
        <v>91</v>
      </c>
    </row>
    <row r="4" spans="1:53" s="100" customFormat="1" ht="5.0999999999999996" customHeight="1" x14ac:dyDescent="0.25"/>
    <row r="5" spans="1:53" s="100" customFormat="1" ht="15" customHeight="1" x14ac:dyDescent="0.25"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 t="s">
        <v>85</v>
      </c>
      <c r="AX5" s="100" t="s">
        <v>515</v>
      </c>
    </row>
    <row r="6" spans="1:53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3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3" s="100" customFormat="1" ht="15" customHeight="1" x14ac:dyDescent="0.25">
      <c r="A8" s="756" t="s">
        <v>314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3" s="100" customFormat="1" ht="5.0999999999999996" customHeight="1" x14ac:dyDescent="0.25">
      <c r="A9" s="158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</row>
    <row r="10" spans="1:53" s="100" customFormat="1" ht="15" customHeight="1" x14ac:dyDescent="0.25">
      <c r="A10" s="158"/>
      <c r="B10" s="158" t="s">
        <v>113</v>
      </c>
      <c r="C10" s="757">
        <v>16</v>
      </c>
      <c r="D10" s="757"/>
      <c r="E10" s="757"/>
      <c r="F10" s="158"/>
      <c r="G10" s="757" t="s">
        <v>196</v>
      </c>
      <c r="H10" s="757"/>
      <c r="I10" s="757"/>
      <c r="J10" s="757"/>
      <c r="K10" s="757"/>
      <c r="L10" s="757"/>
      <c r="M10" s="158"/>
      <c r="N10" s="756">
        <v>2019</v>
      </c>
      <c r="O10" s="756"/>
      <c r="P10" s="756"/>
      <c r="Q10" s="756"/>
      <c r="R10" s="158"/>
      <c r="S10" s="158" t="s">
        <v>114</v>
      </c>
      <c r="T10" s="158"/>
      <c r="U10" s="756" t="s">
        <v>115</v>
      </c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443"/>
      <c r="AI10" s="443"/>
      <c r="AJ10" s="757">
        <v>31</v>
      </c>
      <c r="AK10" s="757"/>
      <c r="AL10" s="757"/>
      <c r="AM10" s="158"/>
      <c r="AN10" s="757" t="s">
        <v>116</v>
      </c>
      <c r="AO10" s="757"/>
      <c r="AP10" s="757"/>
      <c r="AQ10" s="757"/>
      <c r="AR10" s="757"/>
      <c r="AS10" s="757"/>
      <c r="AT10" s="757"/>
      <c r="AU10" s="158"/>
      <c r="AV10" s="756">
        <v>2020</v>
      </c>
      <c r="AW10" s="756"/>
      <c r="AX10" s="756"/>
      <c r="AY10" s="756"/>
      <c r="AZ10" s="158"/>
      <c r="BA10" s="158" t="s">
        <v>114</v>
      </c>
    </row>
    <row r="11" spans="1:53" s="82" customFormat="1" ht="12" customHeight="1" x14ac:dyDescent="0.2"/>
    <row r="12" spans="1:53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72</v>
      </c>
      <c r="V12" s="761"/>
      <c r="W12" s="761"/>
    </row>
    <row r="13" spans="1:53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3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1">
        <v>24</v>
      </c>
      <c r="V14" s="761"/>
      <c r="W14" s="761"/>
    </row>
    <row r="15" spans="1:53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3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2</v>
      </c>
      <c r="V16" s="761"/>
      <c r="W16" s="761"/>
      <c r="X16" s="83" t="s">
        <v>4</v>
      </c>
      <c r="Y16" s="761">
        <v>12</v>
      </c>
      <c r="Z16" s="761"/>
      <c r="AA16" s="761"/>
    </row>
    <row r="17" spans="1:54" ht="5.0999999999999996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530</v>
      </c>
      <c r="AR19" s="162"/>
      <c r="AS19" s="164"/>
      <c r="AX19" s="708">
        <v>15600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419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4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customHeight="1" x14ac:dyDescent="0.2">
      <c r="A24" s="764" t="s">
        <v>117</v>
      </c>
      <c r="B24" s="765"/>
      <c r="C24" s="765"/>
      <c r="D24" s="765"/>
      <c r="E24" s="765"/>
      <c r="F24" s="765"/>
      <c r="G24" s="766"/>
      <c r="H24" s="711" t="s">
        <v>16</v>
      </c>
      <c r="I24" s="712"/>
      <c r="J24" s="712"/>
      <c r="K24" s="712"/>
      <c r="L24" s="712"/>
      <c r="M24" s="712"/>
      <c r="N24" s="712"/>
      <c r="O24" s="712"/>
      <c r="P24" s="712"/>
      <c r="Q24" s="712"/>
      <c r="R24" s="712"/>
      <c r="S24" s="712"/>
      <c r="T24" s="712"/>
      <c r="U24" s="712"/>
      <c r="V24" s="712"/>
      <c r="W24" s="712"/>
      <c r="X24" s="712"/>
      <c r="Y24" s="712"/>
      <c r="Z24" s="723">
        <v>0.2</v>
      </c>
      <c r="AA24" s="723"/>
      <c r="AB24" s="723"/>
      <c r="AC24" s="662">
        <f>(AX51+AX83)*Z24*AH24</f>
        <v>7787.52</v>
      </c>
      <c r="AD24" s="662"/>
      <c r="AE24" s="662"/>
      <c r="AF24" s="662"/>
      <c r="AG24" s="662"/>
      <c r="AH24" s="663">
        <v>1</v>
      </c>
      <c r="AI24" s="663"/>
      <c r="AJ24" s="663"/>
      <c r="AK24" s="663"/>
      <c r="AL24" s="663"/>
      <c r="AM24" s="663"/>
      <c r="AN24" s="662">
        <f>AC24/U12</f>
        <v>108.16000000000001</v>
      </c>
      <c r="AO24" s="662"/>
      <c r="AP24" s="662"/>
      <c r="AQ24" s="662"/>
      <c r="AR24" s="662"/>
      <c r="AS24" s="663" t="s">
        <v>17</v>
      </c>
      <c r="AT24" s="663"/>
      <c r="AU24" s="663"/>
      <c r="AV24" s="663"/>
      <c r="AW24" s="663"/>
      <c r="AX24" s="662" t="s">
        <v>17</v>
      </c>
      <c r="AY24" s="662"/>
      <c r="AZ24" s="662"/>
      <c r="BA24" s="662"/>
      <c r="BB24" s="684"/>
    </row>
    <row r="25" spans="1:54" s="165" customFormat="1" ht="26.25" customHeight="1" x14ac:dyDescent="0.2">
      <c r="A25" s="767"/>
      <c r="B25" s="768"/>
      <c r="C25" s="768"/>
      <c r="D25" s="768"/>
      <c r="E25" s="768"/>
      <c r="F25" s="768"/>
      <c r="G25" s="769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771" t="s">
        <v>89</v>
      </c>
      <c r="B26" s="772"/>
      <c r="C26" s="772"/>
      <c r="D26" s="772"/>
      <c r="E26" s="772"/>
      <c r="F26" s="772"/>
      <c r="G26" s="773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11.25" customHeight="1" x14ac:dyDescent="0.2">
      <c r="A27" s="750"/>
      <c r="B27" s="751"/>
      <c r="C27" s="751"/>
      <c r="D27" s="751"/>
      <c r="E27" s="751"/>
      <c r="F27" s="751"/>
      <c r="G27" s="7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17.25" customHeight="1" thickBot="1" x14ac:dyDescent="0.25">
      <c r="A33" s="753"/>
      <c r="B33" s="754"/>
      <c r="C33" s="754"/>
      <c r="D33" s="754"/>
      <c r="E33" s="754"/>
      <c r="F33" s="754"/>
      <c r="G33" s="775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9"/>
      <c r="AA33" s="729"/>
      <c r="AB33" s="729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191"/>
      <c r="R34" s="187" t="s">
        <v>18</v>
      </c>
      <c r="S34" s="163"/>
      <c r="T34" s="163"/>
      <c r="U34" s="162"/>
      <c r="V34" s="162"/>
      <c r="W34" s="162"/>
      <c r="X34" s="162"/>
      <c r="Y34" s="162"/>
      <c r="Z34" s="162"/>
      <c r="AA34" s="162"/>
      <c r="AB34" s="162"/>
      <c r="AC34" s="162"/>
      <c r="AD34" s="162" t="s">
        <v>19</v>
      </c>
      <c r="AE34" s="162" t="s">
        <v>20</v>
      </c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88"/>
      <c r="AS34" s="702">
        <f>AN24</f>
        <v>108.16000000000001</v>
      </c>
      <c r="AT34" s="702"/>
      <c r="AU34" s="702"/>
      <c r="AV34" s="702"/>
      <c r="AW34" s="702"/>
      <c r="AX34" s="702">
        <f>AC24</f>
        <v>7787.52</v>
      </c>
      <c r="AY34" s="702"/>
      <c r="AZ34" s="702"/>
      <c r="BA34" s="702"/>
      <c r="BB34" s="703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173"/>
      <c r="I35" s="173"/>
      <c r="J35" s="173"/>
      <c r="K35" s="173"/>
      <c r="L35" s="173"/>
      <c r="M35" s="173"/>
      <c r="P35" s="168"/>
      <c r="Q35" s="174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32.664320000000004</v>
      </c>
      <c r="AT35" s="463"/>
      <c r="AU35" s="463"/>
      <c r="AV35" s="463"/>
      <c r="AW35" s="463"/>
      <c r="AX35" s="463">
        <f>AX34*AO35</f>
        <v>2351.83104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173"/>
      <c r="I36" s="173"/>
      <c r="J36" s="173"/>
      <c r="K36" s="173"/>
      <c r="L36" s="173"/>
      <c r="M36" s="173"/>
      <c r="P36" s="168"/>
      <c r="Q36" s="174"/>
      <c r="R36" s="174"/>
      <c r="S36" s="174"/>
      <c r="U36" s="174"/>
      <c r="V36" s="174"/>
      <c r="W36" s="174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8"/>
      <c r="AT36" s="179"/>
      <c r="AU36" s="179"/>
      <c r="AV36" s="179"/>
      <c r="AW36" s="179"/>
      <c r="AX36" s="178"/>
      <c r="AY36" s="179"/>
      <c r="AZ36" s="179"/>
      <c r="BA36" s="179"/>
      <c r="BB36" s="179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420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660"/>
      <c r="B41" s="661"/>
      <c r="C41" s="661"/>
      <c r="D41" s="661"/>
      <c r="E41" s="661"/>
      <c r="F41" s="661"/>
      <c r="G41" s="661"/>
      <c r="H41" s="662" t="s">
        <v>16</v>
      </c>
      <c r="I41" s="662"/>
      <c r="J41" s="662"/>
      <c r="K41" s="662"/>
      <c r="L41" s="662"/>
      <c r="M41" s="662"/>
      <c r="N41" s="662"/>
      <c r="O41" s="662"/>
      <c r="P41" s="662"/>
      <c r="Q41" s="662"/>
      <c r="R41" s="662"/>
      <c r="S41" s="662"/>
      <c r="T41" s="662"/>
      <c r="U41" s="662"/>
      <c r="V41" s="662"/>
      <c r="W41" s="662"/>
      <c r="X41" s="662"/>
      <c r="Y41" s="662"/>
      <c r="Z41" s="723">
        <v>0</v>
      </c>
      <c r="AA41" s="723"/>
      <c r="AB41" s="723"/>
      <c r="AC41" s="662">
        <f>AX83*Z41*AH41</f>
        <v>0</v>
      </c>
      <c r="AD41" s="662"/>
      <c r="AE41" s="662"/>
      <c r="AF41" s="662"/>
      <c r="AG41" s="662"/>
      <c r="AH41" s="508">
        <v>1</v>
      </c>
      <c r="AI41" s="509"/>
      <c r="AJ41" s="509"/>
      <c r="AK41" s="509"/>
      <c r="AL41" s="509"/>
      <c r="AM41" s="510"/>
      <c r="AN41" s="711">
        <f>AC41/U12</f>
        <v>0</v>
      </c>
      <c r="AO41" s="712"/>
      <c r="AP41" s="712"/>
      <c r="AQ41" s="712"/>
      <c r="AR41" s="734"/>
      <c r="AS41" s="508" t="s">
        <v>17</v>
      </c>
      <c r="AT41" s="509"/>
      <c r="AU41" s="509"/>
      <c r="AV41" s="509"/>
      <c r="AW41" s="510"/>
      <c r="AX41" s="711" t="s">
        <v>17</v>
      </c>
      <c r="AY41" s="712"/>
      <c r="AZ41" s="712"/>
      <c r="BA41" s="712"/>
      <c r="BB41" s="713"/>
    </row>
    <row r="42" spans="1:54" s="165" customFormat="1" ht="0.75" hidden="1" customHeight="1" x14ac:dyDescent="0.2">
      <c r="A42" s="652"/>
      <c r="B42" s="653"/>
      <c r="C42" s="653"/>
      <c r="D42" s="653"/>
      <c r="E42" s="653"/>
      <c r="F42" s="653"/>
      <c r="G42" s="653"/>
      <c r="H42" s="601"/>
      <c r="I42" s="601"/>
      <c r="J42" s="601"/>
      <c r="K42" s="601"/>
      <c r="L42" s="601"/>
      <c r="M42" s="601"/>
      <c r="N42" s="601"/>
      <c r="O42" s="601"/>
      <c r="P42" s="601"/>
      <c r="Q42" s="601"/>
      <c r="R42" s="601"/>
      <c r="S42" s="601"/>
      <c r="T42" s="601"/>
      <c r="U42" s="601"/>
      <c r="V42" s="601"/>
      <c r="W42" s="601"/>
      <c r="X42" s="601"/>
      <c r="Y42" s="601"/>
      <c r="Z42" s="726"/>
      <c r="AA42" s="726"/>
      <c r="AB42" s="726"/>
      <c r="AC42" s="601"/>
      <c r="AD42" s="601"/>
      <c r="AE42" s="601"/>
      <c r="AF42" s="601"/>
      <c r="AG42" s="601"/>
      <c r="AH42" s="511"/>
      <c r="AI42" s="512"/>
      <c r="AJ42" s="512"/>
      <c r="AK42" s="512"/>
      <c r="AL42" s="512"/>
      <c r="AM42" s="513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714"/>
      <c r="AY42" s="704"/>
      <c r="AZ42" s="704"/>
      <c r="BA42" s="704"/>
      <c r="BB42" s="715"/>
    </row>
    <row r="43" spans="1:54" ht="18" customHeight="1" x14ac:dyDescent="0.2">
      <c r="A43" s="652"/>
      <c r="B43" s="653"/>
      <c r="C43" s="653"/>
      <c r="D43" s="653"/>
      <c r="E43" s="653"/>
      <c r="F43" s="653"/>
      <c r="G43" s="653"/>
      <c r="H43" s="601"/>
      <c r="I43" s="601"/>
      <c r="J43" s="601"/>
      <c r="K43" s="601"/>
      <c r="L43" s="601"/>
      <c r="M43" s="601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726"/>
      <c r="AA43" s="726"/>
      <c r="AB43" s="726"/>
      <c r="AC43" s="601"/>
      <c r="AD43" s="601"/>
      <c r="AE43" s="601"/>
      <c r="AF43" s="601"/>
      <c r="AG43" s="601"/>
      <c r="AH43" s="736"/>
      <c r="AI43" s="737"/>
      <c r="AJ43" s="737"/>
      <c r="AK43" s="737"/>
      <c r="AL43" s="737"/>
      <c r="AM43" s="738"/>
      <c r="AN43" s="716"/>
      <c r="AO43" s="669"/>
      <c r="AP43" s="669"/>
      <c r="AQ43" s="669"/>
      <c r="AR43" s="670"/>
      <c r="AS43" s="736"/>
      <c r="AT43" s="737"/>
      <c r="AU43" s="737"/>
      <c r="AV43" s="737"/>
      <c r="AW43" s="738"/>
      <c r="AX43" s="716"/>
      <c r="AY43" s="669"/>
      <c r="AZ43" s="669"/>
      <c r="BA43" s="669"/>
      <c r="BB43" s="717"/>
    </row>
    <row r="44" spans="1:54" s="165" customFormat="1" ht="21" hidden="1" customHeight="1" x14ac:dyDescent="0.2">
      <c r="A44" s="652"/>
      <c r="B44" s="653"/>
      <c r="C44" s="653"/>
      <c r="D44" s="653"/>
      <c r="E44" s="653"/>
      <c r="F44" s="653"/>
      <c r="G44" s="653"/>
      <c r="H44" s="601"/>
      <c r="I44" s="601"/>
      <c r="J44" s="601"/>
      <c r="K44" s="601"/>
      <c r="L44" s="601"/>
      <c r="M44" s="601"/>
      <c r="N44" s="601"/>
      <c r="O44" s="601"/>
      <c r="P44" s="601"/>
      <c r="Q44" s="601"/>
      <c r="R44" s="601"/>
      <c r="S44" s="601"/>
      <c r="T44" s="601"/>
      <c r="U44" s="601"/>
      <c r="V44" s="601"/>
      <c r="W44" s="601"/>
      <c r="X44" s="601"/>
      <c r="Y44" s="601"/>
      <c r="Z44" s="726"/>
      <c r="AA44" s="726"/>
      <c r="AB44" s="726"/>
      <c r="AC44" s="279"/>
      <c r="AD44" s="279"/>
      <c r="AE44" s="279"/>
      <c r="AF44" s="279"/>
      <c r="AG44" s="279"/>
      <c r="AH44" s="180"/>
      <c r="AI44" s="181"/>
      <c r="AJ44" s="181"/>
      <c r="AK44" s="181"/>
      <c r="AL44" s="181"/>
      <c r="AM44" s="182"/>
      <c r="AN44" s="86"/>
      <c r="AO44" s="84"/>
      <c r="AP44" s="84"/>
      <c r="AQ44" s="84"/>
      <c r="AR44" s="85"/>
      <c r="AS44" s="180"/>
      <c r="AT44" s="181"/>
      <c r="AU44" s="181"/>
      <c r="AV44" s="181"/>
      <c r="AW44" s="182"/>
      <c r="AX44" s="86"/>
      <c r="AY44" s="84"/>
      <c r="AZ44" s="84"/>
      <c r="BA44" s="84"/>
      <c r="BB44" s="255"/>
    </row>
    <row r="45" spans="1:54" s="165" customFormat="1" ht="21.75" hidden="1" customHeight="1" x14ac:dyDescent="0.2">
      <c r="A45" s="652"/>
      <c r="B45" s="653"/>
      <c r="C45" s="653"/>
      <c r="D45" s="653"/>
      <c r="E45" s="653"/>
      <c r="F45" s="653"/>
      <c r="G45" s="653"/>
      <c r="H45" s="601"/>
      <c r="I45" s="601"/>
      <c r="J45" s="601"/>
      <c r="K45" s="601"/>
      <c r="L45" s="601"/>
      <c r="M45" s="601"/>
      <c r="N45" s="601"/>
      <c r="O45" s="601"/>
      <c r="P45" s="601"/>
      <c r="Q45" s="601"/>
      <c r="R45" s="601"/>
      <c r="S45" s="601"/>
      <c r="T45" s="601"/>
      <c r="U45" s="601"/>
      <c r="V45" s="601"/>
      <c r="W45" s="601"/>
      <c r="X45" s="601"/>
      <c r="Y45" s="601"/>
      <c r="Z45" s="726"/>
      <c r="AA45" s="726"/>
      <c r="AB45" s="726"/>
      <c r="AC45" s="279"/>
      <c r="AD45" s="279"/>
      <c r="AE45" s="279"/>
      <c r="AF45" s="279"/>
      <c r="AG45" s="279"/>
      <c r="AH45" s="180"/>
      <c r="AI45" s="181"/>
      <c r="AJ45" s="181"/>
      <c r="AK45" s="181"/>
      <c r="AL45" s="181"/>
      <c r="AM45" s="182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255"/>
    </row>
    <row r="46" spans="1:54" s="165" customFormat="1" ht="24" hidden="1" customHeight="1" x14ac:dyDescent="0.2">
      <c r="A46" s="652"/>
      <c r="B46" s="653"/>
      <c r="C46" s="653"/>
      <c r="D46" s="653"/>
      <c r="E46" s="653"/>
      <c r="F46" s="653"/>
      <c r="G46" s="653"/>
      <c r="H46" s="601"/>
      <c r="I46" s="601"/>
      <c r="J46" s="601"/>
      <c r="K46" s="601"/>
      <c r="L46" s="601"/>
      <c r="M46" s="601"/>
      <c r="N46" s="601"/>
      <c r="O46" s="601"/>
      <c r="P46" s="601"/>
      <c r="Q46" s="601"/>
      <c r="R46" s="601"/>
      <c r="S46" s="601"/>
      <c r="T46" s="601"/>
      <c r="U46" s="601"/>
      <c r="V46" s="601"/>
      <c r="W46" s="601"/>
      <c r="X46" s="601"/>
      <c r="Y46" s="601"/>
      <c r="Z46" s="726"/>
      <c r="AA46" s="726"/>
      <c r="AB46" s="726"/>
      <c r="AC46" s="279"/>
      <c r="AD46" s="279"/>
      <c r="AE46" s="279"/>
      <c r="AF46" s="279"/>
      <c r="AG46" s="279"/>
      <c r="AH46" s="180"/>
      <c r="AI46" s="181"/>
      <c r="AJ46" s="181"/>
      <c r="AK46" s="181"/>
      <c r="AL46" s="181"/>
      <c r="AM46" s="182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255"/>
    </row>
    <row r="47" spans="1:54" s="165" customFormat="1" ht="18" hidden="1" customHeight="1" x14ac:dyDescent="0.2">
      <c r="A47" s="652"/>
      <c r="B47" s="653"/>
      <c r="C47" s="653"/>
      <c r="D47" s="653"/>
      <c r="E47" s="653"/>
      <c r="F47" s="653"/>
      <c r="G47" s="653"/>
      <c r="H47" s="601"/>
      <c r="I47" s="601"/>
      <c r="J47" s="601"/>
      <c r="K47" s="601"/>
      <c r="L47" s="601"/>
      <c r="M47" s="601"/>
      <c r="N47" s="601"/>
      <c r="O47" s="601"/>
      <c r="P47" s="601"/>
      <c r="Q47" s="601"/>
      <c r="R47" s="601"/>
      <c r="S47" s="601"/>
      <c r="T47" s="601"/>
      <c r="U47" s="601"/>
      <c r="V47" s="601"/>
      <c r="W47" s="601"/>
      <c r="X47" s="601"/>
      <c r="Y47" s="601"/>
      <c r="Z47" s="726"/>
      <c r="AA47" s="726"/>
      <c r="AB47" s="726"/>
      <c r="AC47" s="279"/>
      <c r="AD47" s="279"/>
      <c r="AE47" s="279"/>
      <c r="AF47" s="279"/>
      <c r="AG47" s="279"/>
      <c r="AH47" s="180"/>
      <c r="AI47" s="181"/>
      <c r="AJ47" s="181"/>
      <c r="AK47" s="181"/>
      <c r="AL47" s="181"/>
      <c r="AM47" s="182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255"/>
    </row>
    <row r="48" spans="1:54" s="165" customFormat="1" ht="17.25" hidden="1" customHeight="1" x14ac:dyDescent="0.2">
      <c r="A48" s="652"/>
      <c r="B48" s="653"/>
      <c r="C48" s="653"/>
      <c r="D48" s="653"/>
      <c r="E48" s="653"/>
      <c r="F48" s="653"/>
      <c r="G48" s="653"/>
      <c r="H48" s="601"/>
      <c r="I48" s="601"/>
      <c r="J48" s="601"/>
      <c r="K48" s="601"/>
      <c r="L48" s="601"/>
      <c r="M48" s="601"/>
      <c r="N48" s="601"/>
      <c r="O48" s="601"/>
      <c r="P48" s="601"/>
      <c r="Q48" s="601"/>
      <c r="R48" s="601"/>
      <c r="S48" s="601"/>
      <c r="T48" s="601"/>
      <c r="U48" s="601"/>
      <c r="V48" s="601"/>
      <c r="W48" s="601"/>
      <c r="X48" s="601"/>
      <c r="Y48" s="601"/>
      <c r="Z48" s="726"/>
      <c r="AA48" s="726"/>
      <c r="AB48" s="726"/>
      <c r="AC48" s="279"/>
      <c r="AD48" s="279"/>
      <c r="AE48" s="279"/>
      <c r="AF48" s="279"/>
      <c r="AG48" s="279"/>
      <c r="AH48" s="180"/>
      <c r="AI48" s="181"/>
      <c r="AJ48" s="181"/>
      <c r="AK48" s="181"/>
      <c r="AL48" s="181"/>
      <c r="AM48" s="182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255"/>
    </row>
    <row r="49" spans="1:54" s="165" customFormat="1" ht="14.25" hidden="1" customHeight="1" x14ac:dyDescent="0.2">
      <c r="A49" s="652"/>
      <c r="B49" s="653"/>
      <c r="C49" s="653"/>
      <c r="D49" s="653"/>
      <c r="E49" s="653"/>
      <c r="F49" s="653"/>
      <c r="G49" s="653"/>
      <c r="H49" s="601"/>
      <c r="I49" s="601"/>
      <c r="J49" s="601"/>
      <c r="K49" s="601"/>
      <c r="L49" s="601"/>
      <c r="M49" s="601"/>
      <c r="N49" s="601"/>
      <c r="O49" s="601"/>
      <c r="P49" s="601"/>
      <c r="Q49" s="601"/>
      <c r="R49" s="601"/>
      <c r="S49" s="601"/>
      <c r="T49" s="601"/>
      <c r="U49" s="601"/>
      <c r="V49" s="601"/>
      <c r="W49" s="601"/>
      <c r="X49" s="601"/>
      <c r="Y49" s="601"/>
      <c r="Z49" s="726"/>
      <c r="AA49" s="726"/>
      <c r="AB49" s="726"/>
      <c r="AC49" s="279"/>
      <c r="AD49" s="279"/>
      <c r="AE49" s="279"/>
      <c r="AF49" s="279"/>
      <c r="AG49" s="279"/>
      <c r="AH49" s="180"/>
      <c r="AI49" s="181"/>
      <c r="AJ49" s="181"/>
      <c r="AK49" s="181"/>
      <c r="AL49" s="181"/>
      <c r="AM49" s="182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255"/>
    </row>
    <row r="50" spans="1:54" ht="0.75" customHeight="1" thickBot="1" x14ac:dyDescent="0.25">
      <c r="A50" s="681"/>
      <c r="B50" s="682"/>
      <c r="C50" s="682"/>
      <c r="D50" s="682"/>
      <c r="E50" s="682"/>
      <c r="F50" s="682"/>
      <c r="G50" s="682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  <c r="V50" s="656"/>
      <c r="W50" s="656"/>
      <c r="X50" s="656"/>
      <c r="Y50" s="656"/>
      <c r="Z50" s="729"/>
      <c r="AA50" s="729"/>
      <c r="AB50" s="729"/>
      <c r="AC50" s="280"/>
      <c r="AD50" s="280"/>
      <c r="AE50" s="280"/>
      <c r="AF50" s="280"/>
      <c r="AG50" s="280"/>
      <c r="AH50" s="259"/>
      <c r="AI50" s="260"/>
      <c r="AJ50" s="260"/>
      <c r="AK50" s="260"/>
      <c r="AL50" s="260"/>
      <c r="AM50" s="261"/>
      <c r="AN50" s="256"/>
      <c r="AO50" s="257"/>
      <c r="AP50" s="257"/>
      <c r="AQ50" s="257"/>
      <c r="AR50" s="258"/>
      <c r="AS50" s="259"/>
      <c r="AT50" s="260"/>
      <c r="AU50" s="260"/>
      <c r="AV50" s="260"/>
      <c r="AW50" s="261"/>
      <c r="AX50" s="256"/>
      <c r="AY50" s="257"/>
      <c r="AZ50" s="257"/>
      <c r="BA50" s="257"/>
      <c r="BB50" s="262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189"/>
      <c r="I52" s="189"/>
      <c r="J52" s="189"/>
      <c r="K52" s="189"/>
      <c r="L52" s="164"/>
      <c r="M52" s="164"/>
      <c r="N52" s="164"/>
      <c r="O52" s="164"/>
      <c r="P52" s="164"/>
      <c r="Q52" s="190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1317" t="s">
        <v>101</v>
      </c>
      <c r="B58" s="1318"/>
      <c r="C58" s="1318"/>
      <c r="D58" s="1318"/>
      <c r="E58" s="1318"/>
      <c r="F58" s="1318"/>
      <c r="G58" s="1318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96"/>
      <c r="AC58" s="662">
        <f>((R59+(R59*U61)+(R59*Q61)+(R59*M61)+(R59*I61))*Z61)</f>
        <v>40560</v>
      </c>
      <c r="AD58" s="662"/>
      <c r="AE58" s="662"/>
      <c r="AF58" s="662"/>
      <c r="AG58" s="662"/>
      <c r="AH58" s="662">
        <v>75</v>
      </c>
      <c r="AI58" s="662"/>
      <c r="AJ58" s="662"/>
      <c r="AK58" s="662"/>
      <c r="AL58" s="662"/>
      <c r="AM58" s="662"/>
      <c r="AN58" s="662">
        <f>AC58/AH58</f>
        <v>540.79999999999995</v>
      </c>
      <c r="AO58" s="662"/>
      <c r="AP58" s="662"/>
      <c r="AQ58" s="662"/>
      <c r="AR58" s="662"/>
      <c r="AS58" s="663">
        <f>U12</f>
        <v>72</v>
      </c>
      <c r="AT58" s="663"/>
      <c r="AU58" s="663"/>
      <c r="AV58" s="663"/>
      <c r="AW58" s="663"/>
      <c r="AX58" s="662">
        <f>AN58*AS58</f>
        <v>38937.599999999999</v>
      </c>
      <c r="AY58" s="662"/>
      <c r="AZ58" s="662"/>
      <c r="BA58" s="662"/>
      <c r="BB58" s="684"/>
    </row>
    <row r="59" spans="1:54" s="165" customFormat="1" ht="20.25" customHeight="1" x14ac:dyDescent="0.2">
      <c r="A59" s="1319"/>
      <c r="B59" s="1320"/>
      <c r="C59" s="1320"/>
      <c r="D59" s="1320"/>
      <c r="E59" s="1320"/>
      <c r="F59" s="1320"/>
      <c r="G59" s="1320"/>
      <c r="H59" s="714" t="s">
        <v>26</v>
      </c>
      <c r="I59" s="704"/>
      <c r="J59" s="704"/>
      <c r="K59" s="704"/>
      <c r="L59" s="704"/>
      <c r="M59" s="704"/>
      <c r="N59" s="669">
        <v>0</v>
      </c>
      <c r="O59" s="669"/>
      <c r="P59" s="669"/>
      <c r="Q59" s="84" t="s">
        <v>27</v>
      </c>
      <c r="R59" s="669">
        <v>15600</v>
      </c>
      <c r="S59" s="669"/>
      <c r="T59" s="669"/>
      <c r="U59" s="669"/>
      <c r="V59" s="669"/>
      <c r="W59" s="84" t="s">
        <v>28</v>
      </c>
      <c r="X59" s="84" t="s">
        <v>29</v>
      </c>
      <c r="Y59" s="84"/>
      <c r="Z59" s="84"/>
      <c r="AA59" s="84"/>
      <c r="AB59" s="85"/>
      <c r="AC59" s="601"/>
      <c r="AD59" s="601"/>
      <c r="AE59" s="601"/>
      <c r="AF59" s="601"/>
      <c r="AG59" s="601"/>
      <c r="AH59" s="601"/>
      <c r="AI59" s="601"/>
      <c r="AJ59" s="601"/>
      <c r="AK59" s="601"/>
      <c r="AL59" s="601"/>
      <c r="AM59" s="601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1319"/>
      <c r="B60" s="1320"/>
      <c r="C60" s="1320"/>
      <c r="D60" s="1320"/>
      <c r="E60" s="1320"/>
      <c r="F60" s="1320"/>
      <c r="G60" s="1320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601"/>
      <c r="AD60" s="601"/>
      <c r="AE60" s="601"/>
      <c r="AF60" s="601"/>
      <c r="AG60" s="601"/>
      <c r="AH60" s="601"/>
      <c r="AI60" s="601"/>
      <c r="AJ60" s="601"/>
      <c r="AK60" s="601"/>
      <c r="AL60" s="601"/>
      <c r="AM60" s="601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1.25" customHeight="1" x14ac:dyDescent="0.2">
      <c r="A61" s="1319"/>
      <c r="B61" s="1320"/>
      <c r="C61" s="1320"/>
      <c r="D61" s="1320"/>
      <c r="E61" s="1320"/>
      <c r="F61" s="1320"/>
      <c r="G61" s="1320"/>
      <c r="H61" s="97" t="s">
        <v>30</v>
      </c>
      <c r="I61" s="792">
        <v>0</v>
      </c>
      <c r="J61" s="792"/>
      <c r="K61" s="792"/>
      <c r="L61" s="84" t="s">
        <v>79</v>
      </c>
      <c r="M61" s="792">
        <v>0</v>
      </c>
      <c r="N61" s="792"/>
      <c r="O61" s="792"/>
      <c r="P61" s="84" t="s">
        <v>79</v>
      </c>
      <c r="Q61" s="792">
        <v>0</v>
      </c>
      <c r="R61" s="792"/>
      <c r="S61" s="792"/>
      <c r="T61" s="84" t="s">
        <v>79</v>
      </c>
      <c r="U61" s="792">
        <v>0</v>
      </c>
      <c r="V61" s="792"/>
      <c r="W61" s="792"/>
      <c r="X61" s="84" t="s">
        <v>31</v>
      </c>
      <c r="Y61" s="84" t="s">
        <v>28</v>
      </c>
      <c r="Z61" s="669">
        <v>2.6</v>
      </c>
      <c r="AA61" s="669"/>
      <c r="AB61" s="670"/>
      <c r="AC61" s="601"/>
      <c r="AD61" s="601"/>
      <c r="AE61" s="601"/>
      <c r="AF61" s="601"/>
      <c r="AG61" s="601"/>
      <c r="AH61" s="601"/>
      <c r="AI61" s="601"/>
      <c r="AJ61" s="601"/>
      <c r="AK61" s="601"/>
      <c r="AL61" s="601"/>
      <c r="AM61" s="601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" customHeight="1" thickBot="1" x14ac:dyDescent="0.25">
      <c r="A62" s="1321"/>
      <c r="B62" s="1322"/>
      <c r="C62" s="1322"/>
      <c r="D62" s="1322"/>
      <c r="E62" s="1322"/>
      <c r="F62" s="1322"/>
      <c r="G62" s="1322"/>
      <c r="H62" s="256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8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83"/>
      <c r="AT62" s="683"/>
      <c r="AU62" s="683"/>
      <c r="AV62" s="683"/>
      <c r="AW62" s="683"/>
      <c r="AX62" s="656"/>
      <c r="AY62" s="656"/>
      <c r="AZ62" s="656"/>
      <c r="BA62" s="656"/>
      <c r="BB62" s="657"/>
    </row>
    <row r="63" spans="1:54" ht="5.0999999999999996" hidden="1" customHeight="1" x14ac:dyDescent="0.2">
      <c r="A63" s="666"/>
      <c r="B63" s="667"/>
      <c r="C63" s="667"/>
      <c r="D63" s="667"/>
      <c r="E63" s="667"/>
      <c r="F63" s="667"/>
      <c r="G63" s="667"/>
      <c r="H63" s="193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94" t="e">
        <f>#REF!</f>
        <v>#REF!</v>
      </c>
      <c r="AA63" s="191"/>
      <c r="AB63" s="195"/>
      <c r="AC63" s="477">
        <f>((R64+(R64*U66)+(R64*Q66)+(R64*M66)+(R64*I66))*Z66)*1.15</f>
        <v>0</v>
      </c>
      <c r="AD63" s="477"/>
      <c r="AE63" s="477"/>
      <c r="AF63" s="477"/>
      <c r="AG63" s="477"/>
      <c r="AH63" s="477">
        <v>1</v>
      </c>
      <c r="AI63" s="477"/>
      <c r="AJ63" s="477"/>
      <c r="AK63" s="477"/>
      <c r="AL63" s="477"/>
      <c r="AM63" s="477"/>
      <c r="AN63" s="477">
        <f>AC63/AH63</f>
        <v>0</v>
      </c>
      <c r="AO63" s="477"/>
      <c r="AP63" s="477"/>
      <c r="AQ63" s="477"/>
      <c r="AR63" s="477"/>
      <c r="AS63" s="668">
        <f t="shared" ref="AS63" si="0">U17</f>
        <v>0</v>
      </c>
      <c r="AT63" s="668"/>
      <c r="AU63" s="668"/>
      <c r="AV63" s="668"/>
      <c r="AW63" s="668"/>
      <c r="AX63" s="477">
        <f>AN63*AS63</f>
        <v>0</v>
      </c>
      <c r="AY63" s="477"/>
      <c r="AZ63" s="477"/>
      <c r="BA63" s="477"/>
      <c r="BB63" s="481"/>
    </row>
    <row r="64" spans="1:54" s="165" customFormat="1" ht="11.25" hidden="1" customHeight="1" x14ac:dyDescent="0.2">
      <c r="A64" s="652"/>
      <c r="B64" s="653"/>
      <c r="C64" s="653"/>
      <c r="D64" s="653"/>
      <c r="E64" s="653"/>
      <c r="F64" s="653"/>
      <c r="G64" s="653"/>
      <c r="H64" s="658" t="s">
        <v>26</v>
      </c>
      <c r="I64" s="659"/>
      <c r="J64" s="659"/>
      <c r="K64" s="659"/>
      <c r="L64" s="659"/>
      <c r="M64" s="659"/>
      <c r="N64" s="650">
        <v>0</v>
      </c>
      <c r="O64" s="650"/>
      <c r="P64" s="650"/>
      <c r="Q64" s="191" t="s">
        <v>27</v>
      </c>
      <c r="R64" s="650">
        <f>$AX$19*N64</f>
        <v>0</v>
      </c>
      <c r="S64" s="650"/>
      <c r="T64" s="650"/>
      <c r="U64" s="650"/>
      <c r="V64" s="650"/>
      <c r="W64" s="191" t="s">
        <v>28</v>
      </c>
      <c r="X64" s="191" t="s">
        <v>29</v>
      </c>
      <c r="Y64" s="191"/>
      <c r="Z64" s="191"/>
      <c r="AA64" s="191"/>
      <c r="AB64" s="195"/>
      <c r="AC64" s="529"/>
      <c r="AD64" s="529"/>
      <c r="AE64" s="529"/>
      <c r="AF64" s="529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664"/>
      <c r="AT64" s="664"/>
      <c r="AU64" s="664"/>
      <c r="AV64" s="664"/>
      <c r="AW64" s="664"/>
      <c r="AX64" s="529"/>
      <c r="AY64" s="529"/>
      <c r="AZ64" s="529"/>
      <c r="BA64" s="529"/>
      <c r="BB64" s="665"/>
    </row>
    <row r="65" spans="1:54" s="165" customFormat="1" ht="5.0999999999999996" hidden="1" customHeight="1" x14ac:dyDescent="0.2">
      <c r="A65" s="652"/>
      <c r="B65" s="653"/>
      <c r="C65" s="653"/>
      <c r="D65" s="653"/>
      <c r="E65" s="653"/>
      <c r="F65" s="653"/>
      <c r="G65" s="653"/>
      <c r="H65" s="196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91"/>
      <c r="AA65" s="191"/>
      <c r="AB65" s="195"/>
      <c r="AC65" s="529"/>
      <c r="AD65" s="529"/>
      <c r="AE65" s="529"/>
      <c r="AF65" s="529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664"/>
      <c r="AT65" s="664"/>
      <c r="AU65" s="664"/>
      <c r="AV65" s="664"/>
      <c r="AW65" s="664"/>
      <c r="AX65" s="529"/>
      <c r="AY65" s="529"/>
      <c r="AZ65" s="529"/>
      <c r="BA65" s="529"/>
      <c r="BB65" s="665"/>
    </row>
    <row r="66" spans="1:54" s="165" customFormat="1" ht="11.25" hidden="1" customHeight="1" x14ac:dyDescent="0.2">
      <c r="A66" s="652"/>
      <c r="B66" s="653"/>
      <c r="C66" s="653"/>
      <c r="D66" s="653"/>
      <c r="E66" s="653"/>
      <c r="F66" s="653"/>
      <c r="G66" s="653"/>
      <c r="H66" s="197" t="s">
        <v>30</v>
      </c>
      <c r="I66" s="654">
        <v>0</v>
      </c>
      <c r="J66" s="654"/>
      <c r="K66" s="654"/>
      <c r="L66" s="191" t="s">
        <v>28</v>
      </c>
      <c r="M66" s="654">
        <v>0</v>
      </c>
      <c r="N66" s="654"/>
      <c r="O66" s="654"/>
      <c r="P66" s="191" t="s">
        <v>28</v>
      </c>
      <c r="Q66" s="654"/>
      <c r="R66" s="654"/>
      <c r="S66" s="654"/>
      <c r="T66" s="191" t="s">
        <v>28</v>
      </c>
      <c r="U66" s="654"/>
      <c r="V66" s="654"/>
      <c r="W66" s="654"/>
      <c r="X66" s="191" t="s">
        <v>31</v>
      </c>
      <c r="Y66" s="191" t="s">
        <v>28</v>
      </c>
      <c r="Z66" s="650">
        <v>2.6</v>
      </c>
      <c r="AA66" s="650"/>
      <c r="AB66" s="651"/>
      <c r="AC66" s="529"/>
      <c r="AD66" s="529"/>
      <c r="AE66" s="529"/>
      <c r="AF66" s="529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664"/>
      <c r="AT66" s="664"/>
      <c r="AU66" s="664"/>
      <c r="AV66" s="664"/>
      <c r="AW66" s="664"/>
      <c r="AX66" s="529"/>
      <c r="AY66" s="529"/>
      <c r="AZ66" s="529"/>
      <c r="BA66" s="529"/>
      <c r="BB66" s="665"/>
    </row>
    <row r="67" spans="1:54" s="165" customFormat="1" ht="5.0999999999999996" hidden="1" customHeight="1" thickBot="1" x14ac:dyDescent="0.25">
      <c r="A67" s="652"/>
      <c r="B67" s="653"/>
      <c r="C67" s="653"/>
      <c r="D67" s="653"/>
      <c r="E67" s="653"/>
      <c r="F67" s="653"/>
      <c r="G67" s="653"/>
      <c r="H67" s="198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200"/>
      <c r="AA67" s="200"/>
      <c r="AB67" s="201"/>
      <c r="AC67" s="529"/>
      <c r="AD67" s="529"/>
      <c r="AE67" s="529"/>
      <c r="AF67" s="529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664"/>
      <c r="AT67" s="664"/>
      <c r="AU67" s="664"/>
      <c r="AV67" s="664"/>
      <c r="AW67" s="664"/>
      <c r="AX67" s="529"/>
      <c r="AY67" s="529"/>
      <c r="AZ67" s="529"/>
      <c r="BA67" s="529"/>
      <c r="BB67" s="665"/>
    </row>
    <row r="68" spans="1:54" s="165" customFormat="1" ht="5.0999999999999996" hidden="1" customHeight="1" x14ac:dyDescent="0.2">
      <c r="A68" s="652"/>
      <c r="B68" s="653"/>
      <c r="C68" s="653"/>
      <c r="D68" s="653"/>
      <c r="E68" s="653"/>
      <c r="F68" s="653"/>
      <c r="G68" s="653"/>
      <c r="H68" s="19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94" t="e">
        <f>#REF!</f>
        <v>#REF!</v>
      </c>
      <c r="AA68" s="191"/>
      <c r="AB68" s="195"/>
      <c r="AC68" s="507">
        <f>((R69+(R69*U71)+(R69*Q71)+(R69*M71)+(R69*I71))*Z71)*1.15</f>
        <v>0</v>
      </c>
      <c r="AD68" s="507"/>
      <c r="AE68" s="507"/>
      <c r="AF68" s="507"/>
      <c r="AG68" s="507"/>
      <c r="AH68" s="529">
        <v>1</v>
      </c>
      <c r="AI68" s="529"/>
      <c r="AJ68" s="529"/>
      <c r="AK68" s="529"/>
      <c r="AL68" s="529"/>
      <c r="AM68" s="529"/>
      <c r="AN68" s="529">
        <f>AC68/AH68</f>
        <v>0</v>
      </c>
      <c r="AO68" s="529"/>
      <c r="AP68" s="529"/>
      <c r="AQ68" s="529"/>
      <c r="AR68" s="529"/>
      <c r="AS68" s="663">
        <f t="shared" ref="AS68" si="1">U22</f>
        <v>0</v>
      </c>
      <c r="AT68" s="663"/>
      <c r="AU68" s="663"/>
      <c r="AV68" s="663"/>
      <c r="AW68" s="663"/>
      <c r="AX68" s="529">
        <f>AN68*AS68</f>
        <v>0</v>
      </c>
      <c r="AY68" s="529"/>
      <c r="AZ68" s="529"/>
      <c r="BA68" s="529"/>
      <c r="BB68" s="665"/>
    </row>
    <row r="69" spans="1:54" s="165" customFormat="1" ht="11.25" hidden="1" customHeight="1" x14ac:dyDescent="0.2">
      <c r="A69" s="652"/>
      <c r="B69" s="653"/>
      <c r="C69" s="653"/>
      <c r="D69" s="653"/>
      <c r="E69" s="653"/>
      <c r="F69" s="653"/>
      <c r="G69" s="653"/>
      <c r="H69" s="658" t="s">
        <v>26</v>
      </c>
      <c r="I69" s="659"/>
      <c r="J69" s="659"/>
      <c r="K69" s="659"/>
      <c r="L69" s="659"/>
      <c r="M69" s="659"/>
      <c r="N69" s="650">
        <v>0</v>
      </c>
      <c r="O69" s="650"/>
      <c r="P69" s="650"/>
      <c r="Q69" s="191" t="s">
        <v>27</v>
      </c>
      <c r="R69" s="650">
        <f>$AX$19*N69</f>
        <v>0</v>
      </c>
      <c r="S69" s="650"/>
      <c r="T69" s="650"/>
      <c r="U69" s="650"/>
      <c r="V69" s="650"/>
      <c r="W69" s="191" t="s">
        <v>28</v>
      </c>
      <c r="X69" s="191" t="s">
        <v>29</v>
      </c>
      <c r="Y69" s="191"/>
      <c r="Z69" s="191"/>
      <c r="AA69" s="191"/>
      <c r="AB69" s="195"/>
      <c r="AC69" s="529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529"/>
      <c r="AP69" s="529"/>
      <c r="AQ69" s="529"/>
      <c r="AR69" s="529"/>
      <c r="AS69" s="664"/>
      <c r="AT69" s="664"/>
      <c r="AU69" s="664"/>
      <c r="AV69" s="664"/>
      <c r="AW69" s="664"/>
      <c r="AX69" s="529"/>
      <c r="AY69" s="529"/>
      <c r="AZ69" s="529"/>
      <c r="BA69" s="529"/>
      <c r="BB69" s="665"/>
    </row>
    <row r="70" spans="1:54" ht="5.0999999999999996" hidden="1" customHeight="1" x14ac:dyDescent="0.2">
      <c r="A70" s="652"/>
      <c r="B70" s="653"/>
      <c r="C70" s="653"/>
      <c r="D70" s="653"/>
      <c r="E70" s="653"/>
      <c r="F70" s="653"/>
      <c r="G70" s="653"/>
      <c r="H70" s="19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91"/>
      <c r="AA70" s="191"/>
      <c r="AB70" s="195"/>
      <c r="AC70" s="529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29"/>
      <c r="AS70" s="664"/>
      <c r="AT70" s="664"/>
      <c r="AU70" s="664"/>
      <c r="AV70" s="664"/>
      <c r="AW70" s="664"/>
      <c r="AX70" s="529"/>
      <c r="AY70" s="529"/>
      <c r="AZ70" s="529"/>
      <c r="BA70" s="529"/>
      <c r="BB70" s="665"/>
    </row>
    <row r="71" spans="1:54" s="165" customFormat="1" ht="11.25" hidden="1" customHeight="1" x14ac:dyDescent="0.2">
      <c r="A71" s="652"/>
      <c r="B71" s="653"/>
      <c r="C71" s="653"/>
      <c r="D71" s="653"/>
      <c r="E71" s="653"/>
      <c r="F71" s="653"/>
      <c r="G71" s="653"/>
      <c r="H71" s="197" t="s">
        <v>30</v>
      </c>
      <c r="I71" s="654">
        <v>0</v>
      </c>
      <c r="J71" s="654"/>
      <c r="K71" s="654"/>
      <c r="L71" s="191" t="s">
        <v>28</v>
      </c>
      <c r="M71" s="654">
        <v>0</v>
      </c>
      <c r="N71" s="654"/>
      <c r="O71" s="654"/>
      <c r="P71" s="191" t="s">
        <v>28</v>
      </c>
      <c r="Q71" s="654"/>
      <c r="R71" s="654"/>
      <c r="S71" s="654"/>
      <c r="T71" s="191" t="s">
        <v>28</v>
      </c>
      <c r="U71" s="654"/>
      <c r="V71" s="654"/>
      <c r="W71" s="654"/>
      <c r="X71" s="191" t="s">
        <v>31</v>
      </c>
      <c r="Y71" s="191" t="s">
        <v>28</v>
      </c>
      <c r="Z71" s="650">
        <v>2.6</v>
      </c>
      <c r="AA71" s="650"/>
      <c r="AB71" s="651"/>
      <c r="AC71" s="529"/>
      <c r="AD71" s="529"/>
      <c r="AE71" s="529"/>
      <c r="AF71" s="529"/>
      <c r="AG71" s="529"/>
      <c r="AH71" s="529"/>
      <c r="AI71" s="529"/>
      <c r="AJ71" s="529"/>
      <c r="AK71" s="529"/>
      <c r="AL71" s="529"/>
      <c r="AM71" s="529"/>
      <c r="AN71" s="529"/>
      <c r="AO71" s="529"/>
      <c r="AP71" s="529"/>
      <c r="AQ71" s="529"/>
      <c r="AR71" s="529"/>
      <c r="AS71" s="664"/>
      <c r="AT71" s="664"/>
      <c r="AU71" s="664"/>
      <c r="AV71" s="664"/>
      <c r="AW71" s="664"/>
      <c r="AX71" s="529"/>
      <c r="AY71" s="529"/>
      <c r="AZ71" s="529"/>
      <c r="BA71" s="529"/>
      <c r="BB71" s="665"/>
    </row>
    <row r="72" spans="1:54" s="165" customFormat="1" ht="11.25" hidden="1" customHeight="1" thickBot="1" x14ac:dyDescent="0.25">
      <c r="A72" s="652"/>
      <c r="B72" s="653"/>
      <c r="C72" s="653"/>
      <c r="D72" s="653"/>
      <c r="E72" s="653"/>
      <c r="F72" s="653"/>
      <c r="G72" s="653"/>
      <c r="H72" s="198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200"/>
      <c r="AA72" s="200"/>
      <c r="AB72" s="201"/>
      <c r="AC72" s="529"/>
      <c r="AD72" s="529"/>
      <c r="AE72" s="529"/>
      <c r="AF72" s="529"/>
      <c r="AG72" s="529"/>
      <c r="AH72" s="529"/>
      <c r="AI72" s="529"/>
      <c r="AJ72" s="529"/>
      <c r="AK72" s="529"/>
      <c r="AL72" s="529"/>
      <c r="AM72" s="529"/>
      <c r="AN72" s="529"/>
      <c r="AO72" s="529"/>
      <c r="AP72" s="529"/>
      <c r="AQ72" s="529"/>
      <c r="AR72" s="529"/>
      <c r="AS72" s="664"/>
      <c r="AT72" s="664"/>
      <c r="AU72" s="664"/>
      <c r="AV72" s="664"/>
      <c r="AW72" s="664"/>
      <c r="AX72" s="529"/>
      <c r="AY72" s="529"/>
      <c r="AZ72" s="529"/>
      <c r="BA72" s="529"/>
      <c r="BB72" s="665"/>
    </row>
    <row r="73" spans="1:54" s="165" customFormat="1" ht="15" hidden="1" customHeight="1" x14ac:dyDescent="0.2">
      <c r="A73" s="660" t="s">
        <v>84</v>
      </c>
      <c r="B73" s="661"/>
      <c r="C73" s="661"/>
      <c r="D73" s="661"/>
      <c r="E73" s="661"/>
      <c r="F73" s="661"/>
      <c r="G73" s="661"/>
      <c r="H73" s="19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94" t="e">
        <f>#REF!</f>
        <v>#REF!</v>
      </c>
      <c r="AA73" s="191"/>
      <c r="AB73" s="195"/>
      <c r="AC73" s="507">
        <f>((R74+(R74*U76)+(R74*Q76)+(R74*M76)+(R74*I76))*Z76)</f>
        <v>0</v>
      </c>
      <c r="AD73" s="507"/>
      <c r="AE73" s="507"/>
      <c r="AF73" s="507"/>
      <c r="AG73" s="507"/>
      <c r="AH73" s="529">
        <v>75</v>
      </c>
      <c r="AI73" s="529"/>
      <c r="AJ73" s="529"/>
      <c r="AK73" s="529"/>
      <c r="AL73" s="529"/>
      <c r="AM73" s="529"/>
      <c r="AN73" s="529">
        <f>AC73/AH73</f>
        <v>0</v>
      </c>
      <c r="AO73" s="529"/>
      <c r="AP73" s="529"/>
      <c r="AQ73" s="529"/>
      <c r="AR73" s="529"/>
      <c r="AS73" s="663">
        <f t="shared" ref="AS73" si="2">U27</f>
        <v>0</v>
      </c>
      <c r="AT73" s="663"/>
      <c r="AU73" s="663"/>
      <c r="AV73" s="663"/>
      <c r="AW73" s="663"/>
      <c r="AX73" s="529">
        <f>AN73*AS73</f>
        <v>0</v>
      </c>
      <c r="AY73" s="529"/>
      <c r="AZ73" s="529"/>
      <c r="BA73" s="529"/>
      <c r="BB73" s="665"/>
    </row>
    <row r="74" spans="1:54" s="165" customFormat="1" ht="21" hidden="1" customHeight="1" thickBot="1" x14ac:dyDescent="0.25">
      <c r="A74" s="652"/>
      <c r="B74" s="653"/>
      <c r="C74" s="653"/>
      <c r="D74" s="653"/>
      <c r="E74" s="653"/>
      <c r="F74" s="653"/>
      <c r="G74" s="653"/>
      <c r="H74" s="658" t="s">
        <v>26</v>
      </c>
      <c r="I74" s="659"/>
      <c r="J74" s="659"/>
      <c r="K74" s="659"/>
      <c r="L74" s="659"/>
      <c r="M74" s="659"/>
      <c r="N74" s="650">
        <v>0</v>
      </c>
      <c r="O74" s="650"/>
      <c r="P74" s="650"/>
      <c r="Q74" s="191" t="s">
        <v>27</v>
      </c>
      <c r="R74" s="650">
        <f>$AX$19*N74</f>
        <v>0</v>
      </c>
      <c r="S74" s="650"/>
      <c r="T74" s="650"/>
      <c r="U74" s="650"/>
      <c r="V74" s="650"/>
      <c r="W74" s="191" t="s">
        <v>28</v>
      </c>
      <c r="X74" s="191" t="s">
        <v>29</v>
      </c>
      <c r="Y74" s="191"/>
      <c r="Z74" s="191"/>
      <c r="AA74" s="191"/>
      <c r="AB74" s="195"/>
      <c r="AC74" s="529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29"/>
      <c r="AS74" s="664"/>
      <c r="AT74" s="664"/>
      <c r="AU74" s="664"/>
      <c r="AV74" s="664"/>
      <c r="AW74" s="664"/>
      <c r="AX74" s="529"/>
      <c r="AY74" s="529"/>
      <c r="AZ74" s="529"/>
      <c r="BA74" s="529"/>
      <c r="BB74" s="665"/>
    </row>
    <row r="75" spans="1:54" s="165" customFormat="1" ht="12" hidden="1" customHeight="1" thickBot="1" x14ac:dyDescent="0.25">
      <c r="A75" s="652"/>
      <c r="B75" s="653"/>
      <c r="C75" s="653"/>
      <c r="D75" s="653"/>
      <c r="E75" s="653"/>
      <c r="F75" s="653"/>
      <c r="G75" s="653"/>
      <c r="H75" s="196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91"/>
      <c r="AA75" s="191"/>
      <c r="AB75" s="195"/>
      <c r="AC75" s="529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29"/>
      <c r="AS75" s="664"/>
      <c r="AT75" s="664"/>
      <c r="AU75" s="664"/>
      <c r="AV75" s="664"/>
      <c r="AW75" s="664"/>
      <c r="AX75" s="529"/>
      <c r="AY75" s="529"/>
      <c r="AZ75" s="529"/>
      <c r="BA75" s="529"/>
      <c r="BB75" s="665"/>
    </row>
    <row r="76" spans="1:54" s="165" customFormat="1" ht="15.75" hidden="1" customHeight="1" thickBot="1" x14ac:dyDescent="0.25">
      <c r="A76" s="652"/>
      <c r="B76" s="653"/>
      <c r="C76" s="653"/>
      <c r="D76" s="653"/>
      <c r="E76" s="653"/>
      <c r="F76" s="653"/>
      <c r="G76" s="653"/>
      <c r="H76" s="197" t="s">
        <v>30</v>
      </c>
      <c r="I76" s="654">
        <v>0.2</v>
      </c>
      <c r="J76" s="654"/>
      <c r="K76" s="654"/>
      <c r="L76" s="191" t="s">
        <v>28</v>
      </c>
      <c r="M76" s="654">
        <v>0.15</v>
      </c>
      <c r="N76" s="654"/>
      <c r="O76" s="654"/>
      <c r="P76" s="191" t="s">
        <v>28</v>
      </c>
      <c r="Q76" s="654">
        <v>0.5</v>
      </c>
      <c r="R76" s="654"/>
      <c r="S76" s="654"/>
      <c r="T76" s="191" t="s">
        <v>28</v>
      </c>
      <c r="U76" s="654">
        <v>0</v>
      </c>
      <c r="V76" s="654"/>
      <c r="W76" s="654"/>
      <c r="X76" s="191" t="s">
        <v>31</v>
      </c>
      <c r="Y76" s="191" t="s">
        <v>28</v>
      </c>
      <c r="Z76" s="650">
        <v>2.6</v>
      </c>
      <c r="AA76" s="650"/>
      <c r="AB76" s="651"/>
      <c r="AC76" s="529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29"/>
      <c r="AS76" s="664"/>
      <c r="AT76" s="664"/>
      <c r="AU76" s="664"/>
      <c r="AV76" s="664"/>
      <c r="AW76" s="664"/>
      <c r="AX76" s="529"/>
      <c r="AY76" s="529"/>
      <c r="AZ76" s="529"/>
      <c r="BA76" s="529"/>
      <c r="BB76" s="665"/>
    </row>
    <row r="77" spans="1:54" ht="13.5" hidden="1" customHeight="1" thickBot="1" x14ac:dyDescent="0.25">
      <c r="A77" s="652"/>
      <c r="B77" s="653"/>
      <c r="C77" s="653"/>
      <c r="D77" s="653"/>
      <c r="E77" s="653"/>
      <c r="F77" s="653"/>
      <c r="G77" s="653"/>
      <c r="H77" s="198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200"/>
      <c r="AA77" s="200"/>
      <c r="AB77" s="201"/>
      <c r="AC77" s="529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29"/>
      <c r="AS77" s="664"/>
      <c r="AT77" s="664"/>
      <c r="AU77" s="664"/>
      <c r="AV77" s="664"/>
      <c r="AW77" s="664"/>
      <c r="AX77" s="529"/>
      <c r="AY77" s="529"/>
      <c r="AZ77" s="529"/>
      <c r="BA77" s="529"/>
      <c r="BB77" s="665"/>
    </row>
    <row r="78" spans="1:54" s="165" customFormat="1" ht="8.25" hidden="1" customHeight="1" x14ac:dyDescent="0.2">
      <c r="A78" s="660" t="s">
        <v>86</v>
      </c>
      <c r="B78" s="661"/>
      <c r="C78" s="661"/>
      <c r="D78" s="661"/>
      <c r="E78" s="661"/>
      <c r="F78" s="661"/>
      <c r="G78" s="661"/>
      <c r="H78" s="19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94" t="e">
        <f>#REF!</f>
        <v>#REF!</v>
      </c>
      <c r="AA78" s="191"/>
      <c r="AB78" s="195"/>
      <c r="AC78" s="662">
        <f>((R79+(R79*U81)+(R79*Q81)+(R79*M81)+(R79*I81))*Z81)*1.15</f>
        <v>0</v>
      </c>
      <c r="AD78" s="662"/>
      <c r="AE78" s="662"/>
      <c r="AF78" s="662"/>
      <c r="AG78" s="662"/>
      <c r="AH78" s="601">
        <v>144</v>
      </c>
      <c r="AI78" s="601"/>
      <c r="AJ78" s="601"/>
      <c r="AK78" s="601"/>
      <c r="AL78" s="601"/>
      <c r="AM78" s="601"/>
      <c r="AN78" s="601">
        <f>AC78/AH78</f>
        <v>0</v>
      </c>
      <c r="AO78" s="601"/>
      <c r="AP78" s="601"/>
      <c r="AQ78" s="601"/>
      <c r="AR78" s="601"/>
      <c r="AS78" s="663">
        <v>72</v>
      </c>
      <c r="AT78" s="663"/>
      <c r="AU78" s="663"/>
      <c r="AV78" s="663"/>
      <c r="AW78" s="663"/>
      <c r="AX78" s="601">
        <f>AN78*AS78</f>
        <v>0</v>
      </c>
      <c r="AY78" s="601"/>
      <c r="AZ78" s="601"/>
      <c r="BA78" s="601"/>
      <c r="BB78" s="655"/>
    </row>
    <row r="79" spans="1:54" s="165" customFormat="1" ht="27" hidden="1" customHeight="1" thickBot="1" x14ac:dyDescent="0.25">
      <c r="A79" s="652"/>
      <c r="B79" s="653"/>
      <c r="C79" s="653"/>
      <c r="D79" s="653"/>
      <c r="E79" s="653"/>
      <c r="F79" s="653"/>
      <c r="G79" s="653"/>
      <c r="H79" s="658" t="s">
        <v>26</v>
      </c>
      <c r="I79" s="659"/>
      <c r="J79" s="659"/>
      <c r="K79" s="659"/>
      <c r="L79" s="659"/>
      <c r="M79" s="659"/>
      <c r="N79" s="650">
        <v>0</v>
      </c>
      <c r="O79" s="650"/>
      <c r="P79" s="650"/>
      <c r="Q79" s="191" t="s">
        <v>27</v>
      </c>
      <c r="R79" s="650">
        <f>$AX$19*N79</f>
        <v>0</v>
      </c>
      <c r="S79" s="650"/>
      <c r="T79" s="650"/>
      <c r="U79" s="650"/>
      <c r="V79" s="650"/>
      <c r="W79" s="191" t="s">
        <v>28</v>
      </c>
      <c r="X79" s="191" t="s">
        <v>29</v>
      </c>
      <c r="Y79" s="191"/>
      <c r="Z79" s="191"/>
      <c r="AA79" s="191"/>
      <c r="AB79" s="195"/>
      <c r="AC79" s="601"/>
      <c r="AD79" s="601"/>
      <c r="AE79" s="601"/>
      <c r="AF79" s="601"/>
      <c r="AG79" s="601"/>
      <c r="AH79" s="601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64"/>
      <c r="AT79" s="664"/>
      <c r="AU79" s="664"/>
      <c r="AV79" s="664"/>
      <c r="AW79" s="664"/>
      <c r="AX79" s="601"/>
      <c r="AY79" s="601"/>
      <c r="AZ79" s="601"/>
      <c r="BA79" s="601"/>
      <c r="BB79" s="655"/>
    </row>
    <row r="80" spans="1:54" s="165" customFormat="1" ht="6.75" hidden="1" customHeight="1" thickBot="1" x14ac:dyDescent="0.25">
      <c r="A80" s="652"/>
      <c r="B80" s="653"/>
      <c r="C80" s="653"/>
      <c r="D80" s="653"/>
      <c r="E80" s="653"/>
      <c r="F80" s="653"/>
      <c r="G80" s="653"/>
      <c r="H80" s="19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91"/>
      <c r="AA80" s="191"/>
      <c r="AB80" s="195"/>
      <c r="AC80" s="601"/>
      <c r="AD80" s="601"/>
      <c r="AE80" s="601"/>
      <c r="AF80" s="601"/>
      <c r="AG80" s="601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ht="12" hidden="1" customHeight="1" thickBot="1" x14ac:dyDescent="0.25">
      <c r="A81" s="652"/>
      <c r="B81" s="653"/>
      <c r="C81" s="653"/>
      <c r="D81" s="653"/>
      <c r="E81" s="653"/>
      <c r="F81" s="653"/>
      <c r="G81" s="653"/>
      <c r="H81" s="197" t="s">
        <v>30</v>
      </c>
      <c r="I81" s="654">
        <v>0.2</v>
      </c>
      <c r="J81" s="654"/>
      <c r="K81" s="654"/>
      <c r="L81" s="191" t="s">
        <v>28</v>
      </c>
      <c r="M81" s="654">
        <v>0</v>
      </c>
      <c r="N81" s="654"/>
      <c r="O81" s="654"/>
      <c r="P81" s="191" t="s">
        <v>28</v>
      </c>
      <c r="Q81" s="654">
        <v>0</v>
      </c>
      <c r="R81" s="654"/>
      <c r="S81" s="654"/>
      <c r="T81" s="191" t="s">
        <v>28</v>
      </c>
      <c r="U81" s="654">
        <v>0</v>
      </c>
      <c r="V81" s="654"/>
      <c r="W81" s="654"/>
      <c r="X81" s="191" t="s">
        <v>31</v>
      </c>
      <c r="Y81" s="191" t="s">
        <v>28</v>
      </c>
      <c r="Z81" s="650">
        <v>2.6</v>
      </c>
      <c r="AA81" s="650"/>
      <c r="AB81" s="651"/>
      <c r="AC81" s="601"/>
      <c r="AD81" s="601"/>
      <c r="AE81" s="601"/>
      <c r="AF81" s="601"/>
      <c r="AG81" s="601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3.5" hidden="1" customHeight="1" thickBot="1" x14ac:dyDescent="0.25">
      <c r="A82" s="652"/>
      <c r="B82" s="653"/>
      <c r="C82" s="653"/>
      <c r="D82" s="653"/>
      <c r="E82" s="653"/>
      <c r="F82" s="653"/>
      <c r="G82" s="653"/>
      <c r="H82" s="202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4"/>
      <c r="AA82" s="204"/>
      <c r="AB82" s="205"/>
      <c r="AC82" s="601"/>
      <c r="AD82" s="601"/>
      <c r="AE82" s="601"/>
      <c r="AF82" s="601"/>
      <c r="AG82" s="601"/>
      <c r="AH82" s="656"/>
      <c r="AI82" s="656"/>
      <c r="AJ82" s="656"/>
      <c r="AK82" s="656"/>
      <c r="AL82" s="656"/>
      <c r="AM82" s="656"/>
      <c r="AN82" s="656"/>
      <c r="AO82" s="656"/>
      <c r="AP82" s="656"/>
      <c r="AQ82" s="656"/>
      <c r="AR82" s="656"/>
      <c r="AS82" s="664"/>
      <c r="AT82" s="664"/>
      <c r="AU82" s="664"/>
      <c r="AV82" s="664"/>
      <c r="AW82" s="664"/>
      <c r="AX82" s="656"/>
      <c r="AY82" s="656"/>
      <c r="AZ82" s="656"/>
      <c r="BA82" s="656"/>
      <c r="BB82" s="657"/>
    </row>
    <row r="83" spans="1:54" ht="11.25" customHeight="1" x14ac:dyDescent="0.2">
      <c r="R83" s="169" t="s">
        <v>18</v>
      </c>
      <c r="S83" s="170"/>
      <c r="T83" s="170"/>
      <c r="U83" s="171"/>
      <c r="V83" s="171"/>
      <c r="W83" s="171"/>
      <c r="X83" s="171"/>
      <c r="Y83" s="171"/>
      <c r="Z83" s="171"/>
      <c r="AA83" s="171"/>
      <c r="AB83" s="171"/>
      <c r="AC83" s="171"/>
      <c r="AD83" s="171" t="s">
        <v>19</v>
      </c>
      <c r="AE83" s="171" t="s">
        <v>20</v>
      </c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2"/>
      <c r="AS83" s="453">
        <f>AX83/U12</f>
        <v>540.79999999999995</v>
      </c>
      <c r="AT83" s="453"/>
      <c r="AU83" s="453"/>
      <c r="AV83" s="453"/>
      <c r="AW83" s="453"/>
      <c r="AX83" s="453">
        <f>SUM(AX58:BB82)</f>
        <v>38937.599999999999</v>
      </c>
      <c r="AY83" s="453"/>
      <c r="AZ83" s="453"/>
      <c r="BA83" s="453"/>
      <c r="BB83" s="454"/>
    </row>
    <row r="84" spans="1:54" ht="11.25" customHeight="1" thickBot="1" x14ac:dyDescent="0.25">
      <c r="R84" s="175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 t="s">
        <v>19</v>
      </c>
      <c r="AE84" s="176" t="s">
        <v>21</v>
      </c>
      <c r="AF84" s="176"/>
      <c r="AG84" s="176"/>
      <c r="AH84" s="176"/>
      <c r="AI84" s="176"/>
      <c r="AJ84" s="176"/>
      <c r="AK84" s="176"/>
      <c r="AL84" s="176"/>
      <c r="AM84" s="176"/>
      <c r="AN84" s="176"/>
      <c r="AO84" s="630">
        <v>0.30199999999999999</v>
      </c>
      <c r="AP84" s="631"/>
      <c r="AQ84" s="631"/>
      <c r="AR84" s="632"/>
      <c r="AS84" s="463">
        <f>AX84/U12</f>
        <v>163.32159999999999</v>
      </c>
      <c r="AT84" s="463"/>
      <c r="AU84" s="463"/>
      <c r="AV84" s="463"/>
      <c r="AW84" s="463"/>
      <c r="AX84" s="463">
        <f>AX83*AO84</f>
        <v>11759.155199999999</v>
      </c>
      <c r="AY84" s="463"/>
      <c r="AZ84" s="463"/>
      <c r="BA84" s="463"/>
      <c r="BB84" s="633"/>
    </row>
    <row r="85" spans="1:54" ht="11.25" customHeight="1" thickBot="1" x14ac:dyDescent="0.25">
      <c r="M85" s="164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206"/>
      <c r="AP85" s="179"/>
      <c r="AQ85" s="179"/>
      <c r="AR85" s="179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</row>
    <row r="86" spans="1:54" ht="12" customHeight="1" x14ac:dyDescent="0.2">
      <c r="A86" s="634" t="s">
        <v>32</v>
      </c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34"/>
      <c r="O86" s="635" t="s">
        <v>33</v>
      </c>
      <c r="P86" s="636"/>
      <c r="Q86" s="636"/>
      <c r="R86" s="636"/>
      <c r="S86" s="636"/>
      <c r="T86" s="636"/>
      <c r="U86" s="636"/>
      <c r="V86" s="636"/>
      <c r="W86" s="636"/>
      <c r="X86" s="636"/>
      <c r="Y86" s="636"/>
      <c r="Z86" s="636"/>
      <c r="AA86" s="636"/>
      <c r="AB86" s="636"/>
      <c r="AC86" s="636"/>
      <c r="AD86" s="636"/>
      <c r="AE86" s="636"/>
      <c r="AF86" s="636"/>
      <c r="AG86" s="636"/>
      <c r="AH86" s="636"/>
      <c r="AI86" s="636"/>
      <c r="AJ86" s="636"/>
      <c r="AK86" s="636"/>
      <c r="AL86" s="636"/>
      <c r="AM86" s="636"/>
      <c r="AN86" s="636"/>
      <c r="AO86" s="637">
        <f>AS34+AS51+AS83</f>
        <v>648.95999999999992</v>
      </c>
      <c r="AP86" s="637"/>
      <c r="AQ86" s="637"/>
      <c r="AR86" s="637"/>
      <c r="AS86" s="637"/>
      <c r="AT86" s="637"/>
      <c r="AU86" s="637"/>
      <c r="AV86" s="637">
        <f>AX34+AX51+AX83</f>
        <v>46725.119999999995</v>
      </c>
      <c r="AW86" s="637"/>
      <c r="AX86" s="637"/>
      <c r="AY86" s="637"/>
      <c r="AZ86" s="637"/>
      <c r="BA86" s="637"/>
      <c r="BB86" s="638"/>
    </row>
    <row r="87" spans="1:54" ht="12" customHeight="1" thickBot="1" x14ac:dyDescent="0.25">
      <c r="M87" s="163"/>
      <c r="O87" s="643" t="s">
        <v>34</v>
      </c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4"/>
      <c r="AI87" s="644"/>
      <c r="AJ87" s="644"/>
      <c r="AK87" s="644"/>
      <c r="AL87" s="644"/>
      <c r="AM87" s="644"/>
      <c r="AN87" s="644"/>
      <c r="AO87" s="645">
        <f>AS35+AS52+AS84</f>
        <v>195.98591999999999</v>
      </c>
      <c r="AP87" s="645"/>
      <c r="AQ87" s="645"/>
      <c r="AR87" s="645"/>
      <c r="AS87" s="645"/>
      <c r="AT87" s="645"/>
      <c r="AU87" s="645"/>
      <c r="AV87" s="645">
        <f>AX35+AX52+AX84</f>
        <v>14110.986239999998</v>
      </c>
      <c r="AW87" s="645"/>
      <c r="AX87" s="645"/>
      <c r="AY87" s="645"/>
      <c r="AZ87" s="645"/>
      <c r="BA87" s="645"/>
      <c r="BB87" s="646"/>
    </row>
    <row r="88" spans="1:54" ht="12" customHeight="1" thickBot="1" x14ac:dyDescent="0.25">
      <c r="M88" s="208" t="s">
        <v>35</v>
      </c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10"/>
      <c r="AO88" s="647">
        <f>AO87+AO86</f>
        <v>844.94591999999989</v>
      </c>
      <c r="AP88" s="648"/>
      <c r="AQ88" s="648"/>
      <c r="AR88" s="648"/>
      <c r="AS88" s="648"/>
      <c r="AT88" s="648"/>
      <c r="AU88" s="648"/>
      <c r="AV88" s="648">
        <f>AV86+AV87</f>
        <v>60836.106239999994</v>
      </c>
      <c r="AW88" s="648"/>
      <c r="AX88" s="648"/>
      <c r="AY88" s="648"/>
      <c r="AZ88" s="648"/>
      <c r="BA88" s="648"/>
      <c r="BB88" s="649"/>
    </row>
    <row r="89" spans="1:54" ht="10.5" customHeight="1" x14ac:dyDescent="0.2"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</row>
    <row r="90" spans="1:54" s="159" customFormat="1" ht="15" customHeight="1" x14ac:dyDescent="0.2">
      <c r="A90" s="159" t="s">
        <v>36</v>
      </c>
      <c r="C90" s="159" t="s">
        <v>37</v>
      </c>
      <c r="AX90" s="160"/>
      <c r="AY90" s="160"/>
      <c r="AZ90" s="160"/>
      <c r="BA90" s="160"/>
      <c r="BB90" s="160"/>
    </row>
    <row r="91" spans="1:54" ht="12" customHeight="1" thickBot="1" x14ac:dyDescent="0.25"/>
    <row r="92" spans="1:54" s="163" customFormat="1" ht="39" customHeight="1" x14ac:dyDescent="0.2">
      <c r="A92" s="499" t="s">
        <v>38</v>
      </c>
      <c r="B92" s="500"/>
      <c r="C92" s="500"/>
      <c r="D92" s="500"/>
      <c r="E92" s="500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35" t="s">
        <v>39</v>
      </c>
      <c r="R92" s="535"/>
      <c r="S92" s="535"/>
      <c r="T92" s="535"/>
      <c r="U92" s="535"/>
      <c r="V92" s="535"/>
      <c r="W92" s="535"/>
      <c r="X92" s="535" t="s">
        <v>40</v>
      </c>
      <c r="Y92" s="535"/>
      <c r="Z92" s="535"/>
      <c r="AA92" s="535"/>
      <c r="AB92" s="535"/>
      <c r="AC92" s="535"/>
      <c r="AD92" s="535"/>
      <c r="AE92" s="535" t="s">
        <v>41</v>
      </c>
      <c r="AF92" s="535"/>
      <c r="AG92" s="535"/>
      <c r="AH92" s="535"/>
      <c r="AI92" s="535"/>
      <c r="AJ92" s="535"/>
      <c r="AK92" s="535"/>
      <c r="AL92" s="535"/>
      <c r="AM92" s="500" t="s">
        <v>42</v>
      </c>
      <c r="AN92" s="500"/>
      <c r="AO92" s="500"/>
      <c r="AP92" s="500"/>
      <c r="AQ92" s="500"/>
      <c r="AR92" s="500"/>
      <c r="AS92" s="500"/>
      <c r="AT92" s="500"/>
      <c r="AU92" s="500"/>
      <c r="AV92" s="500" t="s">
        <v>43</v>
      </c>
      <c r="AW92" s="500"/>
      <c r="AX92" s="500"/>
      <c r="AY92" s="500"/>
      <c r="AZ92" s="500"/>
      <c r="BA92" s="500"/>
      <c r="BB92" s="639"/>
    </row>
    <row r="93" spans="1:54" s="163" customFormat="1" ht="12" customHeight="1" thickBot="1" x14ac:dyDescent="0.25">
      <c r="A93" s="640">
        <v>1</v>
      </c>
      <c r="B93" s="641"/>
      <c r="C93" s="641"/>
      <c r="D93" s="641"/>
      <c r="E93" s="641"/>
      <c r="F93" s="641"/>
      <c r="G93" s="641"/>
      <c r="H93" s="641"/>
      <c r="I93" s="641"/>
      <c r="J93" s="641"/>
      <c r="K93" s="641"/>
      <c r="L93" s="641"/>
      <c r="M93" s="641"/>
      <c r="N93" s="641"/>
      <c r="O93" s="641"/>
      <c r="P93" s="641"/>
      <c r="Q93" s="641">
        <v>2</v>
      </c>
      <c r="R93" s="641"/>
      <c r="S93" s="641"/>
      <c r="T93" s="641"/>
      <c r="U93" s="641"/>
      <c r="V93" s="641"/>
      <c r="W93" s="641"/>
      <c r="X93" s="641">
        <v>3</v>
      </c>
      <c r="Y93" s="641"/>
      <c r="Z93" s="641"/>
      <c r="AA93" s="641"/>
      <c r="AB93" s="641"/>
      <c r="AC93" s="641"/>
      <c r="AD93" s="641"/>
      <c r="AE93" s="641">
        <v>4</v>
      </c>
      <c r="AF93" s="641"/>
      <c r="AG93" s="641"/>
      <c r="AH93" s="641"/>
      <c r="AI93" s="641"/>
      <c r="AJ93" s="641"/>
      <c r="AK93" s="641"/>
      <c r="AL93" s="641"/>
      <c r="AM93" s="641">
        <v>5</v>
      </c>
      <c r="AN93" s="641"/>
      <c r="AO93" s="641"/>
      <c r="AP93" s="641"/>
      <c r="AQ93" s="641"/>
      <c r="AR93" s="641"/>
      <c r="AS93" s="641"/>
      <c r="AT93" s="641"/>
      <c r="AU93" s="641"/>
      <c r="AV93" s="641">
        <v>6</v>
      </c>
      <c r="AW93" s="641"/>
      <c r="AX93" s="641"/>
      <c r="AY93" s="641"/>
      <c r="AZ93" s="641"/>
      <c r="BA93" s="641"/>
      <c r="BB93" s="642"/>
    </row>
    <row r="94" spans="1:54" ht="15" customHeight="1" x14ac:dyDescent="0.2">
      <c r="A94" s="618" t="s">
        <v>44</v>
      </c>
      <c r="B94" s="619"/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9"/>
      <c r="Q94" s="572">
        <v>5014.7</v>
      </c>
      <c r="R94" s="573"/>
      <c r="S94" s="573"/>
      <c r="T94" s="573"/>
      <c r="U94" s="573"/>
      <c r="V94" s="573"/>
      <c r="W94" s="574"/>
      <c r="X94" s="572">
        <v>72.099999999999994</v>
      </c>
      <c r="Y94" s="573"/>
      <c r="Z94" s="573"/>
      <c r="AA94" s="573"/>
      <c r="AB94" s="573"/>
      <c r="AC94" s="573"/>
      <c r="AD94" s="574"/>
      <c r="AE94" s="477">
        <v>1312893.28</v>
      </c>
      <c r="AF94" s="477"/>
      <c r="AG94" s="477"/>
      <c r="AH94" s="477"/>
      <c r="AI94" s="477"/>
      <c r="AJ94" s="477"/>
      <c r="AK94" s="477"/>
      <c r="AL94" s="477"/>
      <c r="AM94" s="620" t="s">
        <v>45</v>
      </c>
      <c r="AN94" s="621"/>
      <c r="AO94" s="621"/>
      <c r="AP94" s="621"/>
      <c r="AQ94" s="621"/>
      <c r="AR94" s="621"/>
      <c r="AS94" s="621"/>
      <c r="AT94" s="621"/>
      <c r="AU94" s="622"/>
      <c r="AV94" s="615">
        <f>AE94/$Q$94*$X$94/($AN$95*$AN$96)</f>
        <v>6.368564240835048</v>
      </c>
      <c r="AW94" s="615"/>
      <c r="AX94" s="615"/>
      <c r="AY94" s="615"/>
      <c r="AZ94" s="615"/>
      <c r="BA94" s="615"/>
      <c r="BB94" s="616"/>
    </row>
    <row r="95" spans="1:54" ht="15" customHeight="1" x14ac:dyDescent="0.2">
      <c r="A95" s="618" t="s">
        <v>46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/>
      <c r="R95" s="573"/>
      <c r="S95" s="573"/>
      <c r="T95" s="573"/>
      <c r="U95" s="573"/>
      <c r="V95" s="573"/>
      <c r="W95" s="574"/>
      <c r="X95" s="572"/>
      <c r="Y95" s="573"/>
      <c r="Z95" s="573"/>
      <c r="AA95" s="573"/>
      <c r="AB95" s="573"/>
      <c r="AC95" s="573"/>
      <c r="AD95" s="574"/>
      <c r="AE95" s="529">
        <v>2160860.7999999998</v>
      </c>
      <c r="AF95" s="529"/>
      <c r="AG95" s="529"/>
      <c r="AH95" s="529"/>
      <c r="AI95" s="529"/>
      <c r="AJ95" s="529"/>
      <c r="AK95" s="529"/>
      <c r="AL95" s="529"/>
      <c r="AM95" s="213"/>
      <c r="AN95" s="623">
        <v>247</v>
      </c>
      <c r="AO95" s="623"/>
      <c r="AP95" s="623"/>
      <c r="AQ95" s="617" t="s">
        <v>47</v>
      </c>
      <c r="AR95" s="617"/>
      <c r="AS95" s="617"/>
      <c r="AT95" s="617"/>
      <c r="AU95" s="214"/>
      <c r="AV95" s="615">
        <f>AE95/$Q$94*$X$94/($AN$95*$AN$96)</f>
        <v>10.481873149889392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449" t="s">
        <v>48</v>
      </c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  <c r="M96" s="450"/>
      <c r="N96" s="450"/>
      <c r="O96" s="450"/>
      <c r="P96" s="451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529">
        <v>2993420.26</v>
      </c>
      <c r="AF96" s="529"/>
      <c r="AG96" s="529"/>
      <c r="AH96" s="529"/>
      <c r="AI96" s="529"/>
      <c r="AJ96" s="529"/>
      <c r="AK96" s="529"/>
      <c r="AL96" s="529"/>
      <c r="AM96" s="213"/>
      <c r="AN96" s="562">
        <v>12</v>
      </c>
      <c r="AO96" s="562"/>
      <c r="AP96" s="562"/>
      <c r="AQ96" s="617" t="s">
        <v>49</v>
      </c>
      <c r="AR96" s="617"/>
      <c r="AS96" s="617"/>
      <c r="AT96" s="617"/>
      <c r="AU96" s="214"/>
      <c r="AV96" s="615">
        <f>AE96/$Q$94*$X$94/($AN$95*$AN$96)</f>
        <v>14.520440858397228</v>
      </c>
      <c r="AW96" s="615"/>
      <c r="AX96" s="615"/>
      <c r="AY96" s="615"/>
      <c r="AZ96" s="615"/>
      <c r="BA96" s="615"/>
      <c r="BB96" s="616"/>
    </row>
    <row r="97" spans="1:57" ht="15" customHeight="1" thickBot="1" x14ac:dyDescent="0.25">
      <c r="A97" s="624" t="s">
        <v>50</v>
      </c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6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627">
        <f>572353.29+691118.78</f>
        <v>1263472.07</v>
      </c>
      <c r="AF97" s="627"/>
      <c r="AG97" s="627"/>
      <c r="AH97" s="627"/>
      <c r="AI97" s="627"/>
      <c r="AJ97" s="627"/>
      <c r="AK97" s="627"/>
      <c r="AL97" s="627"/>
      <c r="AM97" s="213"/>
      <c r="AN97" s="186"/>
      <c r="AO97" s="186"/>
      <c r="AP97" s="186"/>
      <c r="AQ97" s="186"/>
      <c r="AR97" s="186"/>
      <c r="AS97" s="186"/>
      <c r="AT97" s="186"/>
      <c r="AU97" s="214"/>
      <c r="AV97" s="628">
        <f>AE97/$Q$94*$X$94/($AN$95*$AN$96)</f>
        <v>6.1288325310765837</v>
      </c>
      <c r="AW97" s="628"/>
      <c r="AX97" s="628"/>
      <c r="AY97" s="628"/>
      <c r="AZ97" s="628"/>
      <c r="BA97" s="628"/>
      <c r="BB97" s="629"/>
    </row>
    <row r="98" spans="1:57" s="161" customFormat="1" ht="15" customHeight="1" thickBot="1" x14ac:dyDescent="0.25">
      <c r="A98" s="610" t="s">
        <v>51</v>
      </c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531">
        <f>Q94</f>
        <v>5014.7</v>
      </c>
      <c r="R98" s="533"/>
      <c r="S98" s="533"/>
      <c r="T98" s="533"/>
      <c r="U98" s="533"/>
      <c r="V98" s="533"/>
      <c r="W98" s="534"/>
      <c r="X98" s="531">
        <f>X94</f>
        <v>72.099999999999994</v>
      </c>
      <c r="Y98" s="533"/>
      <c r="Z98" s="533"/>
      <c r="AA98" s="533"/>
      <c r="AB98" s="533"/>
      <c r="AC98" s="533"/>
      <c r="AD98" s="534"/>
      <c r="AE98" s="612">
        <f>SUM(AE94:AL97)</f>
        <v>7730646.4100000001</v>
      </c>
      <c r="AF98" s="612"/>
      <c r="AG98" s="612"/>
      <c r="AH98" s="612"/>
      <c r="AI98" s="612"/>
      <c r="AJ98" s="612"/>
      <c r="AK98" s="612"/>
      <c r="AL98" s="612"/>
      <c r="AM98" s="531" t="s">
        <v>17</v>
      </c>
      <c r="AN98" s="533"/>
      <c r="AO98" s="533"/>
      <c r="AP98" s="533"/>
      <c r="AQ98" s="533"/>
      <c r="AR98" s="533"/>
      <c r="AS98" s="533"/>
      <c r="AT98" s="533"/>
      <c r="AU98" s="534"/>
      <c r="AV98" s="613">
        <f>SUM(AV94:BB97)</f>
        <v>37.499710780198249</v>
      </c>
      <c r="AW98" s="613"/>
      <c r="AX98" s="613"/>
      <c r="AY98" s="613"/>
      <c r="AZ98" s="613"/>
      <c r="BA98" s="613"/>
      <c r="BB98" s="614"/>
    </row>
    <row r="99" spans="1:57" ht="12" customHeight="1" x14ac:dyDescent="0.2"/>
    <row r="100" spans="1:57" s="159" customFormat="1" ht="15" customHeight="1" x14ac:dyDescent="0.2">
      <c r="A100" s="159" t="s">
        <v>52</v>
      </c>
      <c r="C100" s="159" t="s">
        <v>53</v>
      </c>
      <c r="AX100" s="160"/>
      <c r="AY100" s="160"/>
      <c r="AZ100" s="160"/>
      <c r="BA100" s="160"/>
      <c r="BB100" s="160"/>
    </row>
    <row r="101" spans="1:57" ht="12" customHeight="1" thickBot="1" x14ac:dyDescent="0.25"/>
    <row r="102" spans="1:57" ht="39" customHeight="1" x14ac:dyDescent="0.2">
      <c r="A102" s="585" t="s">
        <v>54</v>
      </c>
      <c r="B102" s="586"/>
      <c r="C102" s="586"/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7"/>
      <c r="AA102" s="536" t="s">
        <v>55</v>
      </c>
      <c r="AB102" s="537"/>
      <c r="AC102" s="537"/>
      <c r="AD102" s="537"/>
      <c r="AE102" s="537"/>
      <c r="AF102" s="538"/>
      <c r="AG102" s="536" t="s">
        <v>56</v>
      </c>
      <c r="AH102" s="537"/>
      <c r="AI102" s="537"/>
      <c r="AJ102" s="537"/>
      <c r="AK102" s="537"/>
      <c r="AL102" s="538"/>
      <c r="AM102" s="588" t="s">
        <v>57</v>
      </c>
      <c r="AN102" s="586"/>
      <c r="AO102" s="586"/>
      <c r="AP102" s="586"/>
      <c r="AQ102" s="586"/>
      <c r="AR102" s="586"/>
      <c r="AS102" s="586"/>
      <c r="AT102" s="587"/>
      <c r="AU102" s="588" t="s">
        <v>43</v>
      </c>
      <c r="AV102" s="586"/>
      <c r="AW102" s="586"/>
      <c r="AX102" s="586"/>
      <c r="AY102" s="586"/>
      <c r="AZ102" s="586"/>
      <c r="BA102" s="586"/>
      <c r="BB102" s="589"/>
    </row>
    <row r="103" spans="1:57" ht="15.75" customHeight="1" thickBot="1" x14ac:dyDescent="0.25">
      <c r="A103" s="564">
        <v>1</v>
      </c>
      <c r="B103" s="475"/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5"/>
      <c r="O103" s="475"/>
      <c r="P103" s="475"/>
      <c r="Q103" s="475"/>
      <c r="R103" s="475"/>
      <c r="S103" s="475"/>
      <c r="T103" s="475"/>
      <c r="U103" s="475"/>
      <c r="V103" s="475"/>
      <c r="W103" s="475"/>
      <c r="X103" s="475"/>
      <c r="Y103" s="475"/>
      <c r="Z103" s="476"/>
      <c r="AA103" s="474">
        <v>2</v>
      </c>
      <c r="AB103" s="475"/>
      <c r="AC103" s="475"/>
      <c r="AD103" s="475"/>
      <c r="AE103" s="475"/>
      <c r="AF103" s="476"/>
      <c r="AG103" s="474">
        <v>3</v>
      </c>
      <c r="AH103" s="475"/>
      <c r="AI103" s="475"/>
      <c r="AJ103" s="475"/>
      <c r="AK103" s="475"/>
      <c r="AL103" s="476"/>
      <c r="AM103" s="474">
        <v>4</v>
      </c>
      <c r="AN103" s="475"/>
      <c r="AO103" s="475"/>
      <c r="AP103" s="475"/>
      <c r="AQ103" s="475"/>
      <c r="AR103" s="475"/>
      <c r="AS103" s="475"/>
      <c r="AT103" s="476"/>
      <c r="AU103" s="474">
        <v>5</v>
      </c>
      <c r="AV103" s="475"/>
      <c r="AW103" s="475"/>
      <c r="AX103" s="475"/>
      <c r="AY103" s="475"/>
      <c r="AZ103" s="475"/>
      <c r="BA103" s="475"/>
      <c r="BB103" s="565"/>
    </row>
    <row r="104" spans="1:57" ht="18.75" customHeight="1" x14ac:dyDescent="0.2">
      <c r="A104" s="566" t="s">
        <v>90</v>
      </c>
      <c r="B104" s="567"/>
      <c r="C104" s="567"/>
      <c r="D104" s="567"/>
      <c r="E104" s="567"/>
      <c r="F104" s="567"/>
      <c r="G104" s="567"/>
      <c r="H104" s="567"/>
      <c r="I104" s="567"/>
      <c r="J104" s="567"/>
      <c r="K104" s="567"/>
      <c r="L104" s="567"/>
      <c r="M104" s="567"/>
      <c r="N104" s="567"/>
      <c r="O104" s="567"/>
      <c r="P104" s="567"/>
      <c r="Q104" s="567"/>
      <c r="R104" s="567"/>
      <c r="S104" s="567"/>
      <c r="T104" s="567"/>
      <c r="U104" s="567"/>
      <c r="V104" s="567"/>
      <c r="W104" s="567"/>
      <c r="X104" s="567"/>
      <c r="Y104" s="567"/>
      <c r="Z104" s="568"/>
      <c r="AA104" s="604">
        <v>300</v>
      </c>
      <c r="AB104" s="605"/>
      <c r="AC104" s="605"/>
      <c r="AD104" s="605"/>
      <c r="AE104" s="605"/>
      <c r="AF104" s="606"/>
      <c r="AG104" s="569">
        <f>U12</f>
        <v>72</v>
      </c>
      <c r="AH104" s="570"/>
      <c r="AI104" s="570"/>
      <c r="AJ104" s="570"/>
      <c r="AK104" s="570"/>
      <c r="AL104" s="571"/>
      <c r="AM104" s="569" t="s">
        <v>58</v>
      </c>
      <c r="AN104" s="570"/>
      <c r="AO104" s="570"/>
      <c r="AP104" s="570"/>
      <c r="AQ104" s="570"/>
      <c r="AR104" s="570"/>
      <c r="AS104" s="570"/>
      <c r="AT104" s="571"/>
      <c r="AU104" s="607">
        <f>AA104/AG104</f>
        <v>4.166666666666667</v>
      </c>
      <c r="AV104" s="608"/>
      <c r="AW104" s="608"/>
      <c r="AX104" s="608"/>
      <c r="AY104" s="608"/>
      <c r="AZ104" s="608"/>
      <c r="BA104" s="608"/>
      <c r="BB104" s="609"/>
    </row>
    <row r="105" spans="1:57" ht="20.25" customHeight="1" x14ac:dyDescent="0.2">
      <c r="A105" s="593" t="s">
        <v>96</v>
      </c>
      <c r="B105" s="594"/>
      <c r="C105" s="594"/>
      <c r="D105" s="594"/>
      <c r="E105" s="594"/>
      <c r="F105" s="594"/>
      <c r="G105" s="594"/>
      <c r="H105" s="594"/>
      <c r="I105" s="594"/>
      <c r="J105" s="594"/>
      <c r="K105" s="594"/>
      <c r="L105" s="594"/>
      <c r="M105" s="594"/>
      <c r="N105" s="594"/>
      <c r="O105" s="594"/>
      <c r="P105" s="594"/>
      <c r="Q105" s="594"/>
      <c r="R105" s="594"/>
      <c r="S105" s="594"/>
      <c r="T105" s="594"/>
      <c r="U105" s="594"/>
      <c r="V105" s="594"/>
      <c r="W105" s="594"/>
      <c r="X105" s="594"/>
      <c r="Y105" s="594"/>
      <c r="Z105" s="595"/>
      <c r="AA105" s="596">
        <v>25</v>
      </c>
      <c r="AB105" s="597"/>
      <c r="AC105" s="597"/>
      <c r="AD105" s="597"/>
      <c r="AE105" s="597"/>
      <c r="AF105" s="59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590">
        <f>AA105/AG104</f>
        <v>0.34722222222222221</v>
      </c>
      <c r="AV105" s="591"/>
      <c r="AW105" s="591"/>
      <c r="AX105" s="591"/>
      <c r="AY105" s="591"/>
      <c r="AZ105" s="591"/>
      <c r="BA105" s="591"/>
      <c r="BB105" s="592"/>
    </row>
    <row r="106" spans="1:57" ht="20.25" customHeight="1" x14ac:dyDescent="0.2">
      <c r="A106" s="593" t="s">
        <v>100</v>
      </c>
      <c r="B106" s="594"/>
      <c r="C106" s="594"/>
      <c r="D106" s="594"/>
      <c r="E106" s="594"/>
      <c r="F106" s="594"/>
      <c r="G106" s="594"/>
      <c r="H106" s="594"/>
      <c r="I106" s="594"/>
      <c r="J106" s="594"/>
      <c r="K106" s="594"/>
      <c r="L106" s="594"/>
      <c r="M106" s="594"/>
      <c r="N106" s="594"/>
      <c r="O106" s="594"/>
      <c r="P106" s="594"/>
      <c r="Q106" s="594"/>
      <c r="R106" s="594"/>
      <c r="S106" s="594"/>
      <c r="T106" s="594"/>
      <c r="U106" s="594"/>
      <c r="V106" s="594"/>
      <c r="W106" s="594"/>
      <c r="X106" s="594"/>
      <c r="Y106" s="594"/>
      <c r="Z106" s="595"/>
      <c r="AA106" s="596">
        <v>500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AA106/AG104</f>
        <v>6.9444444444444446</v>
      </c>
      <c r="AV106" s="591"/>
      <c r="AW106" s="591"/>
      <c r="AX106" s="591"/>
      <c r="AY106" s="591"/>
      <c r="AZ106" s="591"/>
      <c r="BA106" s="591"/>
      <c r="BB106" s="592"/>
      <c r="BE106" s="117">
        <f>AU106*12*4</f>
        <v>333.33333333333337</v>
      </c>
    </row>
    <row r="107" spans="1:57" ht="22.5" customHeight="1" x14ac:dyDescent="0.2">
      <c r="A107" s="593" t="s">
        <v>318</v>
      </c>
      <c r="B107" s="594"/>
      <c r="C107" s="594"/>
      <c r="D107" s="594"/>
      <c r="E107" s="594"/>
      <c r="F107" s="594"/>
      <c r="G107" s="594"/>
      <c r="H107" s="594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4"/>
      <c r="Z107" s="595"/>
      <c r="AA107" s="596">
        <v>1305.3440000000001</v>
      </c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AA107/AG104</f>
        <v>18.129777777777779</v>
      </c>
      <c r="AV107" s="591"/>
      <c r="AW107" s="591"/>
      <c r="AX107" s="591"/>
      <c r="AY107" s="591"/>
      <c r="AZ107" s="591"/>
      <c r="BA107" s="591"/>
      <c r="BB107" s="592"/>
    </row>
    <row r="108" spans="1:57" ht="0.75" customHeight="1" x14ac:dyDescent="0.2">
      <c r="A108" s="796"/>
      <c r="B108" s="594"/>
      <c r="C108" s="594"/>
      <c r="D108" s="594"/>
      <c r="E108" s="594"/>
      <c r="F108" s="594"/>
      <c r="G108" s="594"/>
      <c r="H108" s="594"/>
      <c r="I108" s="594"/>
      <c r="J108" s="594"/>
      <c r="K108" s="594"/>
      <c r="L108" s="594"/>
      <c r="M108" s="594"/>
      <c r="N108" s="594"/>
      <c r="O108" s="594"/>
      <c r="P108" s="594"/>
      <c r="Q108" s="594"/>
      <c r="R108" s="594"/>
      <c r="S108" s="594"/>
      <c r="T108" s="594"/>
      <c r="U108" s="594"/>
      <c r="V108" s="594"/>
      <c r="W108" s="594"/>
      <c r="X108" s="594"/>
      <c r="Y108" s="594"/>
      <c r="Z108" s="595"/>
      <c r="AA108" s="596"/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>
        <f>AA108/AG104</f>
        <v>0</v>
      </c>
      <c r="AV108" s="591"/>
      <c r="AW108" s="591"/>
      <c r="AX108" s="591"/>
      <c r="AY108" s="591"/>
      <c r="AZ108" s="591"/>
      <c r="BA108" s="591"/>
      <c r="BB108" s="797"/>
    </row>
    <row r="109" spans="1:57" ht="19.5" hidden="1" customHeight="1" x14ac:dyDescent="0.2">
      <c r="A109" s="796"/>
      <c r="B109" s="594"/>
      <c r="C109" s="594"/>
      <c r="D109" s="594"/>
      <c r="E109" s="594"/>
      <c r="F109" s="594"/>
      <c r="G109" s="594"/>
      <c r="H109" s="594"/>
      <c r="I109" s="594"/>
      <c r="J109" s="594"/>
      <c r="K109" s="594"/>
      <c r="L109" s="594"/>
      <c r="M109" s="594"/>
      <c r="N109" s="594"/>
      <c r="O109" s="594"/>
      <c r="P109" s="594"/>
      <c r="Q109" s="594"/>
      <c r="R109" s="594"/>
      <c r="S109" s="594"/>
      <c r="T109" s="594"/>
      <c r="U109" s="594"/>
      <c r="V109" s="594"/>
      <c r="W109" s="594"/>
      <c r="X109" s="594"/>
      <c r="Y109" s="594"/>
      <c r="Z109" s="595"/>
      <c r="AA109" s="596"/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590">
        <f>AA109/AG104</f>
        <v>0</v>
      </c>
      <c r="AV109" s="591"/>
      <c r="AW109" s="591"/>
      <c r="AX109" s="591"/>
      <c r="AY109" s="591"/>
      <c r="AZ109" s="591"/>
      <c r="BA109" s="591"/>
      <c r="BB109" s="797"/>
    </row>
    <row r="110" spans="1:57" ht="20.25" hidden="1" customHeight="1" x14ac:dyDescent="0.2">
      <c r="A110" s="796"/>
      <c r="B110" s="594"/>
      <c r="C110" s="594"/>
      <c r="D110" s="594"/>
      <c r="E110" s="594"/>
      <c r="F110" s="594"/>
      <c r="G110" s="594"/>
      <c r="H110" s="594"/>
      <c r="I110" s="594"/>
      <c r="J110" s="594"/>
      <c r="K110" s="594"/>
      <c r="L110" s="594"/>
      <c r="M110" s="594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4"/>
      <c r="Z110" s="595"/>
      <c r="AA110" s="596"/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590">
        <f>AA110/AG104</f>
        <v>0</v>
      </c>
      <c r="AV110" s="591"/>
      <c r="AW110" s="591"/>
      <c r="AX110" s="591"/>
      <c r="AY110" s="591"/>
      <c r="AZ110" s="591"/>
      <c r="BA110" s="591"/>
      <c r="BB110" s="797"/>
    </row>
    <row r="111" spans="1:57" ht="16.5" hidden="1" customHeight="1" x14ac:dyDescent="0.2">
      <c r="A111" s="796"/>
      <c r="B111" s="594"/>
      <c r="C111" s="594"/>
      <c r="D111" s="594"/>
      <c r="E111" s="594"/>
      <c r="F111" s="594"/>
      <c r="G111" s="594"/>
      <c r="H111" s="594"/>
      <c r="I111" s="594"/>
      <c r="J111" s="594"/>
      <c r="K111" s="594"/>
      <c r="L111" s="594"/>
      <c r="M111" s="594"/>
      <c r="N111" s="594"/>
      <c r="O111" s="594"/>
      <c r="P111" s="594"/>
      <c r="Q111" s="594"/>
      <c r="R111" s="594"/>
      <c r="S111" s="594"/>
      <c r="T111" s="594"/>
      <c r="U111" s="594"/>
      <c r="V111" s="594"/>
      <c r="W111" s="594"/>
      <c r="X111" s="594"/>
      <c r="Y111" s="594"/>
      <c r="Z111" s="595"/>
      <c r="AA111" s="596"/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AA111/AG104</f>
        <v>0</v>
      </c>
      <c r="AV111" s="591"/>
      <c r="AW111" s="591"/>
      <c r="AX111" s="591"/>
      <c r="AY111" s="591"/>
      <c r="AZ111" s="591"/>
      <c r="BA111" s="591"/>
      <c r="BB111" s="797"/>
    </row>
    <row r="112" spans="1:57" s="161" customFormat="1" ht="19.5" hidden="1" customHeight="1" x14ac:dyDescent="0.2">
      <c r="A112" s="796"/>
      <c r="B112" s="594"/>
      <c r="C112" s="594"/>
      <c r="D112" s="594"/>
      <c r="E112" s="594"/>
      <c r="F112" s="594"/>
      <c r="G112" s="594"/>
      <c r="H112" s="594"/>
      <c r="I112" s="594"/>
      <c r="J112" s="594"/>
      <c r="K112" s="594"/>
      <c r="L112" s="594"/>
      <c r="M112" s="594"/>
      <c r="N112" s="594"/>
      <c r="O112" s="594"/>
      <c r="P112" s="594"/>
      <c r="Q112" s="594"/>
      <c r="R112" s="594"/>
      <c r="S112" s="594"/>
      <c r="T112" s="594"/>
      <c r="U112" s="594"/>
      <c r="V112" s="594"/>
      <c r="W112" s="594"/>
      <c r="X112" s="594"/>
      <c r="Y112" s="594"/>
      <c r="Z112" s="595"/>
      <c r="AA112" s="596"/>
      <c r="AB112" s="597"/>
      <c r="AC112" s="597"/>
      <c r="AD112" s="597"/>
      <c r="AE112" s="597"/>
      <c r="AF112" s="598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AA112/AG104</f>
        <v>0</v>
      </c>
      <c r="AV112" s="591"/>
      <c r="AW112" s="591"/>
      <c r="AX112" s="591"/>
      <c r="AY112" s="591"/>
      <c r="AZ112" s="591"/>
      <c r="BA112" s="591"/>
      <c r="BB112" s="797"/>
    </row>
    <row r="113" spans="1:54" ht="1.5" hidden="1" customHeight="1" x14ac:dyDescent="0.2">
      <c r="A113" s="796"/>
      <c r="B113" s="594"/>
      <c r="C113" s="594"/>
      <c r="D113" s="594"/>
      <c r="E113" s="594"/>
      <c r="F113" s="594"/>
      <c r="G113" s="594"/>
      <c r="H113" s="594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4"/>
      <c r="Z113" s="595"/>
      <c r="AA113" s="596"/>
      <c r="AB113" s="597"/>
      <c r="AC113" s="597"/>
      <c r="AD113" s="597"/>
      <c r="AE113" s="597"/>
      <c r="AF113" s="598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AA113/AG104</f>
        <v>0</v>
      </c>
      <c r="AV113" s="591"/>
      <c r="AW113" s="591"/>
      <c r="AX113" s="591"/>
      <c r="AY113" s="591"/>
      <c r="AZ113" s="591"/>
      <c r="BA113" s="591"/>
      <c r="BB113" s="797"/>
    </row>
    <row r="114" spans="1:54" s="159" customFormat="1" ht="17.25" hidden="1" customHeight="1" x14ac:dyDescent="0.2">
      <c r="A114" s="796"/>
      <c r="B114" s="594"/>
      <c r="C114" s="594"/>
      <c r="D114" s="594"/>
      <c r="E114" s="594"/>
      <c r="F114" s="594"/>
      <c r="G114" s="594"/>
      <c r="H114" s="594"/>
      <c r="I114" s="594"/>
      <c r="J114" s="594"/>
      <c r="K114" s="594"/>
      <c r="L114" s="594"/>
      <c r="M114" s="594"/>
      <c r="N114" s="594"/>
      <c r="O114" s="594"/>
      <c r="P114" s="594"/>
      <c r="Q114" s="594"/>
      <c r="R114" s="594"/>
      <c r="S114" s="594"/>
      <c r="T114" s="594"/>
      <c r="U114" s="594"/>
      <c r="V114" s="594"/>
      <c r="W114" s="594"/>
      <c r="X114" s="594"/>
      <c r="Y114" s="594"/>
      <c r="Z114" s="595"/>
      <c r="AA114" s="596"/>
      <c r="AB114" s="597"/>
      <c r="AC114" s="597"/>
      <c r="AD114" s="597"/>
      <c r="AE114" s="597"/>
      <c r="AF114" s="598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AA114/AG104</f>
        <v>0</v>
      </c>
      <c r="AV114" s="591"/>
      <c r="AW114" s="591"/>
      <c r="AX114" s="591"/>
      <c r="AY114" s="591"/>
      <c r="AZ114" s="591"/>
      <c r="BA114" s="591"/>
      <c r="BB114" s="797"/>
    </row>
    <row r="115" spans="1:54" ht="20.25" hidden="1" customHeight="1" x14ac:dyDescent="0.2">
      <c r="A115" s="796"/>
      <c r="B115" s="594"/>
      <c r="C115" s="594"/>
      <c r="D115" s="594"/>
      <c r="E115" s="594"/>
      <c r="F115" s="594"/>
      <c r="G115" s="594"/>
      <c r="H115" s="594"/>
      <c r="I115" s="594"/>
      <c r="J115" s="594"/>
      <c r="K115" s="594"/>
      <c r="L115" s="594"/>
      <c r="M115" s="594"/>
      <c r="N115" s="594"/>
      <c r="O115" s="594"/>
      <c r="P115" s="594"/>
      <c r="Q115" s="594"/>
      <c r="R115" s="594"/>
      <c r="S115" s="594"/>
      <c r="T115" s="594"/>
      <c r="U115" s="594"/>
      <c r="V115" s="594"/>
      <c r="W115" s="594"/>
      <c r="X115" s="594"/>
      <c r="Y115" s="594"/>
      <c r="Z115" s="595"/>
      <c r="AA115" s="596"/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AA115/AG104</f>
        <v>0</v>
      </c>
      <c r="AV115" s="591"/>
      <c r="AW115" s="591"/>
      <c r="AX115" s="591"/>
      <c r="AY115" s="591"/>
      <c r="AZ115" s="591"/>
      <c r="BA115" s="591"/>
      <c r="BB115" s="797"/>
    </row>
    <row r="116" spans="1:54" ht="18.75" hidden="1" customHeight="1" x14ac:dyDescent="0.2">
      <c r="A116" s="796"/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5"/>
      <c r="AA116" s="596"/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AA116/AG104</f>
        <v>0</v>
      </c>
      <c r="AV116" s="591"/>
      <c r="AW116" s="591"/>
      <c r="AX116" s="591"/>
      <c r="AY116" s="591"/>
      <c r="AZ116" s="591"/>
      <c r="BA116" s="591"/>
      <c r="BB116" s="797"/>
    </row>
    <row r="117" spans="1:54" ht="37.5" hidden="1" customHeight="1" x14ac:dyDescent="0.2">
      <c r="A117" s="796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AA117/AG104</f>
        <v>0</v>
      </c>
      <c r="AV117" s="591"/>
      <c r="AW117" s="591"/>
      <c r="AX117" s="591"/>
      <c r="AY117" s="591"/>
      <c r="AZ117" s="591"/>
      <c r="BA117" s="591"/>
      <c r="BB117" s="797"/>
    </row>
    <row r="118" spans="1:54" ht="28.5" hidden="1" customHeight="1" x14ac:dyDescent="0.2">
      <c r="A118" s="796"/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596"/>
      <c r="AB118" s="597"/>
      <c r="AC118" s="597"/>
      <c r="AD118" s="597"/>
      <c r="AE118" s="597"/>
      <c r="AF118" s="59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AA118/AG104</f>
        <v>0</v>
      </c>
      <c r="AV118" s="591"/>
      <c r="AW118" s="591"/>
      <c r="AX118" s="591"/>
      <c r="AY118" s="591"/>
      <c r="AZ118" s="591"/>
      <c r="BA118" s="591"/>
      <c r="BB118" s="797"/>
    </row>
    <row r="119" spans="1:54" ht="21" hidden="1" customHeight="1" x14ac:dyDescent="0.2">
      <c r="A119" s="796"/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596"/>
      <c r="AB119" s="597"/>
      <c r="AC119" s="597"/>
      <c r="AD119" s="597"/>
      <c r="AE119" s="597"/>
      <c r="AF119" s="59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AA119/AG104</f>
        <v>0</v>
      </c>
      <c r="AV119" s="591"/>
      <c r="AW119" s="591"/>
      <c r="AX119" s="591"/>
      <c r="AY119" s="591"/>
      <c r="AZ119" s="591"/>
      <c r="BA119" s="591"/>
      <c r="BB119" s="797"/>
    </row>
    <row r="120" spans="1:54" ht="21" hidden="1" customHeight="1" x14ac:dyDescent="0.2">
      <c r="A120" s="600"/>
      <c r="B120" s="600"/>
      <c r="C120" s="600"/>
      <c r="D120" s="600"/>
      <c r="E120" s="600"/>
      <c r="F120" s="600"/>
      <c r="G120" s="600"/>
      <c r="H120" s="600"/>
      <c r="I120" s="600"/>
      <c r="J120" s="600"/>
      <c r="K120" s="600"/>
      <c r="L120" s="600"/>
      <c r="M120" s="600"/>
      <c r="N120" s="600"/>
      <c r="O120" s="600"/>
      <c r="P120" s="600"/>
      <c r="Q120" s="600"/>
      <c r="R120" s="600"/>
      <c r="S120" s="600"/>
      <c r="T120" s="600"/>
      <c r="U120" s="600"/>
      <c r="V120" s="600"/>
      <c r="W120" s="600"/>
      <c r="X120" s="600"/>
      <c r="Y120" s="600"/>
      <c r="Z120" s="600"/>
      <c r="AA120" s="601"/>
      <c r="AB120" s="601"/>
      <c r="AC120" s="601"/>
      <c r="AD120" s="601"/>
      <c r="AE120" s="601"/>
      <c r="AF120" s="601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602">
        <f>AA120/AG104</f>
        <v>0</v>
      </c>
      <c r="AV120" s="602"/>
      <c r="AW120" s="602"/>
      <c r="AX120" s="602"/>
      <c r="AY120" s="602"/>
      <c r="AZ120" s="602"/>
      <c r="BA120" s="602"/>
      <c r="BB120" s="602"/>
    </row>
    <row r="121" spans="1:54" ht="0.75" customHeight="1" thickBot="1" x14ac:dyDescent="0.25">
      <c r="A121" s="798"/>
      <c r="B121" s="798"/>
      <c r="C121" s="798"/>
      <c r="D121" s="798"/>
      <c r="E121" s="798"/>
      <c r="F121" s="798"/>
      <c r="G121" s="798"/>
      <c r="H121" s="798"/>
      <c r="I121" s="798"/>
      <c r="J121" s="798"/>
      <c r="K121" s="798"/>
      <c r="L121" s="798"/>
      <c r="M121" s="798"/>
      <c r="N121" s="798"/>
      <c r="O121" s="798"/>
      <c r="P121" s="798"/>
      <c r="Q121" s="798"/>
      <c r="R121" s="798"/>
      <c r="S121" s="798"/>
      <c r="T121" s="798"/>
      <c r="U121" s="798"/>
      <c r="V121" s="798"/>
      <c r="W121" s="798"/>
      <c r="X121" s="798"/>
      <c r="Y121" s="798"/>
      <c r="Z121" s="798"/>
      <c r="AA121" s="799"/>
      <c r="AB121" s="799"/>
      <c r="AC121" s="799"/>
      <c r="AD121" s="799"/>
      <c r="AE121" s="799"/>
      <c r="AF121" s="799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800">
        <f>AA121/AG104</f>
        <v>0</v>
      </c>
      <c r="AV121" s="800"/>
      <c r="AW121" s="800"/>
      <c r="AX121" s="800"/>
      <c r="AY121" s="800"/>
      <c r="AZ121" s="800"/>
      <c r="BA121" s="800"/>
      <c r="BB121" s="800"/>
    </row>
    <row r="122" spans="1:54" ht="16.5" customHeight="1" thickBot="1" x14ac:dyDescent="0.25">
      <c r="A122" s="545" t="s">
        <v>51</v>
      </c>
      <c r="B122" s="546"/>
      <c r="C122" s="546"/>
      <c r="D122" s="546"/>
      <c r="E122" s="546"/>
      <c r="F122" s="546"/>
      <c r="G122" s="546"/>
      <c r="H122" s="546"/>
      <c r="I122" s="546"/>
      <c r="J122" s="546"/>
      <c r="K122" s="546"/>
      <c r="L122" s="546"/>
      <c r="M122" s="546"/>
      <c r="N122" s="546"/>
      <c r="O122" s="546"/>
      <c r="P122" s="546"/>
      <c r="Q122" s="546"/>
      <c r="R122" s="546"/>
      <c r="S122" s="546"/>
      <c r="T122" s="546"/>
      <c r="U122" s="546"/>
      <c r="V122" s="546"/>
      <c r="W122" s="546"/>
      <c r="X122" s="546"/>
      <c r="Y122" s="546"/>
      <c r="Z122" s="547"/>
      <c r="AA122" s="582">
        <f>SUM(AA104:AF121)</f>
        <v>2130.3440000000001</v>
      </c>
      <c r="AB122" s="583"/>
      <c r="AC122" s="583"/>
      <c r="AD122" s="583"/>
      <c r="AE122" s="583"/>
      <c r="AF122" s="583"/>
      <c r="AG122" s="532">
        <f>AG104</f>
        <v>72</v>
      </c>
      <c r="AH122" s="533"/>
      <c r="AI122" s="533"/>
      <c r="AJ122" s="533"/>
      <c r="AK122" s="533"/>
      <c r="AL122" s="534"/>
      <c r="AM122" s="551" t="s">
        <v>17</v>
      </c>
      <c r="AN122" s="552"/>
      <c r="AO122" s="552"/>
      <c r="AP122" s="552"/>
      <c r="AQ122" s="552"/>
      <c r="AR122" s="552"/>
      <c r="AS122" s="552"/>
      <c r="AT122" s="584"/>
      <c r="AU122" s="555">
        <f>SUM(AU104:BB121)</f>
        <v>29.588111111111111</v>
      </c>
      <c r="AV122" s="555"/>
      <c r="AW122" s="555"/>
      <c r="AX122" s="555"/>
      <c r="AY122" s="555"/>
      <c r="AZ122" s="555"/>
      <c r="BA122" s="555"/>
      <c r="BB122" s="556"/>
    </row>
    <row r="123" spans="1:54" ht="68.25" customHeight="1" x14ac:dyDescent="0.2"/>
    <row r="124" spans="1:54" s="161" customFormat="1" ht="15" customHeight="1" x14ac:dyDescent="0.2">
      <c r="A124" s="159" t="s">
        <v>59</v>
      </c>
      <c r="B124" s="159"/>
      <c r="C124" s="159" t="s">
        <v>60</v>
      </c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60"/>
      <c r="AY124" s="160"/>
      <c r="AZ124" s="160"/>
      <c r="BA124" s="160"/>
      <c r="BB124" s="160"/>
    </row>
    <row r="125" spans="1:54" ht="12" customHeight="1" thickBot="1" x14ac:dyDescent="0.25"/>
    <row r="126" spans="1:54" s="159" customFormat="1" ht="12" customHeight="1" x14ac:dyDescent="0.2">
      <c r="A126" s="585" t="s">
        <v>54</v>
      </c>
      <c r="B126" s="586"/>
      <c r="C126" s="586"/>
      <c r="D126" s="586"/>
      <c r="E126" s="586"/>
      <c r="F126" s="586"/>
      <c r="G126" s="586"/>
      <c r="H126" s="586"/>
      <c r="I126" s="586"/>
      <c r="J126" s="586"/>
      <c r="K126" s="586"/>
      <c r="L126" s="586"/>
      <c r="M126" s="586"/>
      <c r="N126" s="586"/>
      <c r="O126" s="586"/>
      <c r="P126" s="586"/>
      <c r="Q126" s="586"/>
      <c r="R126" s="586"/>
      <c r="S126" s="586"/>
      <c r="T126" s="586"/>
      <c r="U126" s="586"/>
      <c r="V126" s="586"/>
      <c r="W126" s="586"/>
      <c r="X126" s="586"/>
      <c r="Y126" s="586"/>
      <c r="Z126" s="587"/>
      <c r="AA126" s="536" t="s">
        <v>55</v>
      </c>
      <c r="AB126" s="537"/>
      <c r="AC126" s="537"/>
      <c r="AD126" s="537"/>
      <c r="AE126" s="537"/>
      <c r="AF126" s="538"/>
      <c r="AG126" s="536" t="s">
        <v>56</v>
      </c>
      <c r="AH126" s="537"/>
      <c r="AI126" s="537"/>
      <c r="AJ126" s="537"/>
      <c r="AK126" s="537"/>
      <c r="AL126" s="538"/>
      <c r="AM126" s="588" t="s">
        <v>57</v>
      </c>
      <c r="AN126" s="586"/>
      <c r="AO126" s="586"/>
      <c r="AP126" s="586"/>
      <c r="AQ126" s="586"/>
      <c r="AR126" s="586"/>
      <c r="AS126" s="586"/>
      <c r="AT126" s="587"/>
      <c r="AU126" s="588" t="s">
        <v>43</v>
      </c>
      <c r="AV126" s="586"/>
      <c r="AW126" s="586"/>
      <c r="AX126" s="586"/>
      <c r="AY126" s="586"/>
      <c r="AZ126" s="586"/>
      <c r="BA126" s="586"/>
      <c r="BB126" s="589"/>
    </row>
    <row r="127" spans="1:54" ht="11.25" customHeight="1" thickBot="1" x14ac:dyDescent="0.25">
      <c r="A127" s="564">
        <v>1</v>
      </c>
      <c r="B127" s="475"/>
      <c r="C127" s="475"/>
      <c r="D127" s="475"/>
      <c r="E127" s="475"/>
      <c r="F127" s="475"/>
      <c r="G127" s="475"/>
      <c r="H127" s="475"/>
      <c r="I127" s="475"/>
      <c r="J127" s="475"/>
      <c r="K127" s="475"/>
      <c r="L127" s="475"/>
      <c r="M127" s="475"/>
      <c r="N127" s="475"/>
      <c r="O127" s="475"/>
      <c r="P127" s="475"/>
      <c r="Q127" s="475"/>
      <c r="R127" s="475"/>
      <c r="S127" s="475"/>
      <c r="T127" s="475"/>
      <c r="U127" s="475"/>
      <c r="V127" s="475"/>
      <c r="W127" s="475"/>
      <c r="X127" s="475"/>
      <c r="Y127" s="475"/>
      <c r="Z127" s="476"/>
      <c r="AA127" s="474">
        <v>2</v>
      </c>
      <c r="AB127" s="475"/>
      <c r="AC127" s="475"/>
      <c r="AD127" s="475"/>
      <c r="AE127" s="475"/>
      <c r="AF127" s="476"/>
      <c r="AG127" s="474">
        <v>3</v>
      </c>
      <c r="AH127" s="475"/>
      <c r="AI127" s="475"/>
      <c r="AJ127" s="475"/>
      <c r="AK127" s="475"/>
      <c r="AL127" s="476"/>
      <c r="AM127" s="474">
        <v>4</v>
      </c>
      <c r="AN127" s="475"/>
      <c r="AO127" s="475"/>
      <c r="AP127" s="475"/>
      <c r="AQ127" s="475"/>
      <c r="AR127" s="475"/>
      <c r="AS127" s="475"/>
      <c r="AT127" s="476"/>
      <c r="AU127" s="474">
        <v>5</v>
      </c>
      <c r="AV127" s="475"/>
      <c r="AW127" s="475"/>
      <c r="AX127" s="475"/>
      <c r="AY127" s="475"/>
      <c r="AZ127" s="475"/>
      <c r="BA127" s="475"/>
      <c r="BB127" s="565"/>
    </row>
    <row r="128" spans="1:54" ht="31.5" hidden="1" customHeight="1" x14ac:dyDescent="0.2">
      <c r="A128" s="566"/>
      <c r="B128" s="567"/>
      <c r="C128" s="567"/>
      <c r="D128" s="567"/>
      <c r="E128" s="567"/>
      <c r="F128" s="567"/>
      <c r="G128" s="567"/>
      <c r="H128" s="567"/>
      <c r="I128" s="567"/>
      <c r="J128" s="567"/>
      <c r="K128" s="567"/>
      <c r="L128" s="567"/>
      <c r="M128" s="567"/>
      <c r="N128" s="567"/>
      <c r="O128" s="567"/>
      <c r="P128" s="567"/>
      <c r="Q128" s="567"/>
      <c r="R128" s="567"/>
      <c r="S128" s="567"/>
      <c r="T128" s="567"/>
      <c r="U128" s="567"/>
      <c r="V128" s="567"/>
      <c r="W128" s="567"/>
      <c r="X128" s="567"/>
      <c r="Y128" s="567"/>
      <c r="Z128" s="568"/>
      <c r="AA128" s="569">
        <v>0</v>
      </c>
      <c r="AB128" s="570"/>
      <c r="AC128" s="570"/>
      <c r="AD128" s="570"/>
      <c r="AE128" s="570"/>
      <c r="AF128" s="571"/>
      <c r="AG128" s="569">
        <f>U12</f>
        <v>72</v>
      </c>
      <c r="AH128" s="570"/>
      <c r="AI128" s="570"/>
      <c r="AJ128" s="570"/>
      <c r="AK128" s="570"/>
      <c r="AL128" s="571"/>
      <c r="AM128" s="569" t="s">
        <v>61</v>
      </c>
      <c r="AN128" s="570"/>
      <c r="AO128" s="570"/>
      <c r="AP128" s="570"/>
      <c r="AQ128" s="570"/>
      <c r="AR128" s="570"/>
      <c r="AS128" s="570"/>
      <c r="AT128" s="571"/>
      <c r="AU128" s="607">
        <f>AA128/AG128</f>
        <v>0</v>
      </c>
      <c r="AV128" s="608"/>
      <c r="AW128" s="608"/>
      <c r="AX128" s="608"/>
      <c r="AY128" s="608"/>
      <c r="AZ128" s="608"/>
      <c r="BA128" s="608"/>
      <c r="BB128" s="609"/>
    </row>
    <row r="129" spans="1:54" ht="4.5" hidden="1" customHeight="1" x14ac:dyDescent="0.2">
      <c r="A129" s="561"/>
      <c r="B129" s="562"/>
      <c r="C129" s="562"/>
      <c r="D129" s="562"/>
      <c r="E129" s="562"/>
      <c r="F129" s="562"/>
      <c r="G129" s="562"/>
      <c r="H129" s="562"/>
      <c r="I129" s="562"/>
      <c r="J129" s="562"/>
      <c r="K129" s="562"/>
      <c r="L129" s="562"/>
      <c r="M129" s="562"/>
      <c r="N129" s="562"/>
      <c r="O129" s="562"/>
      <c r="P129" s="562"/>
      <c r="Q129" s="562"/>
      <c r="R129" s="562"/>
      <c r="S129" s="562"/>
      <c r="T129" s="562"/>
      <c r="U129" s="562"/>
      <c r="V129" s="562"/>
      <c r="W129" s="562"/>
      <c r="X129" s="562"/>
      <c r="Y129" s="562"/>
      <c r="Z129" s="563"/>
      <c r="AA129" s="518"/>
      <c r="AB129" s="518"/>
      <c r="AC129" s="518"/>
      <c r="AD129" s="518"/>
      <c r="AE129" s="518"/>
      <c r="AF129" s="518"/>
      <c r="AG129" s="572"/>
      <c r="AH129" s="573"/>
      <c r="AI129" s="573"/>
      <c r="AJ129" s="573"/>
      <c r="AK129" s="573"/>
      <c r="AL129" s="574"/>
      <c r="AM129" s="572"/>
      <c r="AN129" s="573"/>
      <c r="AO129" s="573"/>
      <c r="AP129" s="573"/>
      <c r="AQ129" s="573"/>
      <c r="AR129" s="573"/>
      <c r="AS129" s="573"/>
      <c r="AT129" s="574"/>
      <c r="AU129" s="558">
        <f>AA129/AG128</f>
        <v>0</v>
      </c>
      <c r="AV129" s="559"/>
      <c r="AW129" s="559"/>
      <c r="AX129" s="559"/>
      <c r="AY129" s="559"/>
      <c r="AZ129" s="559"/>
      <c r="BA129" s="559"/>
      <c r="BB129" s="560"/>
    </row>
    <row r="130" spans="1:54" ht="21" customHeight="1" x14ac:dyDescent="0.2">
      <c r="A130" s="449"/>
      <c r="B130" s="450"/>
      <c r="C130" s="450"/>
      <c r="D130" s="450"/>
      <c r="E130" s="450"/>
      <c r="F130" s="450"/>
      <c r="G130" s="450"/>
      <c r="H130" s="450"/>
      <c r="I130" s="450"/>
      <c r="J130" s="450"/>
      <c r="K130" s="450"/>
      <c r="L130" s="450"/>
      <c r="M130" s="450"/>
      <c r="N130" s="450"/>
      <c r="O130" s="450"/>
      <c r="P130" s="450"/>
      <c r="Q130" s="450"/>
      <c r="R130" s="450"/>
      <c r="S130" s="450"/>
      <c r="T130" s="450"/>
      <c r="U130" s="450"/>
      <c r="V130" s="450"/>
      <c r="W130" s="450"/>
      <c r="X130" s="450"/>
      <c r="Y130" s="450"/>
      <c r="Z130" s="451"/>
      <c r="AA130" s="557"/>
      <c r="AB130" s="557"/>
      <c r="AC130" s="557"/>
      <c r="AD130" s="557"/>
      <c r="AE130" s="557"/>
      <c r="AF130" s="557"/>
      <c r="AG130" s="572"/>
      <c r="AH130" s="573"/>
      <c r="AI130" s="573"/>
      <c r="AJ130" s="573"/>
      <c r="AK130" s="573"/>
      <c r="AL130" s="574"/>
      <c r="AM130" s="572"/>
      <c r="AN130" s="573"/>
      <c r="AO130" s="573"/>
      <c r="AP130" s="573"/>
      <c r="AQ130" s="573"/>
      <c r="AR130" s="573"/>
      <c r="AS130" s="573"/>
      <c r="AT130" s="574"/>
      <c r="AU130" s="558">
        <f>AA130/AG128</f>
        <v>0</v>
      </c>
      <c r="AV130" s="559"/>
      <c r="AW130" s="559"/>
      <c r="AX130" s="559"/>
      <c r="AY130" s="559"/>
      <c r="AZ130" s="559"/>
      <c r="BA130" s="559"/>
      <c r="BB130" s="560"/>
    </row>
    <row r="131" spans="1:54" ht="21" customHeight="1" x14ac:dyDescent="0.2">
      <c r="A131" s="449"/>
      <c r="B131" s="450"/>
      <c r="C131" s="450"/>
      <c r="D131" s="450"/>
      <c r="E131" s="450"/>
      <c r="F131" s="450"/>
      <c r="G131" s="450"/>
      <c r="H131" s="450"/>
      <c r="I131" s="450"/>
      <c r="J131" s="450"/>
      <c r="K131" s="450"/>
      <c r="L131" s="450"/>
      <c r="M131" s="450"/>
      <c r="N131" s="450"/>
      <c r="O131" s="450"/>
      <c r="P131" s="450"/>
      <c r="Q131" s="450"/>
      <c r="R131" s="450"/>
      <c r="S131" s="450"/>
      <c r="T131" s="450"/>
      <c r="U131" s="450"/>
      <c r="V131" s="450"/>
      <c r="W131" s="450"/>
      <c r="X131" s="450"/>
      <c r="Y131" s="450"/>
      <c r="Z131" s="451"/>
      <c r="AA131" s="557"/>
      <c r="AB131" s="557"/>
      <c r="AC131" s="557"/>
      <c r="AD131" s="557"/>
      <c r="AE131" s="557"/>
      <c r="AF131" s="557"/>
      <c r="AG131" s="572"/>
      <c r="AH131" s="573"/>
      <c r="AI131" s="573"/>
      <c r="AJ131" s="573"/>
      <c r="AK131" s="573"/>
      <c r="AL131" s="574"/>
      <c r="AM131" s="572"/>
      <c r="AN131" s="573"/>
      <c r="AO131" s="573"/>
      <c r="AP131" s="573"/>
      <c r="AQ131" s="573"/>
      <c r="AR131" s="573"/>
      <c r="AS131" s="573"/>
      <c r="AT131" s="574"/>
      <c r="AU131" s="558">
        <f>AA131/AG128</f>
        <v>0</v>
      </c>
      <c r="AV131" s="559"/>
      <c r="AW131" s="559"/>
      <c r="AX131" s="559"/>
      <c r="AY131" s="559"/>
      <c r="AZ131" s="559"/>
      <c r="BA131" s="559"/>
      <c r="BB131" s="560"/>
    </row>
    <row r="132" spans="1:54" ht="6" hidden="1" customHeight="1" x14ac:dyDescent="0.2">
      <c r="A132" s="449"/>
      <c r="B132" s="450"/>
      <c r="C132" s="450"/>
      <c r="D132" s="450"/>
      <c r="E132" s="450"/>
      <c r="F132" s="450"/>
      <c r="G132" s="450"/>
      <c r="H132" s="450"/>
      <c r="I132" s="450"/>
      <c r="J132" s="450"/>
      <c r="K132" s="450"/>
      <c r="L132" s="450"/>
      <c r="M132" s="450"/>
      <c r="N132" s="450"/>
      <c r="O132" s="450"/>
      <c r="P132" s="450"/>
      <c r="Q132" s="450"/>
      <c r="R132" s="450"/>
      <c r="S132" s="450"/>
      <c r="T132" s="450"/>
      <c r="U132" s="450"/>
      <c r="V132" s="450"/>
      <c r="W132" s="450"/>
      <c r="X132" s="450"/>
      <c r="Y132" s="450"/>
      <c r="Z132" s="451"/>
      <c r="AA132" s="557"/>
      <c r="AB132" s="557"/>
      <c r="AC132" s="557"/>
      <c r="AD132" s="557"/>
      <c r="AE132" s="557"/>
      <c r="AF132" s="557"/>
      <c r="AG132" s="572"/>
      <c r="AH132" s="573"/>
      <c r="AI132" s="573"/>
      <c r="AJ132" s="573"/>
      <c r="AK132" s="573"/>
      <c r="AL132" s="574"/>
      <c r="AM132" s="572"/>
      <c r="AN132" s="573"/>
      <c r="AO132" s="573"/>
      <c r="AP132" s="573"/>
      <c r="AQ132" s="573"/>
      <c r="AR132" s="573"/>
      <c r="AS132" s="573"/>
      <c r="AT132" s="574"/>
      <c r="AU132" s="558">
        <f>AA132/AG128</f>
        <v>0</v>
      </c>
      <c r="AV132" s="559"/>
      <c r="AW132" s="559"/>
      <c r="AX132" s="559"/>
      <c r="AY132" s="559"/>
      <c r="AZ132" s="559"/>
      <c r="BA132" s="559"/>
      <c r="BB132" s="560"/>
    </row>
    <row r="133" spans="1:54" ht="0.75" customHeight="1" thickBot="1" x14ac:dyDescent="0.25">
      <c r="A133" s="575"/>
      <c r="B133" s="576"/>
      <c r="C133" s="576"/>
      <c r="D133" s="576"/>
      <c r="E133" s="576"/>
      <c r="F133" s="576"/>
      <c r="G133" s="576"/>
      <c r="H133" s="576"/>
      <c r="I133" s="576"/>
      <c r="J133" s="576"/>
      <c r="K133" s="576"/>
      <c r="L133" s="576"/>
      <c r="M133" s="576"/>
      <c r="N133" s="576"/>
      <c r="O133" s="576"/>
      <c r="P133" s="576"/>
      <c r="Q133" s="576"/>
      <c r="R133" s="576"/>
      <c r="S133" s="576"/>
      <c r="T133" s="576"/>
      <c r="U133" s="576"/>
      <c r="V133" s="576"/>
      <c r="W133" s="576"/>
      <c r="X133" s="576"/>
      <c r="Y133" s="576"/>
      <c r="Z133" s="577"/>
      <c r="AA133" s="578">
        <v>0</v>
      </c>
      <c r="AB133" s="578"/>
      <c r="AC133" s="578"/>
      <c r="AD133" s="578"/>
      <c r="AE133" s="578"/>
      <c r="AF133" s="578"/>
      <c r="AG133" s="572"/>
      <c r="AH133" s="573"/>
      <c r="AI133" s="573"/>
      <c r="AJ133" s="573"/>
      <c r="AK133" s="573"/>
      <c r="AL133" s="574"/>
      <c r="AM133" s="572"/>
      <c r="AN133" s="573"/>
      <c r="AO133" s="573"/>
      <c r="AP133" s="573"/>
      <c r="AQ133" s="573"/>
      <c r="AR133" s="573"/>
      <c r="AS133" s="573"/>
      <c r="AT133" s="574"/>
      <c r="AU133" s="579">
        <f>AA133/AG128</f>
        <v>0</v>
      </c>
      <c r="AV133" s="580"/>
      <c r="AW133" s="580"/>
      <c r="AX133" s="580"/>
      <c r="AY133" s="580"/>
      <c r="AZ133" s="580"/>
      <c r="BA133" s="580"/>
      <c r="BB133" s="581"/>
    </row>
    <row r="134" spans="1:54" ht="15" customHeight="1" thickBot="1" x14ac:dyDescent="0.25">
      <c r="A134" s="545" t="s">
        <v>51</v>
      </c>
      <c r="B134" s="546"/>
      <c r="C134" s="546"/>
      <c r="D134" s="546"/>
      <c r="E134" s="546"/>
      <c r="F134" s="546"/>
      <c r="G134" s="546"/>
      <c r="H134" s="546"/>
      <c r="I134" s="546"/>
      <c r="J134" s="546"/>
      <c r="K134" s="546"/>
      <c r="L134" s="546"/>
      <c r="M134" s="546"/>
      <c r="N134" s="546"/>
      <c r="O134" s="546"/>
      <c r="P134" s="546"/>
      <c r="Q134" s="546"/>
      <c r="R134" s="546"/>
      <c r="S134" s="546"/>
      <c r="T134" s="546"/>
      <c r="U134" s="546"/>
      <c r="V134" s="546"/>
      <c r="W134" s="546"/>
      <c r="X134" s="546"/>
      <c r="Y134" s="546"/>
      <c r="Z134" s="547"/>
      <c r="AA134" s="548">
        <f>SUM(AA128:AF131)</f>
        <v>0</v>
      </c>
      <c r="AB134" s="549"/>
      <c r="AC134" s="549"/>
      <c r="AD134" s="549"/>
      <c r="AE134" s="549"/>
      <c r="AF134" s="550"/>
      <c r="AG134" s="531">
        <f>AG128</f>
        <v>72</v>
      </c>
      <c r="AH134" s="533"/>
      <c r="AI134" s="533"/>
      <c r="AJ134" s="533"/>
      <c r="AK134" s="533"/>
      <c r="AL134" s="534"/>
      <c r="AM134" s="551" t="s">
        <v>17</v>
      </c>
      <c r="AN134" s="552"/>
      <c r="AO134" s="552"/>
      <c r="AP134" s="552"/>
      <c r="AQ134" s="552"/>
      <c r="AR134" s="552"/>
      <c r="AS134" s="552"/>
      <c r="AT134" s="553"/>
      <c r="AU134" s="554">
        <f>SUM(AU128:BB133)</f>
        <v>0</v>
      </c>
      <c r="AV134" s="555"/>
      <c r="AW134" s="555"/>
      <c r="AX134" s="555"/>
      <c r="AY134" s="555"/>
      <c r="AZ134" s="555"/>
      <c r="BA134" s="555"/>
      <c r="BB134" s="556"/>
    </row>
    <row r="135" spans="1:54" s="161" customFormat="1" ht="15" customHeight="1" x14ac:dyDescent="0.2">
      <c r="A135" s="117"/>
      <c r="B135" s="117"/>
      <c r="C135" s="117"/>
      <c r="D135" s="117"/>
      <c r="E135" s="117"/>
      <c r="F135" s="117"/>
      <c r="G135" s="117"/>
      <c r="H135" s="117"/>
      <c r="I135" s="117"/>
      <c r="J135" s="117"/>
      <c r="K135" s="117"/>
      <c r="L135" s="117"/>
      <c r="M135" s="117"/>
      <c r="N135" s="117"/>
      <c r="O135" s="117"/>
      <c r="P135" s="117"/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</row>
    <row r="136" spans="1:54" ht="27" customHeight="1" x14ac:dyDescent="0.2">
      <c r="A136" s="159" t="s">
        <v>62</v>
      </c>
      <c r="B136" s="159"/>
      <c r="C136" s="159" t="s">
        <v>63</v>
      </c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  <c r="AU136" s="159"/>
      <c r="AV136" s="159"/>
      <c r="AW136" s="159"/>
      <c r="AX136" s="160"/>
      <c r="AY136" s="160"/>
      <c r="AZ136" s="160"/>
      <c r="BA136" s="160"/>
      <c r="BB136" s="160"/>
    </row>
    <row r="137" spans="1:54" ht="21.75" customHeight="1" thickBot="1" x14ac:dyDescent="0.25"/>
    <row r="138" spans="1:54" ht="63" customHeight="1" x14ac:dyDescent="0.2">
      <c r="A138" s="499" t="s">
        <v>54</v>
      </c>
      <c r="B138" s="500"/>
      <c r="C138" s="500"/>
      <c r="D138" s="500"/>
      <c r="E138" s="500"/>
      <c r="F138" s="500"/>
      <c r="G138" s="500"/>
      <c r="H138" s="535" t="s">
        <v>64</v>
      </c>
      <c r="I138" s="535"/>
      <c r="J138" s="535"/>
      <c r="K138" s="535"/>
      <c r="L138" s="535"/>
      <c r="M138" s="535" t="s">
        <v>94</v>
      </c>
      <c r="N138" s="535"/>
      <c r="O138" s="535"/>
      <c r="P138" s="535"/>
      <c r="Q138" s="535"/>
      <c r="R138" s="535" t="s">
        <v>82</v>
      </c>
      <c r="S138" s="535"/>
      <c r="T138" s="535"/>
      <c r="U138" s="535"/>
      <c r="V138" s="535" t="s">
        <v>65</v>
      </c>
      <c r="W138" s="535"/>
      <c r="X138" s="535"/>
      <c r="Y138" s="535"/>
      <c r="Z138" s="535" t="s">
        <v>66</v>
      </c>
      <c r="AA138" s="535"/>
      <c r="AB138" s="535"/>
      <c r="AC138" s="535"/>
      <c r="AD138" s="535" t="s">
        <v>67</v>
      </c>
      <c r="AE138" s="535"/>
      <c r="AF138" s="535"/>
      <c r="AG138" s="535"/>
      <c r="AH138" s="535"/>
      <c r="AI138" s="535"/>
      <c r="AJ138" s="535"/>
      <c r="AK138" s="535"/>
      <c r="AL138" s="535"/>
      <c r="AM138" s="535"/>
      <c r="AN138" s="535"/>
      <c r="AO138" s="535"/>
      <c r="AP138" s="535"/>
      <c r="AQ138" s="535" t="s">
        <v>432</v>
      </c>
      <c r="AR138" s="535"/>
      <c r="AS138" s="535"/>
      <c r="AT138" s="535"/>
      <c r="AU138" s="536" t="s">
        <v>433</v>
      </c>
      <c r="AV138" s="537"/>
      <c r="AW138" s="537"/>
      <c r="AX138" s="538"/>
      <c r="AY138" s="536" t="s">
        <v>87</v>
      </c>
      <c r="AZ138" s="537"/>
      <c r="BA138" s="537"/>
      <c r="BB138" s="539"/>
    </row>
    <row r="139" spans="1:54" ht="71.25" customHeight="1" thickBot="1" x14ac:dyDescent="0.25">
      <c r="A139" s="888"/>
      <c r="B139" s="889"/>
      <c r="C139" s="889"/>
      <c r="D139" s="889"/>
      <c r="E139" s="889"/>
      <c r="F139" s="889"/>
      <c r="G139" s="889"/>
      <c r="H139" s="894" t="s">
        <v>68</v>
      </c>
      <c r="I139" s="894"/>
      <c r="J139" s="894"/>
      <c r="K139" s="894"/>
      <c r="L139" s="894"/>
      <c r="M139" s="894" t="s">
        <v>68</v>
      </c>
      <c r="N139" s="894"/>
      <c r="O139" s="894"/>
      <c r="P139" s="894"/>
      <c r="Q139" s="894"/>
      <c r="R139" s="894"/>
      <c r="S139" s="894"/>
      <c r="T139" s="894"/>
      <c r="U139" s="894"/>
      <c r="V139" s="894"/>
      <c r="W139" s="894"/>
      <c r="X139" s="894"/>
      <c r="Y139" s="894"/>
      <c r="Z139" s="894"/>
      <c r="AA139" s="894"/>
      <c r="AB139" s="894"/>
      <c r="AC139" s="894"/>
      <c r="AD139" s="894" t="s">
        <v>68</v>
      </c>
      <c r="AE139" s="894"/>
      <c r="AF139" s="894"/>
      <c r="AG139" s="894"/>
      <c r="AH139" s="894"/>
      <c r="AI139" s="894"/>
      <c r="AJ139" s="895" t="s">
        <v>69</v>
      </c>
      <c r="AK139" s="896"/>
      <c r="AL139" s="896"/>
      <c r="AM139" s="896"/>
      <c r="AN139" s="896"/>
      <c r="AO139" s="896"/>
      <c r="AP139" s="897"/>
      <c r="AQ139" s="894" t="s">
        <v>68</v>
      </c>
      <c r="AR139" s="894"/>
      <c r="AS139" s="894"/>
      <c r="AT139" s="894"/>
      <c r="AU139" s="894" t="s">
        <v>68</v>
      </c>
      <c r="AV139" s="894"/>
      <c r="AW139" s="894"/>
      <c r="AX139" s="894"/>
      <c r="AY139" s="894" t="s">
        <v>68</v>
      </c>
      <c r="AZ139" s="894"/>
      <c r="BA139" s="894"/>
      <c r="BB139" s="898"/>
    </row>
    <row r="140" spans="1:54" ht="22.5" customHeight="1" thickBot="1" x14ac:dyDescent="0.25">
      <c r="A140" s="530">
        <v>1</v>
      </c>
      <c r="B140" s="503"/>
      <c r="C140" s="503"/>
      <c r="D140" s="503"/>
      <c r="E140" s="503"/>
      <c r="F140" s="503"/>
      <c r="G140" s="503"/>
      <c r="H140" s="503">
        <v>2</v>
      </c>
      <c r="I140" s="503"/>
      <c r="J140" s="503"/>
      <c r="K140" s="503"/>
      <c r="L140" s="503"/>
      <c r="M140" s="503">
        <v>3</v>
      </c>
      <c r="N140" s="503"/>
      <c r="O140" s="503"/>
      <c r="P140" s="503"/>
      <c r="Q140" s="503"/>
      <c r="R140" s="503">
        <v>4</v>
      </c>
      <c r="S140" s="503"/>
      <c r="T140" s="503"/>
      <c r="U140" s="503"/>
      <c r="V140" s="503">
        <v>5</v>
      </c>
      <c r="W140" s="503"/>
      <c r="X140" s="503"/>
      <c r="Y140" s="503"/>
      <c r="Z140" s="503">
        <v>6</v>
      </c>
      <c r="AA140" s="503"/>
      <c r="AB140" s="503"/>
      <c r="AC140" s="531"/>
      <c r="AD140" s="503">
        <v>7</v>
      </c>
      <c r="AE140" s="503"/>
      <c r="AF140" s="503"/>
      <c r="AG140" s="503"/>
      <c r="AH140" s="503"/>
      <c r="AI140" s="503"/>
      <c r="AJ140" s="533">
        <v>8</v>
      </c>
      <c r="AK140" s="533"/>
      <c r="AL140" s="533"/>
      <c r="AM140" s="533"/>
      <c r="AN140" s="533"/>
      <c r="AO140" s="533"/>
      <c r="AP140" s="534"/>
      <c r="AQ140" s="503">
        <v>9</v>
      </c>
      <c r="AR140" s="503"/>
      <c r="AS140" s="503"/>
      <c r="AT140" s="503"/>
      <c r="AU140" s="503">
        <v>10</v>
      </c>
      <c r="AV140" s="503"/>
      <c r="AW140" s="503"/>
      <c r="AX140" s="503"/>
      <c r="AY140" s="503">
        <v>11</v>
      </c>
      <c r="AZ140" s="503"/>
      <c r="BA140" s="503"/>
      <c r="BB140" s="504"/>
    </row>
    <row r="141" spans="1:54" ht="24.75" customHeight="1" x14ac:dyDescent="0.2">
      <c r="A141" s="505" t="s">
        <v>70</v>
      </c>
      <c r="B141" s="506"/>
      <c r="C141" s="506"/>
      <c r="D141" s="506"/>
      <c r="E141" s="506"/>
      <c r="F141" s="506"/>
      <c r="G141" s="506"/>
      <c r="H141" s="507">
        <f>AO88/V141</f>
        <v>70.412159999999986</v>
      </c>
      <c r="I141" s="507"/>
      <c r="J141" s="507"/>
      <c r="K141" s="507"/>
      <c r="L141" s="507"/>
      <c r="M141" s="507">
        <f>H141</f>
        <v>70.412159999999986</v>
      </c>
      <c r="N141" s="507"/>
      <c r="O141" s="507"/>
      <c r="P141" s="507"/>
      <c r="Q141" s="507"/>
      <c r="R141" s="508">
        <f>U12</f>
        <v>72</v>
      </c>
      <c r="S141" s="509"/>
      <c r="T141" s="509"/>
      <c r="U141" s="510"/>
      <c r="V141" s="517">
        <f>Y16</f>
        <v>12</v>
      </c>
      <c r="W141" s="517"/>
      <c r="X141" s="517"/>
      <c r="Y141" s="517"/>
      <c r="Z141" s="517">
        <f>U16</f>
        <v>2</v>
      </c>
      <c r="AA141" s="517"/>
      <c r="AB141" s="517"/>
      <c r="AC141" s="517"/>
      <c r="AD141" s="520" t="s">
        <v>71</v>
      </c>
      <c r="AE141" s="521"/>
      <c r="AF141" s="521"/>
      <c r="AG141" s="521"/>
      <c r="AH141" s="521"/>
      <c r="AI141" s="522"/>
      <c r="AJ141" s="523"/>
      <c r="AK141" s="524"/>
      <c r="AL141" s="524"/>
      <c r="AM141" s="524"/>
      <c r="AN141" s="524"/>
      <c r="AO141" s="524"/>
      <c r="AP141" s="525"/>
      <c r="AQ141" s="507">
        <f>H141*8</f>
        <v>563.29727999999989</v>
      </c>
      <c r="AR141" s="507"/>
      <c r="AS141" s="507"/>
      <c r="AT141" s="507"/>
      <c r="AU141" s="507">
        <f>M141*2</f>
        <v>140.82431999999997</v>
      </c>
      <c r="AV141" s="507"/>
      <c r="AW141" s="507"/>
      <c r="AX141" s="507"/>
      <c r="AY141" s="507">
        <f>H141*R141</f>
        <v>5069.6755199999989</v>
      </c>
      <c r="AZ141" s="507"/>
      <c r="BA141" s="507"/>
      <c r="BB141" s="526"/>
    </row>
    <row r="142" spans="1:54" ht="29.25" customHeight="1" x14ac:dyDescent="0.2">
      <c r="A142" s="527" t="s">
        <v>72</v>
      </c>
      <c r="B142" s="528"/>
      <c r="C142" s="528"/>
      <c r="D142" s="528"/>
      <c r="E142" s="528"/>
      <c r="F142" s="528"/>
      <c r="G142" s="528"/>
      <c r="H142" s="529">
        <f>AV98</f>
        <v>37.499710780198249</v>
      </c>
      <c r="I142" s="529"/>
      <c r="J142" s="529"/>
      <c r="K142" s="529"/>
      <c r="L142" s="529"/>
      <c r="M142" s="477">
        <f t="shared" ref="M142:M144" si="3">H142</f>
        <v>37.499710780198249</v>
      </c>
      <c r="N142" s="477"/>
      <c r="O142" s="477"/>
      <c r="P142" s="477"/>
      <c r="Q142" s="477"/>
      <c r="R142" s="511"/>
      <c r="S142" s="512"/>
      <c r="T142" s="512"/>
      <c r="U142" s="513"/>
      <c r="V142" s="518"/>
      <c r="W142" s="518"/>
      <c r="X142" s="518"/>
      <c r="Y142" s="518"/>
      <c r="Z142" s="518"/>
      <c r="AA142" s="518"/>
      <c r="AB142" s="518"/>
      <c r="AC142" s="518"/>
      <c r="AD142" s="477" t="s">
        <v>71</v>
      </c>
      <c r="AE142" s="477"/>
      <c r="AF142" s="477"/>
      <c r="AG142" s="477"/>
      <c r="AH142" s="477"/>
      <c r="AI142" s="477"/>
      <c r="AJ142" s="478"/>
      <c r="AK142" s="479"/>
      <c r="AL142" s="479"/>
      <c r="AM142" s="479"/>
      <c r="AN142" s="479"/>
      <c r="AO142" s="479"/>
      <c r="AP142" s="480"/>
      <c r="AQ142" s="477">
        <f t="shared" ref="AQ142:AQ144" si="4">H142*8</f>
        <v>299.997686241586</v>
      </c>
      <c r="AR142" s="477"/>
      <c r="AS142" s="477"/>
      <c r="AT142" s="477"/>
      <c r="AU142" s="477">
        <f t="shared" ref="AU142:AU144" si="5">M142*2</f>
        <v>74.999421560396499</v>
      </c>
      <c r="AV142" s="477"/>
      <c r="AW142" s="477"/>
      <c r="AX142" s="477"/>
      <c r="AY142" s="477">
        <f>H142*R141</f>
        <v>2699.979176174274</v>
      </c>
      <c r="AZ142" s="477"/>
      <c r="BA142" s="477"/>
      <c r="BB142" s="481"/>
    </row>
    <row r="143" spans="1:54" ht="15" customHeight="1" x14ac:dyDescent="0.2">
      <c r="A143" s="527" t="s">
        <v>73</v>
      </c>
      <c r="B143" s="528"/>
      <c r="C143" s="528"/>
      <c r="D143" s="528"/>
      <c r="E143" s="528"/>
      <c r="F143" s="528"/>
      <c r="G143" s="528"/>
      <c r="H143" s="529">
        <f>AU122</f>
        <v>29.588111111111111</v>
      </c>
      <c r="I143" s="529"/>
      <c r="J143" s="529"/>
      <c r="K143" s="529"/>
      <c r="L143" s="529"/>
      <c r="M143" s="477">
        <f t="shared" si="3"/>
        <v>29.588111111111111</v>
      </c>
      <c r="N143" s="477"/>
      <c r="O143" s="477"/>
      <c r="P143" s="477"/>
      <c r="Q143" s="477"/>
      <c r="R143" s="511"/>
      <c r="S143" s="512"/>
      <c r="T143" s="512"/>
      <c r="U143" s="513"/>
      <c r="V143" s="518"/>
      <c r="W143" s="518"/>
      <c r="X143" s="518"/>
      <c r="Y143" s="518"/>
      <c r="Z143" s="518"/>
      <c r="AA143" s="518"/>
      <c r="AB143" s="518"/>
      <c r="AC143" s="518"/>
      <c r="AD143" s="477" t="s">
        <v>71</v>
      </c>
      <c r="AE143" s="477"/>
      <c r="AF143" s="477"/>
      <c r="AG143" s="477"/>
      <c r="AH143" s="477"/>
      <c r="AI143" s="477"/>
      <c r="AJ143" s="478"/>
      <c r="AK143" s="479"/>
      <c r="AL143" s="479"/>
      <c r="AM143" s="479"/>
      <c r="AN143" s="479"/>
      <c r="AO143" s="479"/>
      <c r="AP143" s="480"/>
      <c r="AQ143" s="477">
        <f t="shared" si="4"/>
        <v>236.70488888888889</v>
      </c>
      <c r="AR143" s="477"/>
      <c r="AS143" s="477"/>
      <c r="AT143" s="477"/>
      <c r="AU143" s="477">
        <f t="shared" si="5"/>
        <v>59.176222222222222</v>
      </c>
      <c r="AV143" s="477"/>
      <c r="AW143" s="477"/>
      <c r="AX143" s="477"/>
      <c r="AY143" s="477">
        <f>H143*R141</f>
        <v>2130.3440000000001</v>
      </c>
      <c r="AZ143" s="477"/>
      <c r="BA143" s="477"/>
      <c r="BB143" s="481"/>
    </row>
    <row r="144" spans="1:54" ht="26.25" customHeight="1" thickBot="1" x14ac:dyDescent="0.25">
      <c r="A144" s="494" t="s">
        <v>74</v>
      </c>
      <c r="B144" s="495"/>
      <c r="C144" s="495"/>
      <c r="D144" s="495"/>
      <c r="E144" s="495"/>
      <c r="F144" s="495"/>
      <c r="G144" s="495"/>
      <c r="H144" s="483">
        <f>AU134</f>
        <v>0</v>
      </c>
      <c r="I144" s="483"/>
      <c r="J144" s="483"/>
      <c r="K144" s="483"/>
      <c r="L144" s="483"/>
      <c r="M144" s="482">
        <f t="shared" si="3"/>
        <v>0</v>
      </c>
      <c r="N144" s="482"/>
      <c r="O144" s="482"/>
      <c r="P144" s="482"/>
      <c r="Q144" s="482"/>
      <c r="R144" s="514"/>
      <c r="S144" s="515"/>
      <c r="T144" s="515"/>
      <c r="U144" s="516"/>
      <c r="V144" s="519"/>
      <c r="W144" s="519"/>
      <c r="X144" s="519"/>
      <c r="Y144" s="519"/>
      <c r="Z144" s="519"/>
      <c r="AA144" s="519"/>
      <c r="AB144" s="519"/>
      <c r="AC144" s="519"/>
      <c r="AD144" s="482" t="s">
        <v>71</v>
      </c>
      <c r="AE144" s="482"/>
      <c r="AF144" s="482"/>
      <c r="AG144" s="482"/>
      <c r="AH144" s="482"/>
      <c r="AI144" s="482"/>
      <c r="AJ144" s="496" t="s">
        <v>17</v>
      </c>
      <c r="AK144" s="497"/>
      <c r="AL144" s="497"/>
      <c r="AM144" s="497"/>
      <c r="AN144" s="497"/>
      <c r="AO144" s="497"/>
      <c r="AP144" s="498"/>
      <c r="AQ144" s="482">
        <f t="shared" si="4"/>
        <v>0</v>
      </c>
      <c r="AR144" s="482"/>
      <c r="AS144" s="482"/>
      <c r="AT144" s="482"/>
      <c r="AU144" s="482">
        <f t="shared" si="5"/>
        <v>0</v>
      </c>
      <c r="AV144" s="482"/>
      <c r="AW144" s="482"/>
      <c r="AX144" s="482"/>
      <c r="AY144" s="483">
        <f>H144*R141</f>
        <v>0</v>
      </c>
      <c r="AZ144" s="483"/>
      <c r="BA144" s="483"/>
      <c r="BB144" s="484"/>
    </row>
    <row r="145" spans="1:183" ht="25.5" customHeight="1" x14ac:dyDescent="0.2">
      <c r="A145" s="485" t="s">
        <v>80</v>
      </c>
      <c r="B145" s="486"/>
      <c r="C145" s="486"/>
      <c r="D145" s="486"/>
      <c r="E145" s="486"/>
      <c r="F145" s="486"/>
      <c r="G145" s="487"/>
      <c r="H145" s="488">
        <f>SUM(H141:L144)</f>
        <v>137.49998189130935</v>
      </c>
      <c r="I145" s="488"/>
      <c r="J145" s="488"/>
      <c r="K145" s="488"/>
      <c r="L145" s="488"/>
      <c r="M145" s="488">
        <f>SUM(M141:Q144)</f>
        <v>137.49998189130935</v>
      </c>
      <c r="N145" s="488"/>
      <c r="O145" s="488"/>
      <c r="P145" s="488"/>
      <c r="Q145" s="488"/>
      <c r="R145" s="489">
        <f>R141</f>
        <v>72</v>
      </c>
      <c r="S145" s="489"/>
      <c r="T145" s="489"/>
      <c r="U145" s="489"/>
      <c r="V145" s="490">
        <f>V141</f>
        <v>12</v>
      </c>
      <c r="W145" s="490"/>
      <c r="X145" s="490"/>
      <c r="Y145" s="490"/>
      <c r="Z145" s="490">
        <f>Z141</f>
        <v>2</v>
      </c>
      <c r="AA145" s="490"/>
      <c r="AB145" s="490"/>
      <c r="AC145" s="490"/>
      <c r="AD145" s="488" t="s">
        <v>17</v>
      </c>
      <c r="AE145" s="488"/>
      <c r="AF145" s="488"/>
      <c r="AG145" s="488"/>
      <c r="AH145" s="488"/>
      <c r="AI145" s="488"/>
      <c r="AJ145" s="491" t="s">
        <v>17</v>
      </c>
      <c r="AK145" s="492"/>
      <c r="AL145" s="492"/>
      <c r="AM145" s="492"/>
      <c r="AN145" s="492"/>
      <c r="AO145" s="492"/>
      <c r="AP145" s="493"/>
      <c r="AQ145" s="453">
        <f>SUM(AQ141:AT144)</f>
        <v>1099.9998551304748</v>
      </c>
      <c r="AR145" s="453"/>
      <c r="AS145" s="453"/>
      <c r="AT145" s="453"/>
      <c r="AU145" s="453">
        <f>SUM(AU141:AX144)</f>
        <v>274.99996378261869</v>
      </c>
      <c r="AV145" s="453"/>
      <c r="AW145" s="453"/>
      <c r="AX145" s="453"/>
      <c r="AY145" s="453">
        <f>SUM(AY141:BB144)</f>
        <v>9899.9986961742725</v>
      </c>
      <c r="AZ145" s="453"/>
      <c r="BA145" s="453"/>
      <c r="BB145" s="454"/>
    </row>
    <row r="146" spans="1:183" ht="30.75" customHeight="1" x14ac:dyDescent="0.2">
      <c r="A146" s="455" t="s">
        <v>75</v>
      </c>
      <c r="B146" s="456"/>
      <c r="C146" s="456"/>
      <c r="D146" s="456"/>
      <c r="E146" s="456"/>
      <c r="F146" s="456"/>
      <c r="G146" s="215">
        <v>0.6</v>
      </c>
      <c r="H146" s="457">
        <f>H145*G146</f>
        <v>82.499989134785608</v>
      </c>
      <c r="I146" s="457"/>
      <c r="J146" s="457"/>
      <c r="K146" s="457"/>
      <c r="L146" s="457"/>
      <c r="M146" s="457">
        <f>M145*G146</f>
        <v>82.499989134785608</v>
      </c>
      <c r="N146" s="457"/>
      <c r="O146" s="457"/>
      <c r="P146" s="457"/>
      <c r="Q146" s="457"/>
      <c r="R146" s="458">
        <f>R141</f>
        <v>72</v>
      </c>
      <c r="S146" s="459"/>
      <c r="T146" s="459"/>
      <c r="U146" s="460"/>
      <c r="V146" s="461">
        <f>V141</f>
        <v>12</v>
      </c>
      <c r="W146" s="459"/>
      <c r="X146" s="459"/>
      <c r="Y146" s="460"/>
      <c r="Z146" s="461">
        <f>Z141</f>
        <v>2</v>
      </c>
      <c r="AA146" s="459"/>
      <c r="AB146" s="459"/>
      <c r="AC146" s="460"/>
      <c r="AD146" s="462" t="s">
        <v>17</v>
      </c>
      <c r="AE146" s="462"/>
      <c r="AF146" s="462"/>
      <c r="AG146" s="462"/>
      <c r="AH146" s="462"/>
      <c r="AI146" s="462"/>
      <c r="AJ146" s="462" t="s">
        <v>17</v>
      </c>
      <c r="AK146" s="462"/>
      <c r="AL146" s="462"/>
      <c r="AM146" s="462"/>
      <c r="AN146" s="462"/>
      <c r="AO146" s="462"/>
      <c r="AP146" s="462"/>
      <c r="AQ146" s="466">
        <f>AQ145*G146</f>
        <v>659.99991307828486</v>
      </c>
      <c r="AR146" s="466"/>
      <c r="AS146" s="466"/>
      <c r="AT146" s="466"/>
      <c r="AU146" s="466">
        <f>AU145*G146</f>
        <v>164.99997826957122</v>
      </c>
      <c r="AV146" s="466"/>
      <c r="AW146" s="466"/>
      <c r="AX146" s="466"/>
      <c r="AY146" s="466">
        <f>AY145*G146</f>
        <v>5939.9992177045633</v>
      </c>
      <c r="AZ146" s="466"/>
      <c r="BA146" s="466"/>
      <c r="BB146" s="467"/>
    </row>
    <row r="147" spans="1:183" ht="30.75" customHeight="1" thickBot="1" x14ac:dyDescent="0.25">
      <c r="A147" s="468" t="s">
        <v>81</v>
      </c>
      <c r="B147" s="469"/>
      <c r="C147" s="469"/>
      <c r="D147" s="469"/>
      <c r="E147" s="469"/>
      <c r="F147" s="469"/>
      <c r="G147" s="470"/>
      <c r="H147" s="464">
        <f>H145+H146</f>
        <v>219.99997102609495</v>
      </c>
      <c r="I147" s="464"/>
      <c r="J147" s="464"/>
      <c r="K147" s="464"/>
      <c r="L147" s="464"/>
      <c r="M147" s="471">
        <f>M145+M146</f>
        <v>219.99997102609495</v>
      </c>
      <c r="N147" s="472"/>
      <c r="O147" s="472"/>
      <c r="P147" s="472"/>
      <c r="Q147" s="473"/>
      <c r="R147" s="471">
        <f>R141</f>
        <v>72</v>
      </c>
      <c r="S147" s="472"/>
      <c r="T147" s="472"/>
      <c r="U147" s="473"/>
      <c r="V147" s="474">
        <f>V141</f>
        <v>12</v>
      </c>
      <c r="W147" s="475"/>
      <c r="X147" s="475"/>
      <c r="Y147" s="476"/>
      <c r="Z147" s="474">
        <f>Z141</f>
        <v>2</v>
      </c>
      <c r="AA147" s="475"/>
      <c r="AB147" s="475"/>
      <c r="AC147" s="476"/>
      <c r="AD147" s="463" t="s">
        <v>17</v>
      </c>
      <c r="AE147" s="463"/>
      <c r="AF147" s="463"/>
      <c r="AG147" s="463"/>
      <c r="AH147" s="463"/>
      <c r="AI147" s="463"/>
      <c r="AJ147" s="463" t="s">
        <v>17</v>
      </c>
      <c r="AK147" s="463"/>
      <c r="AL147" s="463"/>
      <c r="AM147" s="463"/>
      <c r="AN147" s="463"/>
      <c r="AO147" s="463"/>
      <c r="AP147" s="463"/>
      <c r="AQ147" s="464">
        <f>AQ145+AQ146</f>
        <v>1759.9997682087596</v>
      </c>
      <c r="AR147" s="464"/>
      <c r="AS147" s="464"/>
      <c r="AT147" s="464"/>
      <c r="AU147" s="464">
        <f>AU145+AU146</f>
        <v>439.99994205218991</v>
      </c>
      <c r="AV147" s="464"/>
      <c r="AW147" s="464"/>
      <c r="AX147" s="464"/>
      <c r="AY147" s="876">
        <f>AY145+AY146</f>
        <v>15839.997913878837</v>
      </c>
      <c r="AZ147" s="876"/>
      <c r="BA147" s="876"/>
      <c r="BB147" s="877"/>
      <c r="BE147" s="216"/>
      <c r="BF147" s="216"/>
    </row>
    <row r="148" spans="1:183" ht="16.5" customHeight="1" x14ac:dyDescent="0.2">
      <c r="BC148" s="432"/>
      <c r="BD148" s="432"/>
      <c r="BE148" s="216"/>
      <c r="BF148" s="216"/>
      <c r="BG148" s="216"/>
      <c r="BH148" s="216"/>
      <c r="BI148" s="216"/>
    </row>
    <row r="149" spans="1:183" ht="12" customHeight="1" x14ac:dyDescent="0.2">
      <c r="BC149" s="432"/>
      <c r="BD149" s="432"/>
      <c r="BE149" s="216"/>
      <c r="BF149" s="216"/>
    </row>
    <row r="150" spans="1:183" ht="14.25" customHeight="1" x14ac:dyDescent="0.25">
      <c r="B150" s="452" t="s">
        <v>421</v>
      </c>
      <c r="C150" s="452"/>
      <c r="D150" s="452"/>
      <c r="E150" s="452"/>
      <c r="F150" s="452"/>
      <c r="G150" s="452"/>
      <c r="H150" s="452"/>
      <c r="I150" s="452"/>
      <c r="J150" s="452"/>
      <c r="K150" s="452"/>
      <c r="L150" s="452"/>
      <c r="M150" s="452"/>
      <c r="N150" s="452"/>
      <c r="O150" s="452"/>
      <c r="P150" s="452"/>
      <c r="Q150" s="452"/>
      <c r="R150" s="452"/>
      <c r="S150" s="452"/>
      <c r="U150" s="164"/>
      <c r="V150" s="164"/>
      <c r="W150" s="164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M150" s="822" t="s">
        <v>515</v>
      </c>
      <c r="AN150" s="443"/>
      <c r="AO150" s="443"/>
      <c r="AP150" s="443"/>
      <c r="AQ150" s="443"/>
      <c r="AR150" s="443"/>
      <c r="AS150" s="443"/>
      <c r="AT150" s="443"/>
      <c r="AU150" s="443"/>
      <c r="AV150" s="443"/>
      <c r="AW150" s="443"/>
      <c r="AX150" s="443"/>
      <c r="AY150" s="443"/>
      <c r="AZ150" s="443"/>
      <c r="BA150" s="443"/>
      <c r="BB150" s="443"/>
      <c r="BC150" s="432"/>
      <c r="BD150" s="432"/>
      <c r="BE150" s="216"/>
      <c r="BF150" s="216"/>
    </row>
    <row r="151" spans="1:183" ht="8.25" customHeight="1" x14ac:dyDescent="0.25">
      <c r="B151" s="452" t="s">
        <v>78</v>
      </c>
      <c r="C151" s="452"/>
      <c r="D151" s="452"/>
      <c r="E151" s="452"/>
      <c r="F151" s="452"/>
      <c r="G151" s="452"/>
      <c r="H151" s="452"/>
      <c r="I151" s="452"/>
      <c r="J151" s="452"/>
      <c r="K151" s="452"/>
      <c r="L151" s="452"/>
      <c r="M151" s="452"/>
      <c r="N151" s="452"/>
      <c r="O151" s="452"/>
      <c r="P151" s="452"/>
      <c r="Q151" s="452"/>
      <c r="R151" s="452"/>
      <c r="S151" s="452"/>
      <c r="AM151" s="276"/>
      <c r="AN151" s="276"/>
      <c r="AO151" s="276"/>
      <c r="AP151" s="276"/>
      <c r="AQ151" s="276"/>
      <c r="AR151" s="276"/>
      <c r="AS151" s="276"/>
      <c r="AT151" s="276"/>
      <c r="AU151" s="276"/>
      <c r="AV151" s="276"/>
      <c r="AW151" s="276"/>
      <c r="AX151" s="276"/>
      <c r="AY151" s="276"/>
      <c r="AZ151" s="276"/>
      <c r="BA151" s="276"/>
      <c r="BB151" s="276"/>
      <c r="BC151" s="276"/>
    </row>
    <row r="152" spans="1:183" ht="19.5" customHeight="1" x14ac:dyDescent="0.25">
      <c r="B152" s="452"/>
      <c r="C152" s="452"/>
      <c r="D152" s="452"/>
      <c r="E152" s="452"/>
      <c r="F152" s="452"/>
      <c r="G152" s="452"/>
      <c r="H152" s="452"/>
      <c r="I152" s="452"/>
      <c r="J152" s="452"/>
      <c r="K152" s="452"/>
      <c r="L152" s="452"/>
      <c r="M152" s="452"/>
      <c r="N152" s="452"/>
      <c r="O152" s="452"/>
      <c r="P152" s="452"/>
      <c r="Q152" s="452"/>
      <c r="R152" s="452"/>
      <c r="S152" s="452"/>
      <c r="U152" s="164"/>
      <c r="V152" s="164"/>
      <c r="W152" s="164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M152" s="822" t="s">
        <v>418</v>
      </c>
      <c r="AN152" s="443"/>
      <c r="AO152" s="443"/>
      <c r="AP152" s="443"/>
      <c r="AQ152" s="443"/>
      <c r="AR152" s="443"/>
      <c r="AS152" s="443"/>
      <c r="AT152" s="443"/>
      <c r="AU152" s="443"/>
      <c r="AV152" s="443"/>
      <c r="AW152" s="443"/>
      <c r="AX152" s="443"/>
      <c r="AY152" s="443"/>
      <c r="AZ152" s="443"/>
      <c r="BA152" s="443"/>
      <c r="BB152" s="443"/>
      <c r="BC152" s="276"/>
      <c r="BG152" s="216"/>
    </row>
    <row r="153" spans="1:183" ht="15.75" customHeight="1" x14ac:dyDescent="0.2"/>
    <row r="154" spans="1:183" ht="13.5" customHeight="1" x14ac:dyDescent="0.2">
      <c r="A154" s="219" t="s">
        <v>125</v>
      </c>
      <c r="B154" s="219"/>
      <c r="C154" s="219"/>
      <c r="D154" s="219"/>
      <c r="BG154" s="216"/>
    </row>
    <row r="155" spans="1:183" ht="16.5" hidden="1" customHeight="1" x14ac:dyDescent="0.2">
      <c r="A155" s="221"/>
      <c r="B155" s="221"/>
      <c r="C155" s="221"/>
      <c r="D155" s="221"/>
      <c r="E155" s="221"/>
      <c r="F155" s="221"/>
      <c r="G155" s="221">
        <v>200</v>
      </c>
      <c r="H155" s="221"/>
      <c r="I155" s="221"/>
      <c r="J155" s="221"/>
      <c r="K155" s="221"/>
      <c r="L155" s="221"/>
      <c r="M155" s="221"/>
      <c r="N155" s="221"/>
      <c r="BB155" s="432" t="s">
        <v>333</v>
      </c>
      <c r="BC155" s="432"/>
      <c r="BD155" s="432"/>
      <c r="BE155" s="432"/>
      <c r="BF155" s="432"/>
      <c r="BG155" s="432"/>
      <c r="BH155" s="432"/>
      <c r="BI155" s="432"/>
      <c r="BJ155" s="432"/>
      <c r="BK155" s="432"/>
      <c r="BL155" s="432"/>
      <c r="BM155" s="432"/>
      <c r="BN155" s="432"/>
      <c r="BO155" s="432"/>
      <c r="BP155" s="432"/>
      <c r="BQ155" s="432"/>
      <c r="BR155" s="432"/>
      <c r="BS155" s="432"/>
      <c r="BT155" s="432"/>
      <c r="BU155" s="432"/>
      <c r="BV155" s="432"/>
      <c r="BW155" s="432"/>
      <c r="BX155" s="432"/>
      <c r="CB155" s="432" t="s">
        <v>143</v>
      </c>
      <c r="CC155" s="432"/>
      <c r="CD155" s="432"/>
      <c r="CE155" s="432"/>
      <c r="CF155" s="432"/>
      <c r="CG155" s="432"/>
      <c r="CH155" s="432"/>
      <c r="CI155" s="432"/>
      <c r="CJ155" s="432"/>
      <c r="CK155" s="432"/>
      <c r="CL155" s="432"/>
      <c r="CM155" s="432"/>
      <c r="CN155" s="432"/>
      <c r="CO155" s="432"/>
      <c r="CP155" s="432"/>
      <c r="CQ155" s="432"/>
      <c r="CR155" s="432"/>
      <c r="CS155" s="432"/>
      <c r="CT155" s="432"/>
      <c r="CU155" s="432"/>
      <c r="CV155" s="432"/>
      <c r="CW155" s="432"/>
      <c r="CX155" s="432"/>
      <c r="DD155" s="432" t="s">
        <v>153</v>
      </c>
      <c r="DE155" s="432"/>
      <c r="DF155" s="432"/>
      <c r="DG155" s="432"/>
      <c r="DH155" s="432"/>
      <c r="DI155" s="432"/>
      <c r="DJ155" s="432"/>
      <c r="DK155" s="432"/>
      <c r="DL155" s="432"/>
      <c r="DM155" s="432"/>
      <c r="DN155" s="432"/>
      <c r="DO155" s="432"/>
      <c r="DP155" s="432"/>
      <c r="DQ155" s="432"/>
      <c r="DR155" s="432"/>
      <c r="DS155" s="432"/>
      <c r="DT155" s="432"/>
      <c r="DU155" s="432"/>
      <c r="DV155" s="432"/>
      <c r="DW155" s="432"/>
      <c r="DX155" s="432"/>
      <c r="DY155" s="432"/>
      <c r="DZ155" s="432"/>
      <c r="ED155" s="432" t="s">
        <v>155</v>
      </c>
      <c r="EE155" s="432"/>
      <c r="EF155" s="432"/>
      <c r="EG155" s="432"/>
      <c r="EH155" s="432"/>
      <c r="EI155" s="432"/>
      <c r="EJ155" s="432"/>
      <c r="EK155" s="432"/>
      <c r="EL155" s="432"/>
      <c r="EM155" s="432"/>
      <c r="EN155" s="432"/>
      <c r="EO155" s="432"/>
      <c r="EP155" s="432"/>
      <c r="EQ155" s="432"/>
      <c r="ER155" s="432"/>
      <c r="ES155" s="432"/>
      <c r="ET155" s="432"/>
      <c r="EU155" s="432"/>
      <c r="EV155" s="432"/>
      <c r="EW155" s="432"/>
      <c r="EX155" s="432"/>
      <c r="EY155" s="432"/>
      <c r="EZ155" s="432"/>
      <c r="FE155" s="432" t="s">
        <v>131</v>
      </c>
      <c r="FF155" s="432"/>
      <c r="FG155" s="432"/>
      <c r="FH155" s="432"/>
      <c r="FI155" s="432"/>
      <c r="FJ155" s="432"/>
      <c r="FK155" s="432"/>
      <c r="FL155" s="432"/>
      <c r="FM155" s="432"/>
      <c r="FN155" s="432"/>
      <c r="FO155" s="432"/>
      <c r="FP155" s="432"/>
      <c r="FQ155" s="432"/>
      <c r="FR155" s="432"/>
      <c r="FS155" s="432"/>
      <c r="FT155" s="432"/>
      <c r="FU155" s="432"/>
      <c r="FV155" s="432"/>
      <c r="FW155" s="432"/>
      <c r="FX155" s="432"/>
      <c r="FY155" s="432"/>
      <c r="FZ155" s="432"/>
      <c r="GA155" s="432"/>
    </row>
    <row r="156" spans="1:183" ht="15" hidden="1" x14ac:dyDescent="0.25">
      <c r="A156" s="222"/>
      <c r="B156" s="222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22"/>
      <c r="AD156" s="222"/>
      <c r="AE156" s="222"/>
      <c r="AF156" s="222"/>
      <c r="AG156" s="222"/>
      <c r="AH156" s="222"/>
      <c r="AI156" s="222"/>
      <c r="AJ156" s="222"/>
      <c r="AK156" s="222"/>
      <c r="AL156" s="222"/>
      <c r="AM156" s="222"/>
      <c r="AN156" s="222"/>
      <c r="AO156" s="222"/>
      <c r="AP156" s="222"/>
      <c r="AQ156" s="222"/>
      <c r="AR156" s="222"/>
      <c r="AS156" s="222"/>
      <c r="BB156" s="432" t="s">
        <v>126</v>
      </c>
      <c r="BC156" s="432"/>
      <c r="BD156" s="432"/>
      <c r="BE156" s="433">
        <f>200*28</f>
        <v>5600</v>
      </c>
      <c r="BF156" s="433"/>
      <c r="BG156" s="433"/>
      <c r="BH156" s="433"/>
      <c r="BI156" s="433"/>
      <c r="BJ156" s="220" t="s">
        <v>127</v>
      </c>
      <c r="BK156" s="220"/>
      <c r="BL156" s="220"/>
      <c r="BM156" s="220"/>
      <c r="BN156" s="220"/>
      <c r="BO156" s="220"/>
      <c r="BP156" s="220"/>
      <c r="BQ156" s="220"/>
      <c r="CB156" s="432" t="s">
        <v>126</v>
      </c>
      <c r="CC156" s="432"/>
      <c r="CD156" s="432"/>
      <c r="CE156" s="433">
        <f>150*69</f>
        <v>10350</v>
      </c>
      <c r="CF156" s="433"/>
      <c r="CG156" s="433"/>
      <c r="CH156" s="433"/>
      <c r="CI156" s="433"/>
      <c r="CJ156" s="220" t="s">
        <v>127</v>
      </c>
      <c r="CK156" s="220"/>
      <c r="CL156" s="220"/>
      <c r="CM156" s="220"/>
      <c r="CN156" s="220"/>
      <c r="CO156" s="220"/>
      <c r="CP156" s="220"/>
      <c r="CQ156" s="220"/>
      <c r="DD156" s="432" t="s">
        <v>126</v>
      </c>
      <c r="DE156" s="432"/>
      <c r="DF156" s="432"/>
      <c r="DG156" s="433">
        <f>150*55</f>
        <v>8250</v>
      </c>
      <c r="DH156" s="433"/>
      <c r="DI156" s="433"/>
      <c r="DJ156" s="433"/>
      <c r="DK156" s="433"/>
      <c r="DL156" s="220" t="s">
        <v>127</v>
      </c>
      <c r="DM156" s="220"/>
      <c r="DN156" s="220"/>
      <c r="DO156" s="220"/>
      <c r="DP156" s="220"/>
      <c r="DQ156" s="220"/>
      <c r="DR156" s="220"/>
      <c r="DS156" s="220"/>
      <c r="ED156" s="432" t="s">
        <v>126</v>
      </c>
      <c r="EE156" s="432"/>
      <c r="EF156" s="432"/>
      <c r="EG156" s="433">
        <f>150*37</f>
        <v>5550</v>
      </c>
      <c r="EH156" s="433"/>
      <c r="EI156" s="433"/>
      <c r="EJ156" s="433"/>
      <c r="EK156" s="433"/>
      <c r="EL156" s="220" t="s">
        <v>127</v>
      </c>
      <c r="EM156" s="220"/>
      <c r="EN156" s="220"/>
      <c r="EO156" s="220"/>
      <c r="EP156" s="220"/>
      <c r="EQ156" s="220"/>
      <c r="ER156" s="220"/>
      <c r="ES156" s="220"/>
      <c r="FE156" s="432" t="s">
        <v>126</v>
      </c>
      <c r="FF156" s="432"/>
      <c r="FG156" s="432"/>
      <c r="FH156" s="433">
        <f>100*37</f>
        <v>3700</v>
      </c>
      <c r="FI156" s="433"/>
      <c r="FJ156" s="433"/>
      <c r="FK156" s="433"/>
      <c r="FL156" s="433"/>
      <c r="FM156" s="220" t="s">
        <v>127</v>
      </c>
      <c r="FN156" s="220"/>
      <c r="FO156" s="220"/>
      <c r="FP156" s="220"/>
      <c r="FQ156" s="220"/>
      <c r="FR156" s="220"/>
      <c r="FS156" s="220"/>
      <c r="FT156" s="220"/>
    </row>
    <row r="157" spans="1:183" ht="12" hidden="1" x14ac:dyDescent="0.2">
      <c r="BB157" s="434">
        <v>0.6</v>
      </c>
      <c r="BC157" s="432"/>
      <c r="BD157" s="432"/>
      <c r="BE157" s="216">
        <f>BE156*BB157</f>
        <v>3360</v>
      </c>
      <c r="BF157" s="432" t="s">
        <v>128</v>
      </c>
      <c r="BG157" s="432"/>
      <c r="BH157" s="432"/>
      <c r="BI157" s="432"/>
      <c r="BJ157" s="432"/>
      <c r="BK157" s="432" t="s">
        <v>129</v>
      </c>
      <c r="BL157" s="432"/>
      <c r="BM157" s="432"/>
      <c r="BN157" s="432"/>
      <c r="BO157" s="432"/>
      <c r="BP157" s="432"/>
      <c r="BQ157" s="432"/>
      <c r="CB157" s="434">
        <v>0.6</v>
      </c>
      <c r="CC157" s="432"/>
      <c r="CD157" s="432"/>
      <c r="CE157" s="216">
        <f>CE156*CB157</f>
        <v>6210</v>
      </c>
      <c r="CF157" s="432" t="s">
        <v>128</v>
      </c>
      <c r="CG157" s="432"/>
      <c r="CH157" s="432"/>
      <c r="CI157" s="432"/>
      <c r="CJ157" s="432"/>
      <c r="CK157" s="432" t="s">
        <v>129</v>
      </c>
      <c r="CL157" s="432"/>
      <c r="CM157" s="432"/>
      <c r="CN157" s="432"/>
      <c r="CO157" s="432"/>
      <c r="CP157" s="432"/>
      <c r="CQ157" s="432"/>
      <c r="DD157" s="434">
        <v>0.6</v>
      </c>
      <c r="DE157" s="432"/>
      <c r="DF157" s="432"/>
      <c r="DG157" s="216">
        <f>DG156*DD157</f>
        <v>4950</v>
      </c>
      <c r="DH157" s="432" t="s">
        <v>128</v>
      </c>
      <c r="DI157" s="432"/>
      <c r="DJ157" s="432"/>
      <c r="DK157" s="432"/>
      <c r="DL157" s="432"/>
      <c r="DM157" s="432" t="s">
        <v>129</v>
      </c>
      <c r="DN157" s="432"/>
      <c r="DO157" s="432"/>
      <c r="DP157" s="432"/>
      <c r="DQ157" s="432"/>
      <c r="DR157" s="432"/>
      <c r="DS157" s="432"/>
      <c r="ED157" s="434">
        <v>0.6</v>
      </c>
      <c r="EE157" s="432"/>
      <c r="EF157" s="432"/>
      <c r="EG157" s="216">
        <f>EG156*ED157</f>
        <v>3330</v>
      </c>
      <c r="EH157" s="432" t="s">
        <v>128</v>
      </c>
      <c r="EI157" s="432"/>
      <c r="EJ157" s="432"/>
      <c r="EK157" s="432"/>
      <c r="EL157" s="432"/>
      <c r="EM157" s="432" t="s">
        <v>129</v>
      </c>
      <c r="EN157" s="432"/>
      <c r="EO157" s="432"/>
      <c r="EP157" s="432"/>
      <c r="EQ157" s="432"/>
      <c r="ER157" s="432"/>
      <c r="ES157" s="432"/>
      <c r="FE157" s="434">
        <v>0.6</v>
      </c>
      <c r="FF157" s="432"/>
      <c r="FG157" s="432"/>
      <c r="FH157" s="216">
        <f>FH156*FE157</f>
        <v>2220</v>
      </c>
      <c r="FI157" s="432" t="s">
        <v>128</v>
      </c>
      <c r="FJ157" s="432"/>
      <c r="FK157" s="432"/>
      <c r="FL157" s="432"/>
      <c r="FM157" s="432"/>
      <c r="FN157" s="432" t="s">
        <v>129</v>
      </c>
      <c r="FO157" s="432"/>
      <c r="FP157" s="432"/>
      <c r="FQ157" s="432"/>
      <c r="FR157" s="432"/>
      <c r="FS157" s="432"/>
      <c r="FT157" s="432"/>
    </row>
    <row r="158" spans="1:183" ht="12" hidden="1" x14ac:dyDescent="0.2">
      <c r="BB158" s="432">
        <v>211</v>
      </c>
      <c r="BC158" s="432"/>
      <c r="BD158" s="432"/>
      <c r="BE158" s="216">
        <f>BE157-BE159</f>
        <v>2580.6451612903224</v>
      </c>
      <c r="BF158" s="435">
        <f>BE158*0.2</f>
        <v>516.12903225806451</v>
      </c>
      <c r="BG158" s="435"/>
      <c r="BH158" s="435"/>
      <c r="BI158" s="435"/>
      <c r="BJ158" s="435"/>
      <c r="BK158" s="436">
        <f>BE158-BF158</f>
        <v>2064.516129032258</v>
      </c>
      <c r="BL158" s="445"/>
      <c r="BM158" s="445"/>
      <c r="BN158" s="445"/>
      <c r="BO158" s="445"/>
      <c r="BP158" s="445"/>
      <c r="BQ158" s="445"/>
      <c r="CB158" s="432">
        <v>211</v>
      </c>
      <c r="CC158" s="432"/>
      <c r="CD158" s="432"/>
      <c r="CE158" s="216">
        <f>CE157-CE159</f>
        <v>4769.5852534562209</v>
      </c>
      <c r="CF158" s="435">
        <f>CE158*0.1</f>
        <v>476.95852534562209</v>
      </c>
      <c r="CG158" s="435"/>
      <c r="CH158" s="435"/>
      <c r="CI158" s="435"/>
      <c r="CJ158" s="435"/>
      <c r="CK158" s="435">
        <f>CE158-CF158</f>
        <v>4292.6267281105993</v>
      </c>
      <c r="CL158" s="432"/>
      <c r="CM158" s="432"/>
      <c r="CN158" s="432"/>
      <c r="CO158" s="432"/>
      <c r="CP158" s="432"/>
      <c r="CQ158" s="432"/>
      <c r="DD158" s="432">
        <v>211</v>
      </c>
      <c r="DE158" s="432"/>
      <c r="DF158" s="432"/>
      <c r="DG158" s="216">
        <f>DG157-DG159</f>
        <v>3801.8433179723502</v>
      </c>
      <c r="DH158" s="435">
        <f>DG158*0.1</f>
        <v>380.18433179723502</v>
      </c>
      <c r="DI158" s="435"/>
      <c r="DJ158" s="435"/>
      <c r="DK158" s="435"/>
      <c r="DL158" s="435"/>
      <c r="DM158" s="435">
        <f>DG158-DH158</f>
        <v>3421.6589861751154</v>
      </c>
      <c r="DN158" s="432"/>
      <c r="DO158" s="432"/>
      <c r="DP158" s="432"/>
      <c r="DQ158" s="432"/>
      <c r="DR158" s="432"/>
      <c r="DS158" s="432"/>
      <c r="ED158" s="432">
        <v>211</v>
      </c>
      <c r="EE158" s="432"/>
      <c r="EF158" s="432"/>
      <c r="EG158" s="216">
        <f>EG157-EG159</f>
        <v>2557.6036866359445</v>
      </c>
      <c r="EH158" s="435">
        <f>EG158*0.1</f>
        <v>255.76036866359448</v>
      </c>
      <c r="EI158" s="435"/>
      <c r="EJ158" s="435"/>
      <c r="EK158" s="435"/>
      <c r="EL158" s="435"/>
      <c r="EM158" s="435">
        <f>EG158-EH158</f>
        <v>2301.8433179723502</v>
      </c>
      <c r="EN158" s="432"/>
      <c r="EO158" s="432"/>
      <c r="EP158" s="432"/>
      <c r="EQ158" s="432"/>
      <c r="ER158" s="432"/>
      <c r="ES158" s="432"/>
      <c r="FE158" s="432">
        <v>211</v>
      </c>
      <c r="FF158" s="432"/>
      <c r="FG158" s="432"/>
      <c r="FH158" s="216">
        <f>FH157-FH159</f>
        <v>1705.0691244239631</v>
      </c>
      <c r="FI158" s="435">
        <f>FH158*0.1</f>
        <v>170.50691244239633</v>
      </c>
      <c r="FJ158" s="435"/>
      <c r="FK158" s="435"/>
      <c r="FL158" s="435"/>
      <c r="FM158" s="435"/>
      <c r="FN158" s="435">
        <f>FH158-FI158</f>
        <v>1534.5622119815669</v>
      </c>
      <c r="FO158" s="432"/>
      <c r="FP158" s="432"/>
      <c r="FQ158" s="432"/>
      <c r="FR158" s="432"/>
      <c r="FS158" s="432"/>
      <c r="FT158" s="432"/>
    </row>
    <row r="159" spans="1:183" ht="12" hidden="1" x14ac:dyDescent="0.2">
      <c r="BB159" s="432">
        <v>213</v>
      </c>
      <c r="BC159" s="432"/>
      <c r="BD159" s="432"/>
      <c r="BE159" s="216">
        <f>BE157*30.2/130.2</f>
        <v>779.35483870967744</v>
      </c>
      <c r="BF159" s="435">
        <f>BF158*30.2%</f>
        <v>155.87096774193549</v>
      </c>
      <c r="BG159" s="435"/>
      <c r="BH159" s="435"/>
      <c r="BI159" s="435"/>
      <c r="BJ159" s="435"/>
      <c r="BK159" s="435">
        <f>BK158*30.2%</f>
        <v>623.48387096774195</v>
      </c>
      <c r="BL159" s="435"/>
      <c r="BM159" s="435"/>
      <c r="BN159" s="435"/>
      <c r="BO159" s="435"/>
      <c r="BP159" s="435"/>
      <c r="BQ159" s="435"/>
      <c r="CB159" s="432">
        <v>213</v>
      </c>
      <c r="CC159" s="432"/>
      <c r="CD159" s="432"/>
      <c r="CE159" s="216">
        <f>CE157*30.2/130.2</f>
        <v>1440.4147465437788</v>
      </c>
      <c r="CF159" s="435">
        <f>CF158*30.2%</f>
        <v>144.04147465437788</v>
      </c>
      <c r="CG159" s="435"/>
      <c r="CH159" s="435"/>
      <c r="CI159" s="435"/>
      <c r="CJ159" s="435"/>
      <c r="CK159" s="435">
        <f>CK158*30.2%</f>
        <v>1296.3732718894009</v>
      </c>
      <c r="CL159" s="435"/>
      <c r="CM159" s="435"/>
      <c r="CN159" s="435"/>
      <c r="CO159" s="435"/>
      <c r="CP159" s="435"/>
      <c r="CQ159" s="435"/>
      <c r="DD159" s="432">
        <v>213</v>
      </c>
      <c r="DE159" s="432"/>
      <c r="DF159" s="432"/>
      <c r="DG159" s="216">
        <f>DG157*30.2/130.2</f>
        <v>1148.1566820276498</v>
      </c>
      <c r="DH159" s="435">
        <f>DH158*30.2%</f>
        <v>114.81566820276497</v>
      </c>
      <c r="DI159" s="435"/>
      <c r="DJ159" s="435"/>
      <c r="DK159" s="435"/>
      <c r="DL159" s="435"/>
      <c r="DM159" s="435">
        <f>DM158*30.2%</f>
        <v>1033.3410138248848</v>
      </c>
      <c r="DN159" s="435"/>
      <c r="DO159" s="435"/>
      <c r="DP159" s="435"/>
      <c r="DQ159" s="435"/>
      <c r="DR159" s="435"/>
      <c r="DS159" s="435"/>
      <c r="ED159" s="432">
        <v>213</v>
      </c>
      <c r="EE159" s="432"/>
      <c r="EF159" s="432"/>
      <c r="EG159" s="216">
        <f>EG157*30.2/130.2</f>
        <v>772.39631336405535</v>
      </c>
      <c r="EH159" s="435">
        <f>EH158*30.2%</f>
        <v>77.239631336405523</v>
      </c>
      <c r="EI159" s="435"/>
      <c r="EJ159" s="435"/>
      <c r="EK159" s="435"/>
      <c r="EL159" s="435"/>
      <c r="EM159" s="435">
        <f>EM158*30.2%</f>
        <v>695.15668202764971</v>
      </c>
      <c r="EN159" s="435"/>
      <c r="EO159" s="435"/>
      <c r="EP159" s="435"/>
      <c r="EQ159" s="435"/>
      <c r="ER159" s="435"/>
      <c r="ES159" s="435"/>
      <c r="FE159" s="432">
        <v>213</v>
      </c>
      <c r="FF159" s="432"/>
      <c r="FG159" s="432"/>
      <c r="FH159" s="216">
        <f>FH157*30.2/130.2</f>
        <v>514.9308755760369</v>
      </c>
      <c r="FI159" s="435">
        <f>FI158*30.2%</f>
        <v>51.493087557603687</v>
      </c>
      <c r="FJ159" s="435"/>
      <c r="FK159" s="435"/>
      <c r="FL159" s="435"/>
      <c r="FM159" s="435"/>
      <c r="FN159" s="435">
        <f>FN158*30.2%</f>
        <v>463.4377880184332</v>
      </c>
      <c r="FO159" s="435"/>
      <c r="FP159" s="435"/>
      <c r="FQ159" s="435"/>
      <c r="FR159" s="435"/>
      <c r="FS159" s="435"/>
      <c r="FT159" s="435"/>
    </row>
    <row r="160" spans="1:183" ht="8.25" hidden="1" customHeight="1" x14ac:dyDescent="0.2">
      <c r="Z160" s="223"/>
      <c r="AA160" s="223"/>
      <c r="AB160" s="223"/>
      <c r="AC160" s="223"/>
      <c r="AD160" s="223"/>
      <c r="AE160" s="223"/>
      <c r="AF160" s="223"/>
      <c r="AG160" s="223"/>
    </row>
    <row r="161" spans="54:202" ht="8.25" hidden="1" customHeight="1" x14ac:dyDescent="0.2"/>
    <row r="162" spans="54:202" ht="8.25" hidden="1" customHeight="1" x14ac:dyDescent="0.2"/>
    <row r="163" spans="54:202" ht="18" hidden="1" customHeight="1" x14ac:dyDescent="0.2">
      <c r="BB163" s="432" t="s">
        <v>351</v>
      </c>
      <c r="BC163" s="432"/>
      <c r="BD163" s="432"/>
      <c r="BE163" s="432"/>
      <c r="BF163" s="432"/>
      <c r="BG163" s="432"/>
      <c r="BH163" s="432"/>
      <c r="BI163" s="432"/>
      <c r="BJ163" s="432"/>
      <c r="BK163" s="432"/>
      <c r="BL163" s="432"/>
      <c r="BM163" s="432"/>
      <c r="BN163" s="432"/>
      <c r="BO163" s="432"/>
      <c r="BP163" s="432"/>
      <c r="BQ163" s="432"/>
      <c r="BR163" s="432"/>
      <c r="BS163" s="432"/>
      <c r="BT163" s="432"/>
      <c r="BU163" s="432"/>
      <c r="BV163" s="432"/>
      <c r="BW163" s="432"/>
      <c r="BX163" s="432"/>
      <c r="CB163" s="432" t="s">
        <v>144</v>
      </c>
      <c r="CC163" s="432"/>
      <c r="CD163" s="432"/>
      <c r="CE163" s="432"/>
      <c r="CF163" s="432"/>
      <c r="CG163" s="432"/>
      <c r="CH163" s="432"/>
      <c r="CI163" s="432"/>
      <c r="CJ163" s="432"/>
      <c r="CK163" s="432"/>
      <c r="CL163" s="432"/>
      <c r="CM163" s="432"/>
      <c r="CN163" s="432"/>
      <c r="CO163" s="432"/>
      <c r="CP163" s="432"/>
      <c r="CQ163" s="432"/>
      <c r="CR163" s="432"/>
      <c r="CS163" s="432"/>
      <c r="CT163" s="432"/>
      <c r="CU163" s="432"/>
      <c r="CV163" s="432"/>
      <c r="CW163" s="432"/>
      <c r="CX163" s="432"/>
      <c r="DD163" s="432" t="s">
        <v>154</v>
      </c>
      <c r="DE163" s="432"/>
      <c r="DF163" s="432"/>
      <c r="DG163" s="432"/>
      <c r="DH163" s="432"/>
      <c r="DI163" s="432"/>
      <c r="DJ163" s="432"/>
      <c r="DK163" s="432"/>
      <c r="DL163" s="432"/>
      <c r="DM163" s="432"/>
      <c r="DN163" s="432"/>
      <c r="DO163" s="432"/>
      <c r="DP163" s="432"/>
      <c r="DQ163" s="432"/>
      <c r="DR163" s="432"/>
      <c r="DS163" s="432"/>
      <c r="DT163" s="432"/>
      <c r="DU163" s="432"/>
      <c r="DV163" s="432"/>
      <c r="DW163" s="432"/>
      <c r="DX163" s="432"/>
      <c r="DY163" s="432"/>
      <c r="DZ163" s="432"/>
      <c r="ED163" s="432" t="s">
        <v>157</v>
      </c>
      <c r="EE163" s="432"/>
      <c r="EF163" s="432"/>
      <c r="EG163" s="432"/>
      <c r="EH163" s="432"/>
      <c r="EI163" s="432"/>
      <c r="EJ163" s="432"/>
      <c r="EK163" s="432"/>
      <c r="EL163" s="432"/>
      <c r="EM163" s="432"/>
      <c r="EN163" s="432"/>
      <c r="EO163" s="432"/>
      <c r="EP163" s="432"/>
      <c r="EQ163" s="432"/>
      <c r="ER163" s="432"/>
      <c r="ES163" s="432"/>
      <c r="ET163" s="432"/>
      <c r="EU163" s="432"/>
      <c r="EV163" s="432"/>
      <c r="EW163" s="432"/>
      <c r="EX163" s="432"/>
      <c r="EY163" s="432"/>
      <c r="EZ163" s="432"/>
      <c r="FE163" s="432" t="s">
        <v>132</v>
      </c>
      <c r="FF163" s="432"/>
      <c r="FG163" s="432"/>
      <c r="FH163" s="432"/>
      <c r="FI163" s="432"/>
      <c r="FJ163" s="432"/>
      <c r="FK163" s="432"/>
      <c r="FL163" s="432"/>
      <c r="FM163" s="432"/>
      <c r="FN163" s="432"/>
      <c r="FO163" s="432"/>
      <c r="FP163" s="432"/>
      <c r="FQ163" s="432"/>
      <c r="FR163" s="432"/>
      <c r="FS163" s="432"/>
      <c r="FT163" s="432"/>
      <c r="FU163" s="432"/>
      <c r="FV163" s="432"/>
      <c r="FW163" s="432"/>
      <c r="FX163" s="432"/>
      <c r="FY163" s="432"/>
      <c r="FZ163" s="432"/>
      <c r="GA163" s="432"/>
    </row>
    <row r="164" spans="54:202" ht="12" hidden="1" x14ac:dyDescent="0.2">
      <c r="BB164" s="432" t="s">
        <v>126</v>
      </c>
      <c r="BC164" s="432"/>
      <c r="BD164" s="432"/>
      <c r="BE164" s="433">
        <f>200*36</f>
        <v>7200</v>
      </c>
      <c r="BF164" s="433"/>
      <c r="BG164" s="433"/>
      <c r="BH164" s="433"/>
      <c r="BI164" s="433"/>
      <c r="BJ164" s="228" t="s">
        <v>127</v>
      </c>
      <c r="BK164" s="228"/>
      <c r="BL164" s="228"/>
      <c r="BM164" s="228"/>
      <c r="BN164" s="228"/>
      <c r="BO164" s="228"/>
      <c r="BP164" s="228"/>
      <c r="BQ164" s="228"/>
      <c r="CB164" s="432" t="s">
        <v>126</v>
      </c>
      <c r="CC164" s="432"/>
      <c r="CD164" s="432"/>
      <c r="CE164" s="433">
        <f>150*70</f>
        <v>10500</v>
      </c>
      <c r="CF164" s="433"/>
      <c r="CG164" s="433"/>
      <c r="CH164" s="433"/>
      <c r="CI164" s="433"/>
      <c r="CJ164" s="220" t="s">
        <v>127</v>
      </c>
      <c r="CK164" s="220"/>
      <c r="CL164" s="220"/>
      <c r="CM164" s="220"/>
      <c r="CN164" s="220"/>
      <c r="CO164" s="220"/>
      <c r="CP164" s="220"/>
      <c r="CQ164" s="220"/>
      <c r="DD164" s="432" t="s">
        <v>126</v>
      </c>
      <c r="DE164" s="432"/>
      <c r="DF164" s="432"/>
      <c r="DG164" s="433">
        <f>150*48</f>
        <v>7200</v>
      </c>
      <c r="DH164" s="433"/>
      <c r="DI164" s="433"/>
      <c r="DJ164" s="433"/>
      <c r="DK164" s="433"/>
      <c r="DL164" s="220" t="s">
        <v>127</v>
      </c>
      <c r="DM164" s="220"/>
      <c r="DN164" s="220"/>
      <c r="DO164" s="220"/>
      <c r="DP164" s="220"/>
      <c r="DQ164" s="220"/>
      <c r="DR164" s="220"/>
      <c r="DS164" s="220"/>
      <c r="ED164" s="432" t="s">
        <v>126</v>
      </c>
      <c r="EE164" s="432"/>
      <c r="EF164" s="432"/>
      <c r="EG164" s="433">
        <f>150*46</f>
        <v>6900</v>
      </c>
      <c r="EH164" s="433"/>
      <c r="EI164" s="433"/>
      <c r="EJ164" s="433"/>
      <c r="EK164" s="433"/>
      <c r="EL164" s="220" t="s">
        <v>127</v>
      </c>
      <c r="EM164" s="220"/>
      <c r="EN164" s="220"/>
      <c r="EO164" s="220"/>
      <c r="EP164" s="220"/>
      <c r="EQ164" s="220"/>
      <c r="ER164" s="220"/>
      <c r="ES164" s="220"/>
      <c r="FE164" s="432" t="s">
        <v>126</v>
      </c>
      <c r="FF164" s="432"/>
      <c r="FG164" s="432"/>
      <c r="FH164" s="433">
        <f>100*111</f>
        <v>11100</v>
      </c>
      <c r="FI164" s="433"/>
      <c r="FJ164" s="433"/>
      <c r="FK164" s="433"/>
      <c r="FL164" s="433"/>
      <c r="FM164" s="220" t="s">
        <v>127</v>
      </c>
      <c r="FN164" s="220"/>
      <c r="FO164" s="220"/>
      <c r="FP164" s="220"/>
      <c r="FQ164" s="220"/>
      <c r="FR164" s="220"/>
      <c r="FS164" s="220"/>
      <c r="FT164" s="220"/>
    </row>
    <row r="165" spans="54:202" ht="12" hidden="1" x14ac:dyDescent="0.2">
      <c r="BB165" s="434">
        <v>0.6</v>
      </c>
      <c r="BC165" s="432"/>
      <c r="BD165" s="432"/>
      <c r="BE165" s="216">
        <f>BE164*BB165</f>
        <v>4320</v>
      </c>
      <c r="BF165" s="432" t="s">
        <v>128</v>
      </c>
      <c r="BG165" s="432"/>
      <c r="BH165" s="432"/>
      <c r="BI165" s="432"/>
      <c r="BJ165" s="432"/>
      <c r="BK165" s="432" t="s">
        <v>129</v>
      </c>
      <c r="BL165" s="432"/>
      <c r="BM165" s="432"/>
      <c r="BN165" s="432"/>
      <c r="BO165" s="432"/>
      <c r="BP165" s="432"/>
      <c r="BQ165" s="432"/>
      <c r="CB165" s="434">
        <v>0.6</v>
      </c>
      <c r="CC165" s="432"/>
      <c r="CD165" s="432"/>
      <c r="CE165" s="216">
        <f>CE164*CB165</f>
        <v>6300</v>
      </c>
      <c r="CF165" s="432" t="s">
        <v>128</v>
      </c>
      <c r="CG165" s="432"/>
      <c r="CH165" s="432"/>
      <c r="CI165" s="432"/>
      <c r="CJ165" s="432"/>
      <c r="CK165" s="432" t="s">
        <v>129</v>
      </c>
      <c r="CL165" s="432"/>
      <c r="CM165" s="432"/>
      <c r="CN165" s="432"/>
      <c r="CO165" s="432"/>
      <c r="CP165" s="432"/>
      <c r="CQ165" s="432"/>
      <c r="DD165" s="434">
        <v>0.6</v>
      </c>
      <c r="DE165" s="432"/>
      <c r="DF165" s="432"/>
      <c r="DG165" s="216">
        <f>DG164*DD165</f>
        <v>4320</v>
      </c>
      <c r="DH165" s="432" t="s">
        <v>128</v>
      </c>
      <c r="DI165" s="432"/>
      <c r="DJ165" s="432"/>
      <c r="DK165" s="432"/>
      <c r="DL165" s="432"/>
      <c r="DM165" s="432" t="s">
        <v>129</v>
      </c>
      <c r="DN165" s="432"/>
      <c r="DO165" s="432"/>
      <c r="DP165" s="432"/>
      <c r="DQ165" s="432"/>
      <c r="DR165" s="432"/>
      <c r="DS165" s="432"/>
      <c r="ED165" s="434">
        <v>0.6</v>
      </c>
      <c r="EE165" s="432"/>
      <c r="EF165" s="432"/>
      <c r="EG165" s="216">
        <f>EG164*ED165</f>
        <v>4140</v>
      </c>
      <c r="EH165" s="432" t="s">
        <v>128</v>
      </c>
      <c r="EI165" s="432"/>
      <c r="EJ165" s="432"/>
      <c r="EK165" s="432"/>
      <c r="EL165" s="432"/>
      <c r="EM165" s="432" t="s">
        <v>129</v>
      </c>
      <c r="EN165" s="432"/>
      <c r="EO165" s="432"/>
      <c r="EP165" s="432"/>
      <c r="EQ165" s="432"/>
      <c r="ER165" s="432"/>
      <c r="ES165" s="432"/>
      <c r="FE165" s="434">
        <v>0.6</v>
      </c>
      <c r="FF165" s="432"/>
      <c r="FG165" s="432"/>
      <c r="FH165" s="216">
        <f>FH164*FE165</f>
        <v>6660</v>
      </c>
      <c r="FI165" s="432" t="s">
        <v>128</v>
      </c>
      <c r="FJ165" s="432"/>
      <c r="FK165" s="432"/>
      <c r="FL165" s="432"/>
      <c r="FM165" s="432"/>
      <c r="FN165" s="432" t="s">
        <v>129</v>
      </c>
      <c r="FO165" s="432"/>
      <c r="FP165" s="432"/>
      <c r="FQ165" s="432"/>
      <c r="FR165" s="432"/>
      <c r="FS165" s="432"/>
      <c r="FT165" s="432"/>
    </row>
    <row r="166" spans="54:202" ht="12" hidden="1" x14ac:dyDescent="0.2">
      <c r="BB166" s="432">
        <v>211</v>
      </c>
      <c r="BC166" s="432"/>
      <c r="BD166" s="432"/>
      <c r="BE166" s="216">
        <f>BE165-BE167</f>
        <v>3317.9723502304146</v>
      </c>
      <c r="BF166" s="435">
        <f>BE166*0.2</f>
        <v>663.59447004608296</v>
      </c>
      <c r="BG166" s="435"/>
      <c r="BH166" s="435"/>
      <c r="BI166" s="435"/>
      <c r="BJ166" s="435"/>
      <c r="BK166" s="436">
        <f>BE166-BF166</f>
        <v>2654.3778801843318</v>
      </c>
      <c r="BL166" s="445"/>
      <c r="BM166" s="445"/>
      <c r="BN166" s="445"/>
      <c r="BO166" s="445"/>
      <c r="BP166" s="445"/>
      <c r="BQ166" s="445"/>
      <c r="CB166" s="432">
        <v>211</v>
      </c>
      <c r="CC166" s="432"/>
      <c r="CD166" s="432"/>
      <c r="CE166" s="216">
        <f>CE165-CE167</f>
        <v>4838.7096774193542</v>
      </c>
      <c r="CF166" s="435">
        <f>CE166*0.1</f>
        <v>483.87096774193543</v>
      </c>
      <c r="CG166" s="435"/>
      <c r="CH166" s="435"/>
      <c r="CI166" s="435"/>
      <c r="CJ166" s="435"/>
      <c r="CK166" s="435">
        <f>CE166-CF166</f>
        <v>4354.8387096774186</v>
      </c>
      <c r="CL166" s="432"/>
      <c r="CM166" s="432"/>
      <c r="CN166" s="432"/>
      <c r="CO166" s="432"/>
      <c r="CP166" s="432"/>
      <c r="CQ166" s="432"/>
      <c r="DD166" s="432">
        <v>211</v>
      </c>
      <c r="DE166" s="432"/>
      <c r="DF166" s="432"/>
      <c r="DG166" s="216">
        <f>DG165-DG167</f>
        <v>3317.9723502304146</v>
      </c>
      <c r="DH166" s="435">
        <f>DG166*0.1</f>
        <v>331.79723502304148</v>
      </c>
      <c r="DI166" s="435"/>
      <c r="DJ166" s="435"/>
      <c r="DK166" s="435"/>
      <c r="DL166" s="435"/>
      <c r="DM166" s="435">
        <f>DG166-DH166</f>
        <v>2986.175115207373</v>
      </c>
      <c r="DN166" s="432"/>
      <c r="DO166" s="432"/>
      <c r="DP166" s="432"/>
      <c r="DQ166" s="432"/>
      <c r="DR166" s="432"/>
      <c r="DS166" s="432"/>
      <c r="ED166" s="432">
        <v>211</v>
      </c>
      <c r="EE166" s="432"/>
      <c r="EF166" s="432"/>
      <c r="EG166" s="216">
        <f>EG165-EG167</f>
        <v>3179.7235023041476</v>
      </c>
      <c r="EH166" s="435">
        <f>EG166*0.1</f>
        <v>317.9723502304148</v>
      </c>
      <c r="EI166" s="435"/>
      <c r="EJ166" s="435"/>
      <c r="EK166" s="435"/>
      <c r="EL166" s="435"/>
      <c r="EM166" s="435">
        <f>EG166-EH166</f>
        <v>2861.7511520737326</v>
      </c>
      <c r="EN166" s="432"/>
      <c r="EO166" s="432"/>
      <c r="EP166" s="432"/>
      <c r="EQ166" s="432"/>
      <c r="ER166" s="432"/>
      <c r="ES166" s="432"/>
      <c r="FE166" s="432">
        <v>211</v>
      </c>
      <c r="FF166" s="432"/>
      <c r="FG166" s="432"/>
      <c r="FH166" s="216">
        <f>FH165-FH167</f>
        <v>5115.2073732718891</v>
      </c>
      <c r="FI166" s="435">
        <f>FH166*0.1</f>
        <v>511.52073732718895</v>
      </c>
      <c r="FJ166" s="435"/>
      <c r="FK166" s="435"/>
      <c r="FL166" s="435"/>
      <c r="FM166" s="435"/>
      <c r="FN166" s="435">
        <f>FH166-FI166</f>
        <v>4603.6866359447004</v>
      </c>
      <c r="FO166" s="432"/>
      <c r="FP166" s="432"/>
      <c r="FQ166" s="432"/>
      <c r="FR166" s="432"/>
      <c r="FS166" s="432"/>
      <c r="FT166" s="432"/>
    </row>
    <row r="167" spans="54:202" ht="12" hidden="1" x14ac:dyDescent="0.2">
      <c r="BB167" s="432">
        <v>213</v>
      </c>
      <c r="BC167" s="432"/>
      <c r="BD167" s="432"/>
      <c r="BE167" s="216">
        <f>BE165*30.2/130.2</f>
        <v>1002.0276497695853</v>
      </c>
      <c r="BF167" s="435">
        <f>BF166*30.2%</f>
        <v>200.40552995391704</v>
      </c>
      <c r="BG167" s="435"/>
      <c r="BH167" s="435"/>
      <c r="BI167" s="435"/>
      <c r="BJ167" s="435"/>
      <c r="BK167" s="435">
        <f>BK166*30.2%</f>
        <v>801.62211981566816</v>
      </c>
      <c r="BL167" s="435"/>
      <c r="BM167" s="435"/>
      <c r="BN167" s="435"/>
      <c r="BO167" s="435"/>
      <c r="BP167" s="435"/>
      <c r="BQ167" s="435"/>
      <c r="CB167" s="432">
        <v>213</v>
      </c>
      <c r="CC167" s="432"/>
      <c r="CD167" s="432"/>
      <c r="CE167" s="216">
        <f>CE165*30.2/130.2</f>
        <v>1461.2903225806454</v>
      </c>
      <c r="CF167" s="435">
        <f>CF166*30.2%</f>
        <v>146.12903225806448</v>
      </c>
      <c r="CG167" s="435"/>
      <c r="CH167" s="435"/>
      <c r="CI167" s="435"/>
      <c r="CJ167" s="435"/>
      <c r="CK167" s="435">
        <f>CK166*30.2%</f>
        <v>1315.1612903225803</v>
      </c>
      <c r="CL167" s="435"/>
      <c r="CM167" s="435"/>
      <c r="CN167" s="435"/>
      <c r="CO167" s="435"/>
      <c r="CP167" s="435"/>
      <c r="CQ167" s="435"/>
      <c r="DD167" s="432">
        <v>213</v>
      </c>
      <c r="DE167" s="432"/>
      <c r="DF167" s="432"/>
      <c r="DG167" s="216">
        <f>DG165*30.2/130.2</f>
        <v>1002.0276497695853</v>
      </c>
      <c r="DH167" s="435">
        <f>DH166*30.2%</f>
        <v>100.20276497695852</v>
      </c>
      <c r="DI167" s="435"/>
      <c r="DJ167" s="435"/>
      <c r="DK167" s="435"/>
      <c r="DL167" s="435"/>
      <c r="DM167" s="435">
        <f>DM166*30.2%</f>
        <v>901.82488479262656</v>
      </c>
      <c r="DN167" s="435"/>
      <c r="DO167" s="435"/>
      <c r="DP167" s="435"/>
      <c r="DQ167" s="435"/>
      <c r="DR167" s="435"/>
      <c r="DS167" s="435"/>
      <c r="ED167" s="432">
        <v>213</v>
      </c>
      <c r="EE167" s="432"/>
      <c r="EF167" s="432"/>
      <c r="EG167" s="216">
        <f>EG165*30.2/130.2</f>
        <v>960.27649769585264</v>
      </c>
      <c r="EH167" s="435">
        <f>EH166*30.2%</f>
        <v>96.027649769585267</v>
      </c>
      <c r="EI167" s="435"/>
      <c r="EJ167" s="435"/>
      <c r="EK167" s="435"/>
      <c r="EL167" s="435"/>
      <c r="EM167" s="435">
        <f>EM166*30.2%</f>
        <v>864.24884792626722</v>
      </c>
      <c r="EN167" s="435"/>
      <c r="EO167" s="435"/>
      <c r="EP167" s="435"/>
      <c r="EQ167" s="435"/>
      <c r="ER167" s="435"/>
      <c r="ES167" s="435"/>
      <c r="FE167" s="432">
        <v>213</v>
      </c>
      <c r="FF167" s="432"/>
      <c r="FG167" s="432"/>
      <c r="FH167" s="216">
        <f>FH165*30.2/130.2</f>
        <v>1544.7926267281107</v>
      </c>
      <c r="FI167" s="435">
        <f>FI166*30.2%</f>
        <v>154.47926267281105</v>
      </c>
      <c r="FJ167" s="435"/>
      <c r="FK167" s="435"/>
      <c r="FL167" s="435"/>
      <c r="FM167" s="435"/>
      <c r="FN167" s="435">
        <f>FN166*30.2%</f>
        <v>1390.3133640552994</v>
      </c>
      <c r="FO167" s="435"/>
      <c r="FP167" s="435"/>
      <c r="FQ167" s="435"/>
      <c r="FR167" s="435"/>
      <c r="FS167" s="435"/>
      <c r="FT167" s="435"/>
    </row>
    <row r="168" spans="54:202" ht="16.5" hidden="1" customHeight="1" x14ac:dyDescent="0.2">
      <c r="BB168" s="432"/>
      <c r="BC168" s="432"/>
      <c r="BD168" s="432"/>
      <c r="BE168" s="432"/>
      <c r="BF168" s="432"/>
      <c r="BG168" s="432"/>
      <c r="BH168" s="432"/>
      <c r="BI168" s="432"/>
      <c r="BJ168" s="432"/>
      <c r="BK168" s="432"/>
      <c r="BL168" s="432"/>
      <c r="BM168" s="432"/>
      <c r="BN168" s="432"/>
      <c r="BO168" s="432"/>
      <c r="BP168" s="432"/>
      <c r="BQ168" s="432"/>
      <c r="BR168" s="432"/>
      <c r="BS168" s="432"/>
      <c r="BT168" s="432"/>
      <c r="BU168" s="432"/>
      <c r="BV168" s="432"/>
      <c r="BW168" s="432"/>
      <c r="BX168" s="432"/>
      <c r="DD168" s="432" t="s">
        <v>166</v>
      </c>
      <c r="DE168" s="432"/>
      <c r="DF168" s="432"/>
      <c r="DG168" s="432"/>
      <c r="DH168" s="432"/>
      <c r="DI168" s="432"/>
      <c r="DJ168" s="432"/>
      <c r="DK168" s="432"/>
      <c r="DL168" s="432"/>
      <c r="DM168" s="432"/>
      <c r="DN168" s="432"/>
      <c r="DO168" s="432"/>
      <c r="DP168" s="432"/>
      <c r="DQ168" s="432"/>
      <c r="DR168" s="432"/>
      <c r="DS168" s="432"/>
      <c r="DT168" s="432"/>
      <c r="DU168" s="432"/>
      <c r="DV168" s="432"/>
      <c r="DW168" s="432"/>
      <c r="DX168" s="432"/>
      <c r="DY168" s="432"/>
      <c r="DZ168" s="432"/>
      <c r="ED168" s="432" t="s">
        <v>165</v>
      </c>
      <c r="EE168" s="432"/>
      <c r="EF168" s="432"/>
      <c r="EG168" s="432"/>
      <c r="EH168" s="432"/>
      <c r="EI168" s="432"/>
      <c r="EJ168" s="432"/>
      <c r="EK168" s="432"/>
      <c r="EL168" s="432"/>
      <c r="EM168" s="432"/>
      <c r="EN168" s="432"/>
      <c r="EO168" s="432"/>
      <c r="EP168" s="432"/>
      <c r="EQ168" s="432"/>
      <c r="ER168" s="432"/>
      <c r="ES168" s="432"/>
      <c r="ET168" s="432"/>
      <c r="EU168" s="432"/>
      <c r="EV168" s="432"/>
      <c r="EW168" s="432"/>
      <c r="EX168" s="432"/>
      <c r="EY168" s="432"/>
      <c r="EZ168" s="432"/>
    </row>
    <row r="169" spans="54:202" ht="16.5" hidden="1" customHeight="1" x14ac:dyDescent="0.2">
      <c r="BB169" s="432" t="s">
        <v>380</v>
      </c>
      <c r="BC169" s="432"/>
      <c r="BD169" s="432"/>
      <c r="BE169" s="432"/>
      <c r="BF169" s="432"/>
      <c r="BG169" s="432"/>
      <c r="BH169" s="432"/>
      <c r="BI169" s="432"/>
      <c r="BJ169" s="432"/>
      <c r="BK169" s="432"/>
      <c r="BL169" s="432"/>
      <c r="BM169" s="432"/>
      <c r="BN169" s="432"/>
      <c r="BO169" s="432"/>
      <c r="BP169" s="432"/>
      <c r="BQ169" s="432"/>
      <c r="BR169" s="432"/>
      <c r="BS169" s="432"/>
      <c r="BT169" s="432"/>
      <c r="BU169" s="432"/>
      <c r="BV169" s="432"/>
      <c r="BW169" s="432"/>
      <c r="BX169" s="432"/>
      <c r="DD169" s="432" t="s">
        <v>126</v>
      </c>
      <c r="DE169" s="432"/>
      <c r="DF169" s="432"/>
      <c r="DG169" s="433">
        <f>150*9</f>
        <v>1350</v>
      </c>
      <c r="DH169" s="433"/>
      <c r="DI169" s="433"/>
      <c r="DJ169" s="433"/>
      <c r="DK169" s="433"/>
      <c r="DL169" s="220" t="s">
        <v>127</v>
      </c>
      <c r="DM169" s="220"/>
      <c r="DN169" s="220"/>
      <c r="DO169" s="220"/>
      <c r="DP169" s="220"/>
      <c r="DQ169" s="220"/>
      <c r="DR169" s="220"/>
      <c r="DS169" s="220"/>
      <c r="ED169" s="432" t="s">
        <v>126</v>
      </c>
      <c r="EE169" s="432"/>
      <c r="EF169" s="432"/>
      <c r="EG169" s="433">
        <f>150*49</f>
        <v>7350</v>
      </c>
      <c r="EH169" s="433"/>
      <c r="EI169" s="433"/>
      <c r="EJ169" s="433"/>
      <c r="EK169" s="433"/>
      <c r="EL169" s="220" t="s">
        <v>127</v>
      </c>
      <c r="EM169" s="220"/>
      <c r="EN169" s="220"/>
      <c r="EO169" s="220"/>
      <c r="EP169" s="220"/>
      <c r="EQ169" s="220"/>
      <c r="ER169" s="220"/>
      <c r="ES169" s="220"/>
    </row>
    <row r="170" spans="54:202" ht="16.5" hidden="1" customHeight="1" x14ac:dyDescent="0.2">
      <c r="BB170" s="432" t="s">
        <v>126</v>
      </c>
      <c r="BC170" s="432"/>
      <c r="BD170" s="432"/>
      <c r="BE170" s="433">
        <f>200*36</f>
        <v>7200</v>
      </c>
      <c r="BF170" s="433"/>
      <c r="BG170" s="433"/>
      <c r="BH170" s="433"/>
      <c r="BI170" s="433"/>
      <c r="BJ170" s="240" t="s">
        <v>127</v>
      </c>
      <c r="BK170" s="240"/>
      <c r="BL170" s="240"/>
      <c r="BM170" s="240"/>
      <c r="BN170" s="240"/>
      <c r="BO170" s="240"/>
      <c r="BP170" s="240"/>
      <c r="BQ170" s="240"/>
      <c r="DD170" s="434">
        <v>0.6</v>
      </c>
      <c r="DE170" s="432"/>
      <c r="DF170" s="432"/>
      <c r="DG170" s="216">
        <f>DG169*DD170</f>
        <v>810</v>
      </c>
      <c r="DH170" s="432" t="s">
        <v>128</v>
      </c>
      <c r="DI170" s="432"/>
      <c r="DJ170" s="432"/>
      <c r="DK170" s="432"/>
      <c r="DL170" s="432"/>
      <c r="DM170" s="432" t="s">
        <v>129</v>
      </c>
      <c r="DN170" s="432"/>
      <c r="DO170" s="432"/>
      <c r="DP170" s="432"/>
      <c r="DQ170" s="432"/>
      <c r="DR170" s="432"/>
      <c r="DS170" s="432"/>
      <c r="ED170" s="434">
        <v>0.6</v>
      </c>
      <c r="EE170" s="432"/>
      <c r="EF170" s="432"/>
      <c r="EG170" s="216">
        <f>EG169*ED170</f>
        <v>4410</v>
      </c>
      <c r="EH170" s="432" t="s">
        <v>128</v>
      </c>
      <c r="EI170" s="432"/>
      <c r="EJ170" s="432"/>
      <c r="EK170" s="432"/>
      <c r="EL170" s="432"/>
      <c r="EM170" s="432" t="s">
        <v>129</v>
      </c>
      <c r="EN170" s="432"/>
      <c r="EO170" s="432"/>
      <c r="EP170" s="432"/>
      <c r="EQ170" s="432"/>
      <c r="ER170" s="432"/>
      <c r="ES170" s="432"/>
    </row>
    <row r="171" spans="54:202" ht="16.5" hidden="1" customHeight="1" x14ac:dyDescent="0.25">
      <c r="BB171" s="434">
        <v>0.6</v>
      </c>
      <c r="BC171" s="432"/>
      <c r="BD171" s="432"/>
      <c r="BE171" s="216">
        <f>BE170*BB171</f>
        <v>4320</v>
      </c>
      <c r="BF171" s="432" t="s">
        <v>128</v>
      </c>
      <c r="BG171" s="432"/>
      <c r="BH171" s="432"/>
      <c r="BI171" s="432"/>
      <c r="BJ171" s="432"/>
      <c r="BK171" s="432" t="s">
        <v>129</v>
      </c>
      <c r="BL171" s="432"/>
      <c r="BM171" s="432"/>
      <c r="BN171" s="432"/>
      <c r="BO171" s="432"/>
      <c r="BP171" s="432"/>
      <c r="BQ171" s="432"/>
      <c r="DD171" s="432">
        <v>211</v>
      </c>
      <c r="DE171" s="432"/>
      <c r="DF171" s="432"/>
      <c r="DG171" s="216">
        <f>DG170-DG172</f>
        <v>622.11981566820282</v>
      </c>
      <c r="DH171" s="435">
        <f>DG171*0.1</f>
        <v>62.211981566820285</v>
      </c>
      <c r="DI171" s="435"/>
      <c r="DJ171" s="435"/>
      <c r="DK171" s="435"/>
      <c r="DL171" s="435"/>
      <c r="DM171" s="435">
        <f>DG171-DH171</f>
        <v>559.90783410138249</v>
      </c>
      <c r="DN171" s="432"/>
      <c r="DO171" s="432"/>
      <c r="DP171" s="432"/>
      <c r="DQ171" s="432"/>
      <c r="DR171" s="432"/>
      <c r="DS171" s="432"/>
      <c r="ED171" s="432">
        <v>211</v>
      </c>
      <c r="EE171" s="432"/>
      <c r="EF171" s="432"/>
      <c r="EG171" s="216">
        <f>EG170-EG172</f>
        <v>3387.0967741935483</v>
      </c>
      <c r="EH171" s="435">
        <f>EG171*0.1</f>
        <v>338.70967741935488</v>
      </c>
      <c r="EI171" s="435"/>
      <c r="EJ171" s="435"/>
      <c r="EK171" s="435"/>
      <c r="EL171" s="435"/>
      <c r="EM171" s="435">
        <f>EG171-EH171</f>
        <v>3048.3870967741932</v>
      </c>
      <c r="EN171" s="432"/>
      <c r="EO171" s="432"/>
      <c r="EP171" s="432"/>
      <c r="EQ171" s="432"/>
      <c r="ER171" s="432"/>
      <c r="ES171" s="432"/>
      <c r="GI171" s="432" t="s">
        <v>368</v>
      </c>
      <c r="GJ171" s="443"/>
      <c r="GK171" s="443"/>
      <c r="GL171" s="443"/>
      <c r="GO171" s="444" t="s">
        <v>366</v>
      </c>
      <c r="GP171" s="441"/>
      <c r="GQ171" s="441"/>
      <c r="GR171" s="441"/>
      <c r="GS171" s="441"/>
      <c r="GT171" s="441"/>
    </row>
    <row r="172" spans="54:202" ht="16.5" hidden="1" customHeight="1" x14ac:dyDescent="0.25">
      <c r="BB172" s="432">
        <v>211</v>
      </c>
      <c r="BC172" s="432"/>
      <c r="BD172" s="432"/>
      <c r="BE172" s="216">
        <f>BE171-BE173</f>
        <v>3317.9723502304146</v>
      </c>
      <c r="BF172" s="435">
        <f>BE172*0.2</f>
        <v>663.59447004608296</v>
      </c>
      <c r="BG172" s="435"/>
      <c r="BH172" s="435"/>
      <c r="BI172" s="435"/>
      <c r="BJ172" s="435"/>
      <c r="BK172" s="436">
        <f>BE172-BF172</f>
        <v>2654.3778801843318</v>
      </c>
      <c r="BL172" s="445"/>
      <c r="BM172" s="445"/>
      <c r="BN172" s="445"/>
      <c r="BO172" s="445"/>
      <c r="BP172" s="445"/>
      <c r="BQ172" s="445"/>
      <c r="DD172" s="432">
        <v>213</v>
      </c>
      <c r="DE172" s="432"/>
      <c r="DF172" s="432"/>
      <c r="DG172" s="216">
        <f>DG170*30.2/130.2</f>
        <v>187.88018433179724</v>
      </c>
      <c r="DH172" s="435">
        <f>DH171*30.2%</f>
        <v>18.788018433179726</v>
      </c>
      <c r="DI172" s="435"/>
      <c r="DJ172" s="435"/>
      <c r="DK172" s="435"/>
      <c r="DL172" s="435"/>
      <c r="DM172" s="435">
        <f>DM171*30.2%</f>
        <v>169.09216589861751</v>
      </c>
      <c r="DN172" s="435"/>
      <c r="DO172" s="435"/>
      <c r="DP172" s="435"/>
      <c r="DQ172" s="435"/>
      <c r="DR172" s="435"/>
      <c r="DS172" s="435"/>
      <c r="ED172" s="432">
        <v>213</v>
      </c>
      <c r="EE172" s="432"/>
      <c r="EF172" s="432"/>
      <c r="EG172" s="216">
        <f>EG170*30.2/130.2</f>
        <v>1022.9032258064517</v>
      </c>
      <c r="EH172" s="435">
        <f>EH171*30.2%</f>
        <v>102.29032258064517</v>
      </c>
      <c r="EI172" s="435"/>
      <c r="EJ172" s="435"/>
      <c r="EK172" s="435"/>
      <c r="EL172" s="435"/>
      <c r="EM172" s="435">
        <f>EM171*30.2%</f>
        <v>920.61290322580635</v>
      </c>
      <c r="EN172" s="435"/>
      <c r="EO172" s="435"/>
      <c r="EP172" s="435"/>
      <c r="EQ172" s="435"/>
      <c r="ER172" s="435"/>
      <c r="ES172" s="435"/>
      <c r="GI172" s="437">
        <f>BF172*15/20</f>
        <v>497.69585253456228</v>
      </c>
      <c r="GJ172" s="446"/>
      <c r="GK172" s="446"/>
      <c r="GL172" s="446"/>
      <c r="GO172" s="437">
        <f>BF172*5/20</f>
        <v>165.89861751152074</v>
      </c>
      <c r="GP172" s="446"/>
      <c r="GQ172" s="446"/>
      <c r="GR172" s="446"/>
      <c r="GS172" s="446"/>
      <c r="GT172" s="446"/>
    </row>
    <row r="173" spans="54:202" ht="12" hidden="1" x14ac:dyDescent="0.2">
      <c r="BB173" s="432">
        <v>213</v>
      </c>
      <c r="BC173" s="432"/>
      <c r="BD173" s="432"/>
      <c r="BE173" s="216">
        <f>BE171*30.2/130.2</f>
        <v>1002.0276497695853</v>
      </c>
      <c r="BF173" s="435">
        <f>BF172*30.2%</f>
        <v>200.40552995391704</v>
      </c>
      <c r="BG173" s="435"/>
      <c r="BH173" s="435"/>
      <c r="BI173" s="435"/>
      <c r="BJ173" s="435"/>
      <c r="BK173" s="435">
        <f>BK172*30.2%</f>
        <v>801.62211981566816</v>
      </c>
      <c r="BL173" s="435"/>
      <c r="BM173" s="435"/>
      <c r="BN173" s="435"/>
      <c r="BO173" s="435"/>
      <c r="BP173" s="435"/>
      <c r="BQ173" s="435"/>
    </row>
    <row r="174" spans="54:202" ht="12" hidden="1" x14ac:dyDescent="0.2"/>
    <row r="175" spans="54:202" ht="8.25" hidden="1" customHeight="1" x14ac:dyDescent="0.2"/>
    <row r="176" spans="54:202" ht="15.75" hidden="1" customHeight="1" x14ac:dyDescent="0.2">
      <c r="BB176" s="432" t="s">
        <v>389</v>
      </c>
      <c r="BC176" s="432"/>
      <c r="BD176" s="432"/>
      <c r="BE176" s="432"/>
      <c r="BF176" s="432"/>
      <c r="BG176" s="432"/>
      <c r="BH176" s="432"/>
      <c r="BI176" s="432"/>
      <c r="BJ176" s="432"/>
      <c r="BK176" s="432"/>
      <c r="BL176" s="432"/>
      <c r="BM176" s="432"/>
      <c r="BN176" s="432"/>
      <c r="BO176" s="432"/>
      <c r="BP176" s="432"/>
      <c r="BQ176" s="432"/>
      <c r="BR176" s="432"/>
      <c r="BS176" s="432"/>
      <c r="BT176" s="432"/>
      <c r="BU176" s="432"/>
      <c r="BV176" s="432"/>
      <c r="BW176" s="432"/>
      <c r="BX176" s="432"/>
      <c r="DD176" s="432" t="s">
        <v>126</v>
      </c>
      <c r="DE176" s="432"/>
      <c r="DF176" s="432"/>
      <c r="DG176" s="433">
        <f>150*9</f>
        <v>1350</v>
      </c>
      <c r="DH176" s="433"/>
      <c r="DI176" s="433"/>
      <c r="DJ176" s="433"/>
      <c r="DK176" s="433"/>
      <c r="DL176" s="244" t="s">
        <v>127</v>
      </c>
      <c r="DM176" s="244"/>
      <c r="DN176" s="244"/>
      <c r="DO176" s="244"/>
      <c r="DP176" s="244"/>
      <c r="DQ176" s="244"/>
      <c r="DR176" s="244"/>
      <c r="DS176" s="244"/>
      <c r="ED176" s="432" t="s">
        <v>126</v>
      </c>
      <c r="EE176" s="432"/>
      <c r="EF176" s="432"/>
      <c r="EG176" s="433">
        <f>150*49</f>
        <v>7350</v>
      </c>
      <c r="EH176" s="433"/>
      <c r="EI176" s="433"/>
      <c r="EJ176" s="433"/>
      <c r="EK176" s="433"/>
      <c r="EL176" s="244" t="s">
        <v>127</v>
      </c>
      <c r="EM176" s="244"/>
      <c r="EN176" s="244"/>
      <c r="EO176" s="244"/>
      <c r="EP176" s="244"/>
      <c r="EQ176" s="244"/>
      <c r="ER176" s="244"/>
      <c r="ES176" s="244"/>
    </row>
    <row r="177" spans="54:202" ht="17.25" hidden="1" customHeight="1" x14ac:dyDescent="0.2">
      <c r="BB177" s="432" t="s">
        <v>126</v>
      </c>
      <c r="BC177" s="432"/>
      <c r="BD177" s="432"/>
      <c r="BE177" s="433">
        <f>200*51</f>
        <v>10200</v>
      </c>
      <c r="BF177" s="433"/>
      <c r="BG177" s="433"/>
      <c r="BH177" s="433"/>
      <c r="BI177" s="433"/>
      <c r="BJ177" s="244" t="s">
        <v>127</v>
      </c>
      <c r="BK177" s="244"/>
      <c r="BL177" s="244"/>
      <c r="BM177" s="244"/>
      <c r="BN177" s="244"/>
      <c r="BO177" s="244"/>
      <c r="BP177" s="244"/>
      <c r="BQ177" s="244"/>
      <c r="DD177" s="434">
        <v>0.6</v>
      </c>
      <c r="DE177" s="432"/>
      <c r="DF177" s="432"/>
      <c r="DG177" s="216">
        <f>DG176*DD177</f>
        <v>810</v>
      </c>
      <c r="DH177" s="432" t="s">
        <v>128</v>
      </c>
      <c r="DI177" s="432"/>
      <c r="DJ177" s="432"/>
      <c r="DK177" s="432"/>
      <c r="DL177" s="432"/>
      <c r="DM177" s="432" t="s">
        <v>129</v>
      </c>
      <c r="DN177" s="432"/>
      <c r="DO177" s="432"/>
      <c r="DP177" s="432"/>
      <c r="DQ177" s="432"/>
      <c r="DR177" s="432"/>
      <c r="DS177" s="432"/>
      <c r="ED177" s="434">
        <v>0.6</v>
      </c>
      <c r="EE177" s="432"/>
      <c r="EF177" s="432"/>
      <c r="EG177" s="216">
        <f>EG176*ED177</f>
        <v>4410</v>
      </c>
      <c r="EH177" s="432" t="s">
        <v>128</v>
      </c>
      <c r="EI177" s="432"/>
      <c r="EJ177" s="432"/>
      <c r="EK177" s="432"/>
      <c r="EL177" s="432"/>
      <c r="EM177" s="432" t="s">
        <v>129</v>
      </c>
      <c r="EN177" s="432"/>
      <c r="EO177" s="432"/>
      <c r="EP177" s="432"/>
      <c r="EQ177" s="432"/>
      <c r="ER177" s="432"/>
      <c r="ES177" s="432"/>
    </row>
    <row r="178" spans="54:202" ht="16.5" hidden="1" customHeight="1" x14ac:dyDescent="0.25">
      <c r="BB178" s="434">
        <v>0.6</v>
      </c>
      <c r="BC178" s="432"/>
      <c r="BD178" s="432"/>
      <c r="BE178" s="216">
        <f>BE177*BB178</f>
        <v>6120</v>
      </c>
      <c r="BF178" s="432" t="s">
        <v>128</v>
      </c>
      <c r="BG178" s="432"/>
      <c r="BH178" s="432"/>
      <c r="BI178" s="432"/>
      <c r="BJ178" s="432"/>
      <c r="BK178" s="432" t="s">
        <v>129</v>
      </c>
      <c r="BL178" s="432"/>
      <c r="BM178" s="432"/>
      <c r="BN178" s="432"/>
      <c r="BO178" s="432"/>
      <c r="BP178" s="432"/>
      <c r="BQ178" s="432"/>
      <c r="DD178" s="432">
        <v>211</v>
      </c>
      <c r="DE178" s="432"/>
      <c r="DF178" s="432"/>
      <c r="DG178" s="216">
        <f>DG177-DG179</f>
        <v>622.11981566820282</v>
      </c>
      <c r="DH178" s="435">
        <f>DG178*0.1</f>
        <v>62.211981566820285</v>
      </c>
      <c r="DI178" s="435"/>
      <c r="DJ178" s="435"/>
      <c r="DK178" s="435"/>
      <c r="DL178" s="435"/>
      <c r="DM178" s="435">
        <f>DG178-DH178</f>
        <v>559.90783410138249</v>
      </c>
      <c r="DN178" s="432"/>
      <c r="DO178" s="432"/>
      <c r="DP178" s="432"/>
      <c r="DQ178" s="432"/>
      <c r="DR178" s="432"/>
      <c r="DS178" s="432"/>
      <c r="ED178" s="432">
        <v>211</v>
      </c>
      <c r="EE178" s="432"/>
      <c r="EF178" s="432"/>
      <c r="EG178" s="216">
        <f>EG177-EG179</f>
        <v>3387.0967741935483</v>
      </c>
      <c r="EH178" s="435">
        <f>EG178*0.1</f>
        <v>338.70967741935488</v>
      </c>
      <c r="EI178" s="435"/>
      <c r="EJ178" s="435"/>
      <c r="EK178" s="435"/>
      <c r="EL178" s="435"/>
      <c r="EM178" s="435">
        <f>EG178-EH178</f>
        <v>3048.3870967741932</v>
      </c>
      <c r="EN178" s="432"/>
      <c r="EO178" s="432"/>
      <c r="EP178" s="432"/>
      <c r="EQ178" s="432"/>
      <c r="ER178" s="432"/>
      <c r="ES178" s="432"/>
      <c r="GI178" s="432" t="s">
        <v>368</v>
      </c>
      <c r="GJ178" s="443"/>
      <c r="GK178" s="443"/>
      <c r="GL178" s="443"/>
      <c r="GO178" s="444" t="s">
        <v>366</v>
      </c>
      <c r="GP178" s="441"/>
      <c r="GQ178" s="441"/>
      <c r="GR178" s="441"/>
      <c r="GS178" s="441"/>
      <c r="GT178" s="441"/>
    </row>
    <row r="179" spans="54:202" ht="15" hidden="1" customHeight="1" x14ac:dyDescent="0.25">
      <c r="BB179" s="432">
        <v>211</v>
      </c>
      <c r="BC179" s="432"/>
      <c r="BD179" s="432"/>
      <c r="BE179" s="216">
        <f>BE178-BE180</f>
        <v>4700.4608294930877</v>
      </c>
      <c r="BF179" s="435">
        <f>BE179*0.2</f>
        <v>940.09216589861762</v>
      </c>
      <c r="BG179" s="435"/>
      <c r="BH179" s="435"/>
      <c r="BI179" s="435"/>
      <c r="BJ179" s="435"/>
      <c r="BK179" s="436">
        <f>BE179-BF179</f>
        <v>3760.36866359447</v>
      </c>
      <c r="BL179" s="445"/>
      <c r="BM179" s="445"/>
      <c r="BN179" s="445"/>
      <c r="BO179" s="445"/>
      <c r="BP179" s="445"/>
      <c r="BQ179" s="445"/>
      <c r="DD179" s="432">
        <v>213</v>
      </c>
      <c r="DE179" s="432"/>
      <c r="DF179" s="432"/>
      <c r="DG179" s="216">
        <f>DG177*30.2/130.2</f>
        <v>187.88018433179724</v>
      </c>
      <c r="DH179" s="435">
        <f>DH178*30.2%</f>
        <v>18.788018433179726</v>
      </c>
      <c r="DI179" s="435"/>
      <c r="DJ179" s="435"/>
      <c r="DK179" s="435"/>
      <c r="DL179" s="435"/>
      <c r="DM179" s="435">
        <f>DM178*30.2%</f>
        <v>169.09216589861751</v>
      </c>
      <c r="DN179" s="435"/>
      <c r="DO179" s="435"/>
      <c r="DP179" s="435"/>
      <c r="DQ179" s="435"/>
      <c r="DR179" s="435"/>
      <c r="DS179" s="435"/>
      <c r="ED179" s="432">
        <v>213</v>
      </c>
      <c r="EE179" s="432"/>
      <c r="EF179" s="432"/>
      <c r="EG179" s="216">
        <f>EG177*30.2/130.2</f>
        <v>1022.9032258064517</v>
      </c>
      <c r="EH179" s="435">
        <f>EH178*30.2%</f>
        <v>102.29032258064517</v>
      </c>
      <c r="EI179" s="435"/>
      <c r="EJ179" s="435"/>
      <c r="EK179" s="435"/>
      <c r="EL179" s="435"/>
      <c r="EM179" s="435">
        <f>EM178*30.2%</f>
        <v>920.61290322580635</v>
      </c>
      <c r="EN179" s="435"/>
      <c r="EO179" s="435"/>
      <c r="EP179" s="435"/>
      <c r="EQ179" s="435"/>
      <c r="ER179" s="435"/>
      <c r="ES179" s="435"/>
      <c r="GI179" s="437">
        <f>BF179*15/20</f>
        <v>705.06912442396322</v>
      </c>
      <c r="GJ179" s="446"/>
      <c r="GK179" s="446"/>
      <c r="GL179" s="446"/>
      <c r="GO179" s="437">
        <f>BF179*5/20</f>
        <v>235.02304147465438</v>
      </c>
      <c r="GP179" s="446"/>
      <c r="GQ179" s="446"/>
      <c r="GR179" s="446"/>
      <c r="GS179" s="446"/>
      <c r="GT179" s="446"/>
    </row>
    <row r="180" spans="54:202" ht="18.75" hidden="1" customHeight="1" x14ac:dyDescent="0.2">
      <c r="BB180" s="432">
        <v>213</v>
      </c>
      <c r="BC180" s="432"/>
      <c r="BD180" s="432"/>
      <c r="BE180" s="216">
        <f>BE178*30.2/130.2</f>
        <v>1419.5391705069126</v>
      </c>
      <c r="BF180" s="435">
        <f>BF179*30.2%</f>
        <v>283.90783410138249</v>
      </c>
      <c r="BG180" s="435"/>
      <c r="BH180" s="435"/>
      <c r="BI180" s="435"/>
      <c r="BJ180" s="435"/>
      <c r="BK180" s="435">
        <f>BK179*30.2%</f>
        <v>1135.63133640553</v>
      </c>
      <c r="BL180" s="435"/>
      <c r="BM180" s="435"/>
      <c r="BN180" s="435"/>
      <c r="BO180" s="435"/>
      <c r="BP180" s="435"/>
      <c r="BQ180" s="435"/>
    </row>
    <row r="181" spans="54:202" ht="8.25" hidden="1" customHeight="1" x14ac:dyDescent="0.2"/>
    <row r="182" spans="54:202" ht="8.25" hidden="1" customHeight="1" x14ac:dyDescent="0.2"/>
    <row r="183" spans="54:202" ht="8.25" hidden="1" customHeight="1" x14ac:dyDescent="0.2"/>
    <row r="184" spans="54:202" ht="19.5" hidden="1" customHeight="1" x14ac:dyDescent="0.2">
      <c r="BB184" s="432" t="s">
        <v>399</v>
      </c>
      <c r="BC184" s="432"/>
      <c r="BD184" s="432"/>
      <c r="BE184" s="432"/>
      <c r="BF184" s="432"/>
      <c r="BG184" s="432"/>
      <c r="BH184" s="432"/>
      <c r="BI184" s="432"/>
      <c r="BJ184" s="432"/>
      <c r="BK184" s="432"/>
      <c r="BL184" s="432"/>
      <c r="BM184" s="432"/>
      <c r="BN184" s="432"/>
      <c r="BO184" s="432"/>
      <c r="BP184" s="432"/>
      <c r="BQ184" s="432"/>
      <c r="BR184" s="432"/>
      <c r="BS184" s="432"/>
      <c r="BT184" s="432"/>
      <c r="BU184" s="432"/>
      <c r="BV184" s="432"/>
      <c r="BW184" s="432"/>
      <c r="BX184" s="432"/>
      <c r="DD184" s="432" t="s">
        <v>126</v>
      </c>
      <c r="DE184" s="432"/>
      <c r="DF184" s="432"/>
      <c r="DG184" s="433">
        <f>150*9</f>
        <v>1350</v>
      </c>
      <c r="DH184" s="433"/>
      <c r="DI184" s="433"/>
      <c r="DJ184" s="433"/>
      <c r="DK184" s="433"/>
      <c r="DL184" s="247" t="s">
        <v>127</v>
      </c>
      <c r="DM184" s="247"/>
      <c r="DN184" s="247"/>
      <c r="DO184" s="247"/>
      <c r="DP184" s="247"/>
      <c r="DQ184" s="247"/>
      <c r="DR184" s="247"/>
      <c r="DS184" s="247"/>
      <c r="ED184" s="432" t="s">
        <v>126</v>
      </c>
      <c r="EE184" s="432"/>
      <c r="EF184" s="432"/>
      <c r="EG184" s="433">
        <f>150*49</f>
        <v>7350</v>
      </c>
      <c r="EH184" s="433"/>
      <c r="EI184" s="433"/>
      <c r="EJ184" s="433"/>
      <c r="EK184" s="433"/>
      <c r="EL184" s="247" t="s">
        <v>127</v>
      </c>
      <c r="EM184" s="247"/>
      <c r="EN184" s="247"/>
      <c r="EO184" s="247"/>
      <c r="EP184" s="247"/>
      <c r="EQ184" s="247"/>
      <c r="ER184" s="247"/>
      <c r="ES184" s="247"/>
    </row>
    <row r="185" spans="54:202" ht="16.5" hidden="1" customHeight="1" x14ac:dyDescent="0.2">
      <c r="BB185" s="432" t="s">
        <v>126</v>
      </c>
      <c r="BC185" s="432"/>
      <c r="BD185" s="432"/>
      <c r="BE185" s="433">
        <f>200*49</f>
        <v>9800</v>
      </c>
      <c r="BF185" s="433"/>
      <c r="BG185" s="433"/>
      <c r="BH185" s="433"/>
      <c r="BI185" s="433"/>
      <c r="BJ185" s="247" t="s">
        <v>127</v>
      </c>
      <c r="BK185" s="247"/>
      <c r="BL185" s="247"/>
      <c r="BM185" s="247"/>
      <c r="BN185" s="247"/>
      <c r="BO185" s="247"/>
      <c r="BP185" s="247"/>
      <c r="BQ185" s="247"/>
      <c r="DD185" s="434">
        <v>0.6</v>
      </c>
      <c r="DE185" s="432"/>
      <c r="DF185" s="432"/>
      <c r="DG185" s="216">
        <f>DG184*DD185</f>
        <v>810</v>
      </c>
      <c r="DH185" s="432" t="s">
        <v>128</v>
      </c>
      <c r="DI185" s="432"/>
      <c r="DJ185" s="432"/>
      <c r="DK185" s="432"/>
      <c r="DL185" s="432"/>
      <c r="DM185" s="432" t="s">
        <v>129</v>
      </c>
      <c r="DN185" s="432"/>
      <c r="DO185" s="432"/>
      <c r="DP185" s="432"/>
      <c r="DQ185" s="432"/>
      <c r="DR185" s="432"/>
      <c r="DS185" s="432"/>
      <c r="ED185" s="434">
        <v>0.6</v>
      </c>
      <c r="EE185" s="432"/>
      <c r="EF185" s="432"/>
      <c r="EG185" s="216">
        <f>EG184*ED185</f>
        <v>4410</v>
      </c>
      <c r="EH185" s="432" t="s">
        <v>128</v>
      </c>
      <c r="EI185" s="432"/>
      <c r="EJ185" s="432"/>
      <c r="EK185" s="432"/>
      <c r="EL185" s="432"/>
      <c r="EM185" s="432" t="s">
        <v>129</v>
      </c>
      <c r="EN185" s="432"/>
      <c r="EO185" s="432"/>
      <c r="EP185" s="432"/>
      <c r="EQ185" s="432"/>
      <c r="ER185" s="432"/>
      <c r="ES185" s="432"/>
    </row>
    <row r="186" spans="54:202" ht="17.25" hidden="1" customHeight="1" x14ac:dyDescent="0.25">
      <c r="BB186" s="434">
        <v>0.6</v>
      </c>
      <c r="BC186" s="432"/>
      <c r="BD186" s="432"/>
      <c r="BE186" s="216">
        <f>BE185*BB186</f>
        <v>5880</v>
      </c>
      <c r="BF186" s="432" t="s">
        <v>128</v>
      </c>
      <c r="BG186" s="432"/>
      <c r="BH186" s="432"/>
      <c r="BI186" s="432"/>
      <c r="BJ186" s="432"/>
      <c r="BK186" s="432" t="s">
        <v>129</v>
      </c>
      <c r="BL186" s="432"/>
      <c r="BM186" s="432"/>
      <c r="BN186" s="432"/>
      <c r="BO186" s="432"/>
      <c r="BP186" s="432"/>
      <c r="BQ186" s="432"/>
      <c r="DD186" s="432">
        <v>211</v>
      </c>
      <c r="DE186" s="432"/>
      <c r="DF186" s="432"/>
      <c r="DG186" s="216">
        <f>DG185-DG187</f>
        <v>622.11981566820282</v>
      </c>
      <c r="DH186" s="435">
        <f>DG186*0.1</f>
        <v>62.211981566820285</v>
      </c>
      <c r="DI186" s="435"/>
      <c r="DJ186" s="435"/>
      <c r="DK186" s="435"/>
      <c r="DL186" s="435"/>
      <c r="DM186" s="435">
        <f>DG186-DH186</f>
        <v>559.90783410138249</v>
      </c>
      <c r="DN186" s="432"/>
      <c r="DO186" s="432"/>
      <c r="DP186" s="432"/>
      <c r="DQ186" s="432"/>
      <c r="DR186" s="432"/>
      <c r="DS186" s="432"/>
      <c r="ED186" s="432">
        <v>211</v>
      </c>
      <c r="EE186" s="432"/>
      <c r="EF186" s="432"/>
      <c r="EG186" s="216">
        <f>EG185-EG187</f>
        <v>3387.0967741935483</v>
      </c>
      <c r="EH186" s="435">
        <f>EG186*0.1</f>
        <v>338.70967741935488</v>
      </c>
      <c r="EI186" s="435"/>
      <c r="EJ186" s="435"/>
      <c r="EK186" s="435"/>
      <c r="EL186" s="435"/>
      <c r="EM186" s="435">
        <f>EG186-EH186</f>
        <v>3048.3870967741932</v>
      </c>
      <c r="EN186" s="432"/>
      <c r="EO186" s="432"/>
      <c r="EP186" s="432"/>
      <c r="EQ186" s="432"/>
      <c r="ER186" s="432"/>
      <c r="ES186" s="432"/>
      <c r="GI186" s="432" t="s">
        <v>368</v>
      </c>
      <c r="GJ186" s="443"/>
      <c r="GK186" s="443"/>
      <c r="GL186" s="443"/>
      <c r="GO186" s="444" t="s">
        <v>366</v>
      </c>
      <c r="GP186" s="441"/>
      <c r="GQ186" s="441"/>
      <c r="GR186" s="441"/>
      <c r="GS186" s="441"/>
      <c r="GT186" s="441"/>
    </row>
    <row r="187" spans="54:202" ht="16.5" hidden="1" customHeight="1" x14ac:dyDescent="0.25">
      <c r="BB187" s="432">
        <v>211</v>
      </c>
      <c r="BC187" s="432"/>
      <c r="BD187" s="432"/>
      <c r="BE187" s="216">
        <f>BE186-BE188</f>
        <v>4516.1290322580644</v>
      </c>
      <c r="BF187" s="435">
        <f>BE187*0.2</f>
        <v>903.22580645161293</v>
      </c>
      <c r="BG187" s="435"/>
      <c r="BH187" s="435"/>
      <c r="BI187" s="435"/>
      <c r="BJ187" s="435"/>
      <c r="BK187" s="436">
        <f>BE187-BF187</f>
        <v>3612.9032258064517</v>
      </c>
      <c r="BL187" s="445"/>
      <c r="BM187" s="445"/>
      <c r="BN187" s="445"/>
      <c r="BO187" s="445"/>
      <c r="BP187" s="445"/>
      <c r="BQ187" s="445"/>
      <c r="DD187" s="432">
        <v>213</v>
      </c>
      <c r="DE187" s="432"/>
      <c r="DF187" s="432"/>
      <c r="DG187" s="216">
        <f>DG185*30.2/130.2</f>
        <v>187.88018433179724</v>
      </c>
      <c r="DH187" s="435">
        <f>DH186*30.2%</f>
        <v>18.788018433179726</v>
      </c>
      <c r="DI187" s="435"/>
      <c r="DJ187" s="435"/>
      <c r="DK187" s="435"/>
      <c r="DL187" s="435"/>
      <c r="DM187" s="435">
        <f>DM186*30.2%</f>
        <v>169.09216589861751</v>
      </c>
      <c r="DN187" s="435"/>
      <c r="DO187" s="435"/>
      <c r="DP187" s="435"/>
      <c r="DQ187" s="435"/>
      <c r="DR187" s="435"/>
      <c r="DS187" s="435"/>
      <c r="ED187" s="432">
        <v>213</v>
      </c>
      <c r="EE187" s="432"/>
      <c r="EF187" s="432"/>
      <c r="EG187" s="216">
        <f>EG185*30.2/130.2</f>
        <v>1022.9032258064517</v>
      </c>
      <c r="EH187" s="435">
        <f>EH186*30.2%</f>
        <v>102.29032258064517</v>
      </c>
      <c r="EI187" s="435"/>
      <c r="EJ187" s="435"/>
      <c r="EK187" s="435"/>
      <c r="EL187" s="435"/>
      <c r="EM187" s="435">
        <f>EM186*30.2%</f>
        <v>920.61290322580635</v>
      </c>
      <c r="EN187" s="435"/>
      <c r="EO187" s="435"/>
      <c r="EP187" s="435"/>
      <c r="EQ187" s="435"/>
      <c r="ER187" s="435"/>
      <c r="ES187" s="435"/>
      <c r="GI187" s="437">
        <f>BF187*15/20</f>
        <v>677.41935483870964</v>
      </c>
      <c r="GJ187" s="446"/>
      <c r="GK187" s="446"/>
      <c r="GL187" s="446"/>
      <c r="GO187" s="437">
        <f>BF187*5/20</f>
        <v>225.80645161290323</v>
      </c>
      <c r="GP187" s="446"/>
      <c r="GQ187" s="446"/>
      <c r="GR187" s="446"/>
      <c r="GS187" s="446"/>
      <c r="GT187" s="446"/>
    </row>
    <row r="188" spans="54:202" ht="16.5" hidden="1" customHeight="1" x14ac:dyDescent="0.2">
      <c r="BB188" s="432">
        <v>213</v>
      </c>
      <c r="BC188" s="432"/>
      <c r="BD188" s="432"/>
      <c r="BE188" s="216">
        <f>BE186*30.2/130.2</f>
        <v>1363.8709677419356</v>
      </c>
      <c r="BF188" s="435">
        <f>BF187*30.2%</f>
        <v>272.77419354838707</v>
      </c>
      <c r="BG188" s="435"/>
      <c r="BH188" s="435"/>
      <c r="BI188" s="435"/>
      <c r="BJ188" s="435"/>
      <c r="BK188" s="435">
        <f>BK187*30.2%</f>
        <v>1091.0967741935483</v>
      </c>
      <c r="BL188" s="435"/>
      <c r="BM188" s="435"/>
      <c r="BN188" s="435"/>
      <c r="BO188" s="435"/>
      <c r="BP188" s="435"/>
      <c r="BQ188" s="435"/>
    </row>
    <row r="189" spans="54:202" ht="8.25" hidden="1" customHeight="1" x14ac:dyDescent="0.2"/>
    <row r="190" spans="54:202" ht="8.25" hidden="1" customHeight="1" x14ac:dyDescent="0.2"/>
    <row r="191" spans="54:202" ht="8.25" hidden="1" customHeight="1" x14ac:dyDescent="0.2"/>
    <row r="192" spans="54:202" ht="15" hidden="1" x14ac:dyDescent="0.25">
      <c r="BF192" s="253">
        <f>BF158+BF166+GO172+GO179+GO187</f>
        <v>1806.4516129032259</v>
      </c>
      <c r="DD192" s="432" t="s">
        <v>186</v>
      </c>
      <c r="DE192" s="432"/>
      <c r="DF192" s="432"/>
      <c r="DG192" s="432"/>
      <c r="DH192" s="432"/>
      <c r="DI192" s="432"/>
      <c r="DJ192" s="432"/>
      <c r="DK192" s="432"/>
      <c r="DL192" s="432"/>
      <c r="DM192" s="432"/>
      <c r="DN192" s="432"/>
      <c r="DO192" s="432"/>
      <c r="DP192" s="432"/>
      <c r="DQ192" s="432"/>
      <c r="DR192" s="432"/>
      <c r="DS192" s="432"/>
      <c r="DT192" s="432"/>
      <c r="DU192" s="432"/>
      <c r="DV192" s="432"/>
      <c r="DW192" s="432"/>
      <c r="DX192" s="432"/>
      <c r="DY192" s="432"/>
      <c r="DZ192" s="432"/>
      <c r="ED192" s="432" t="s">
        <v>187</v>
      </c>
      <c r="EE192" s="432"/>
      <c r="EF192" s="432"/>
      <c r="EG192" s="432"/>
      <c r="EH192" s="432"/>
      <c r="EI192" s="432"/>
      <c r="EJ192" s="432"/>
      <c r="EK192" s="432"/>
      <c r="EL192" s="432"/>
      <c r="EM192" s="432"/>
      <c r="EN192" s="432"/>
      <c r="EO192" s="432"/>
      <c r="EP192" s="432"/>
      <c r="EQ192" s="432"/>
      <c r="ER192" s="432"/>
      <c r="ES192" s="432"/>
      <c r="ET192" s="432"/>
      <c r="EU192" s="432"/>
      <c r="EV192" s="432"/>
      <c r="EW192" s="432"/>
      <c r="EX192" s="432"/>
      <c r="EY192" s="432"/>
      <c r="EZ192" s="432"/>
    </row>
    <row r="193" spans="54:202" ht="18.75" hidden="1" customHeight="1" x14ac:dyDescent="0.2">
      <c r="DD193" s="432" t="s">
        <v>126</v>
      </c>
      <c r="DE193" s="432"/>
      <c r="DF193" s="432"/>
      <c r="DG193" s="433">
        <f>150*31</f>
        <v>4650</v>
      </c>
      <c r="DH193" s="433"/>
      <c r="DI193" s="433"/>
      <c r="DJ193" s="433"/>
      <c r="DK193" s="433"/>
      <c r="DL193" s="220" t="s">
        <v>127</v>
      </c>
      <c r="DM193" s="220"/>
      <c r="DN193" s="220"/>
      <c r="DO193" s="220"/>
      <c r="DP193" s="220"/>
      <c r="DQ193" s="220"/>
      <c r="DR193" s="220"/>
      <c r="DS193" s="220"/>
      <c r="ED193" s="432" t="s">
        <v>126</v>
      </c>
      <c r="EE193" s="432"/>
      <c r="EF193" s="432"/>
      <c r="EG193" s="433">
        <f>150*16</f>
        <v>2400</v>
      </c>
      <c r="EH193" s="433"/>
      <c r="EI193" s="433"/>
      <c r="EJ193" s="433"/>
      <c r="EK193" s="433"/>
      <c r="EL193" s="220" t="s">
        <v>127</v>
      </c>
      <c r="EM193" s="220"/>
      <c r="EN193" s="220"/>
      <c r="EO193" s="220"/>
      <c r="EP193" s="220"/>
      <c r="EQ193" s="220"/>
      <c r="ER193" s="220"/>
      <c r="ES193" s="220"/>
    </row>
    <row r="194" spans="54:202" ht="19.5" hidden="1" customHeight="1" x14ac:dyDescent="0.2">
      <c r="BB194" s="432" t="s">
        <v>413</v>
      </c>
      <c r="BC194" s="432"/>
      <c r="BD194" s="432"/>
      <c r="BE194" s="432"/>
      <c r="BF194" s="432"/>
      <c r="BG194" s="432"/>
      <c r="BH194" s="432"/>
      <c r="BI194" s="432"/>
      <c r="BJ194" s="432"/>
      <c r="BK194" s="432"/>
      <c r="BL194" s="432"/>
      <c r="BM194" s="432"/>
      <c r="BN194" s="432"/>
      <c r="BO194" s="432"/>
      <c r="BP194" s="432"/>
      <c r="BQ194" s="432"/>
      <c r="BR194" s="432"/>
      <c r="BS194" s="432"/>
      <c r="BT194" s="432"/>
      <c r="BU194" s="432"/>
      <c r="BV194" s="432"/>
      <c r="BW194" s="432"/>
      <c r="BX194" s="432"/>
      <c r="DD194" s="432" t="s">
        <v>126</v>
      </c>
      <c r="DE194" s="432"/>
      <c r="DF194" s="432"/>
      <c r="DG194" s="433">
        <f>150*9</f>
        <v>1350</v>
      </c>
      <c r="DH194" s="433"/>
      <c r="DI194" s="433"/>
      <c r="DJ194" s="433"/>
      <c r="DK194" s="433"/>
      <c r="DL194" s="250" t="s">
        <v>127</v>
      </c>
      <c r="DM194" s="250"/>
      <c r="DN194" s="250"/>
      <c r="DO194" s="250"/>
      <c r="DP194" s="250"/>
      <c r="DQ194" s="250"/>
      <c r="DR194" s="250"/>
      <c r="DS194" s="250"/>
      <c r="ED194" s="432" t="s">
        <v>126</v>
      </c>
      <c r="EE194" s="432"/>
      <c r="EF194" s="432"/>
      <c r="EG194" s="433">
        <f>150*49</f>
        <v>7350</v>
      </c>
      <c r="EH194" s="433"/>
      <c r="EI194" s="433"/>
      <c r="EJ194" s="433"/>
      <c r="EK194" s="433"/>
      <c r="EL194" s="250" t="s">
        <v>127</v>
      </c>
      <c r="EM194" s="250"/>
      <c r="EN194" s="250"/>
      <c r="EO194" s="250"/>
      <c r="EP194" s="250"/>
      <c r="EQ194" s="250"/>
      <c r="ER194" s="250"/>
      <c r="ES194" s="250"/>
    </row>
    <row r="195" spans="54:202" ht="16.5" hidden="1" customHeight="1" x14ac:dyDescent="0.2">
      <c r="BB195" s="432" t="s">
        <v>126</v>
      </c>
      <c r="BC195" s="432"/>
      <c r="BD195" s="432"/>
      <c r="BE195" s="433">
        <f>200*49</f>
        <v>9800</v>
      </c>
      <c r="BF195" s="433"/>
      <c r="BG195" s="433"/>
      <c r="BH195" s="433"/>
      <c r="BI195" s="433"/>
      <c r="BJ195" s="250" t="s">
        <v>127</v>
      </c>
      <c r="BK195" s="250"/>
      <c r="BL195" s="250"/>
      <c r="BM195" s="250"/>
      <c r="BN195" s="250"/>
      <c r="BO195" s="250"/>
      <c r="BP195" s="250"/>
      <c r="BQ195" s="250"/>
      <c r="DD195" s="434">
        <v>0.6</v>
      </c>
      <c r="DE195" s="432"/>
      <c r="DF195" s="432"/>
      <c r="DG195" s="216">
        <f>DG194*DD195</f>
        <v>810</v>
      </c>
      <c r="DH195" s="432" t="s">
        <v>128</v>
      </c>
      <c r="DI195" s="432"/>
      <c r="DJ195" s="432"/>
      <c r="DK195" s="432"/>
      <c r="DL195" s="432"/>
      <c r="DM195" s="432" t="s">
        <v>129</v>
      </c>
      <c r="DN195" s="432"/>
      <c r="DO195" s="432"/>
      <c r="DP195" s="432"/>
      <c r="DQ195" s="432"/>
      <c r="DR195" s="432"/>
      <c r="DS195" s="432"/>
      <c r="ED195" s="434">
        <v>0.6</v>
      </c>
      <c r="EE195" s="432"/>
      <c r="EF195" s="432"/>
      <c r="EG195" s="216">
        <f>EG194*ED195</f>
        <v>4410</v>
      </c>
      <c r="EH195" s="432" t="s">
        <v>128</v>
      </c>
      <c r="EI195" s="432"/>
      <c r="EJ195" s="432"/>
      <c r="EK195" s="432"/>
      <c r="EL195" s="432"/>
      <c r="EM195" s="432" t="s">
        <v>129</v>
      </c>
      <c r="EN195" s="432"/>
      <c r="EO195" s="432"/>
      <c r="EP195" s="432"/>
      <c r="EQ195" s="432"/>
      <c r="ER195" s="432"/>
      <c r="ES195" s="432"/>
    </row>
    <row r="196" spans="54:202" ht="17.25" hidden="1" customHeight="1" x14ac:dyDescent="0.25">
      <c r="BB196" s="434">
        <v>0.6</v>
      </c>
      <c r="BC196" s="432"/>
      <c r="BD196" s="432"/>
      <c r="BE196" s="216">
        <f>BE195*BB196</f>
        <v>5880</v>
      </c>
      <c r="BF196" s="432" t="s">
        <v>128</v>
      </c>
      <c r="BG196" s="432"/>
      <c r="BH196" s="432"/>
      <c r="BI196" s="432"/>
      <c r="BJ196" s="432"/>
      <c r="BK196" s="432" t="s">
        <v>129</v>
      </c>
      <c r="BL196" s="432"/>
      <c r="BM196" s="432"/>
      <c r="BN196" s="432"/>
      <c r="BO196" s="432"/>
      <c r="BP196" s="432"/>
      <c r="BQ196" s="432"/>
      <c r="DD196" s="432">
        <v>211</v>
      </c>
      <c r="DE196" s="432"/>
      <c r="DF196" s="432"/>
      <c r="DG196" s="216">
        <f>DG195-DG197</f>
        <v>622.11981566820282</v>
      </c>
      <c r="DH196" s="435">
        <f>DG196*0.1</f>
        <v>62.211981566820285</v>
      </c>
      <c r="DI196" s="435"/>
      <c r="DJ196" s="435"/>
      <c r="DK196" s="435"/>
      <c r="DL196" s="435"/>
      <c r="DM196" s="435">
        <f>DG196-DH196</f>
        <v>559.90783410138249</v>
      </c>
      <c r="DN196" s="432"/>
      <c r="DO196" s="432"/>
      <c r="DP196" s="432"/>
      <c r="DQ196" s="432"/>
      <c r="DR196" s="432"/>
      <c r="DS196" s="432"/>
      <c r="ED196" s="432">
        <v>211</v>
      </c>
      <c r="EE196" s="432"/>
      <c r="EF196" s="432"/>
      <c r="EG196" s="216">
        <f>EG195-EG197</f>
        <v>3387.0967741935483</v>
      </c>
      <c r="EH196" s="435">
        <f>EG196*0.1</f>
        <v>338.70967741935488</v>
      </c>
      <c r="EI196" s="435"/>
      <c r="EJ196" s="435"/>
      <c r="EK196" s="435"/>
      <c r="EL196" s="435"/>
      <c r="EM196" s="435">
        <f>EG196-EH196</f>
        <v>3048.3870967741932</v>
      </c>
      <c r="EN196" s="432"/>
      <c r="EO196" s="432"/>
      <c r="EP196" s="432"/>
      <c r="EQ196" s="432"/>
      <c r="ER196" s="432"/>
      <c r="ES196" s="432"/>
      <c r="GI196" s="432" t="s">
        <v>368</v>
      </c>
      <c r="GJ196" s="443"/>
      <c r="GK196" s="443"/>
      <c r="GL196" s="443"/>
      <c r="GO196" s="444" t="s">
        <v>366</v>
      </c>
      <c r="GP196" s="441"/>
      <c r="GQ196" s="441"/>
      <c r="GR196" s="441"/>
      <c r="GS196" s="441"/>
      <c r="GT196" s="441"/>
    </row>
    <row r="197" spans="54:202" ht="16.5" hidden="1" customHeight="1" x14ac:dyDescent="0.25">
      <c r="BB197" s="432">
        <v>211</v>
      </c>
      <c r="BC197" s="432"/>
      <c r="BD197" s="432"/>
      <c r="BE197" s="216">
        <f>BE196-BE198</f>
        <v>4516.1290322580644</v>
      </c>
      <c r="BF197" s="435">
        <f>BE197*0.2</f>
        <v>903.22580645161293</v>
      </c>
      <c r="BG197" s="435"/>
      <c r="BH197" s="435"/>
      <c r="BI197" s="435"/>
      <c r="BJ197" s="435"/>
      <c r="BK197" s="436">
        <f>BE197-BF197</f>
        <v>3612.9032258064517</v>
      </c>
      <c r="BL197" s="445"/>
      <c r="BM197" s="445"/>
      <c r="BN197" s="445"/>
      <c r="BO197" s="445"/>
      <c r="BP197" s="445"/>
      <c r="BQ197" s="445"/>
      <c r="DD197" s="432">
        <v>213</v>
      </c>
      <c r="DE197" s="432"/>
      <c r="DF197" s="432"/>
      <c r="DG197" s="216">
        <f>DG195*30.2/130.2</f>
        <v>187.88018433179724</v>
      </c>
      <c r="DH197" s="435">
        <f>DH196*30.2%</f>
        <v>18.788018433179726</v>
      </c>
      <c r="DI197" s="435"/>
      <c r="DJ197" s="435"/>
      <c r="DK197" s="435"/>
      <c r="DL197" s="435"/>
      <c r="DM197" s="435">
        <f>DM196*30.2%</f>
        <v>169.09216589861751</v>
      </c>
      <c r="DN197" s="435"/>
      <c r="DO197" s="435"/>
      <c r="DP197" s="435"/>
      <c r="DQ197" s="435"/>
      <c r="DR197" s="435"/>
      <c r="DS197" s="435"/>
      <c r="ED197" s="432">
        <v>213</v>
      </c>
      <c r="EE197" s="432"/>
      <c r="EF197" s="432"/>
      <c r="EG197" s="216">
        <f>EG195*30.2/130.2</f>
        <v>1022.9032258064517</v>
      </c>
      <c r="EH197" s="435">
        <f>EH196*30.2%</f>
        <v>102.29032258064517</v>
      </c>
      <c r="EI197" s="435"/>
      <c r="EJ197" s="435"/>
      <c r="EK197" s="435"/>
      <c r="EL197" s="435"/>
      <c r="EM197" s="435">
        <f>EM196*30.2%</f>
        <v>920.61290322580635</v>
      </c>
      <c r="EN197" s="435"/>
      <c r="EO197" s="435"/>
      <c r="EP197" s="435"/>
      <c r="EQ197" s="435"/>
      <c r="ER197" s="435"/>
      <c r="ES197" s="435"/>
      <c r="GI197" s="437">
        <f>BF197*15/20</f>
        <v>677.41935483870964</v>
      </c>
      <c r="GJ197" s="446"/>
      <c r="GK197" s="446"/>
      <c r="GL197" s="446"/>
      <c r="GO197" s="437">
        <f>BF197*5/20</f>
        <v>225.80645161290323</v>
      </c>
      <c r="GP197" s="446"/>
      <c r="GQ197" s="446"/>
      <c r="GR197" s="446"/>
      <c r="GS197" s="446"/>
      <c r="GT197" s="446"/>
    </row>
    <row r="198" spans="54:202" ht="16.5" hidden="1" customHeight="1" x14ac:dyDescent="0.2">
      <c r="BB198" s="432">
        <v>213</v>
      </c>
      <c r="BC198" s="432"/>
      <c r="BD198" s="432"/>
      <c r="BE198" s="216">
        <f>BE196*30.2/130.2</f>
        <v>1363.8709677419356</v>
      </c>
      <c r="BF198" s="435">
        <f>BF197*30.2%</f>
        <v>272.77419354838707</v>
      </c>
      <c r="BG198" s="435"/>
      <c r="BH198" s="435"/>
      <c r="BI198" s="435"/>
      <c r="BJ198" s="435"/>
      <c r="BK198" s="435">
        <f>BK197*30.2%</f>
        <v>1091.0967741935483</v>
      </c>
      <c r="BL198" s="435"/>
      <c r="BM198" s="435"/>
      <c r="BN198" s="435"/>
      <c r="BO198" s="435"/>
      <c r="BP198" s="435"/>
      <c r="BQ198" s="435"/>
    </row>
    <row r="199" spans="54:202" ht="8.25" hidden="1" customHeight="1" x14ac:dyDescent="0.2"/>
    <row r="200" spans="54:202" ht="8.25" hidden="1" customHeight="1" x14ac:dyDescent="0.2"/>
    <row r="201" spans="54:202" ht="8.25" hidden="1" customHeight="1" x14ac:dyDescent="0.2"/>
    <row r="202" spans="54:202" ht="12" hidden="1" x14ac:dyDescent="0.2">
      <c r="BB202" s="432" t="s">
        <v>442</v>
      </c>
      <c r="BC202" s="432"/>
      <c r="BD202" s="432"/>
      <c r="BE202" s="432"/>
      <c r="BF202" s="432"/>
      <c r="BG202" s="432"/>
      <c r="BH202" s="432"/>
      <c r="BI202" s="432"/>
      <c r="BJ202" s="432"/>
      <c r="BK202" s="432"/>
      <c r="BL202" s="432"/>
      <c r="BM202" s="432"/>
      <c r="BN202" s="432"/>
      <c r="BO202" s="432"/>
      <c r="BP202" s="432"/>
      <c r="BQ202" s="432"/>
      <c r="BR202" s="432"/>
      <c r="BS202" s="432"/>
      <c r="BT202" s="432"/>
      <c r="BU202" s="432"/>
      <c r="BV202" s="432"/>
      <c r="BW202" s="432"/>
      <c r="BX202" s="432"/>
      <c r="DD202" s="432" t="s">
        <v>126</v>
      </c>
      <c r="DE202" s="432"/>
      <c r="DF202" s="432"/>
      <c r="DG202" s="433">
        <f>150*9</f>
        <v>1350</v>
      </c>
      <c r="DH202" s="433"/>
      <c r="DI202" s="433"/>
      <c r="DJ202" s="433"/>
      <c r="DK202" s="433"/>
      <c r="DL202" s="284" t="s">
        <v>127</v>
      </c>
      <c r="DM202" s="284"/>
      <c r="DN202" s="284"/>
      <c r="DO202" s="284"/>
      <c r="DP202" s="284"/>
      <c r="DQ202" s="284"/>
      <c r="DR202" s="284"/>
      <c r="DS202" s="284"/>
      <c r="ED202" s="432" t="s">
        <v>126</v>
      </c>
      <c r="EE202" s="432"/>
      <c r="EF202" s="432"/>
      <c r="EG202" s="433">
        <f>150*49</f>
        <v>7350</v>
      </c>
      <c r="EH202" s="433"/>
      <c r="EI202" s="433"/>
      <c r="EJ202" s="433"/>
      <c r="EK202" s="433"/>
      <c r="EL202" s="284" t="s">
        <v>127</v>
      </c>
      <c r="EM202" s="284"/>
      <c r="EN202" s="284"/>
      <c r="EO202" s="284"/>
      <c r="EP202" s="284"/>
      <c r="EQ202" s="284"/>
      <c r="ER202" s="284"/>
      <c r="ES202" s="284"/>
    </row>
    <row r="203" spans="54:202" ht="12" hidden="1" x14ac:dyDescent="0.2">
      <c r="BB203" s="432" t="s">
        <v>126</v>
      </c>
      <c r="BC203" s="432"/>
      <c r="BD203" s="432"/>
      <c r="BE203" s="433">
        <f>220*55</f>
        <v>12100</v>
      </c>
      <c r="BF203" s="433"/>
      <c r="BG203" s="433"/>
      <c r="BH203" s="433"/>
      <c r="BI203" s="433"/>
      <c r="BJ203" s="284" t="s">
        <v>127</v>
      </c>
      <c r="BK203" s="284"/>
      <c r="BL203" s="284"/>
      <c r="BM203" s="284"/>
      <c r="BN203" s="284"/>
      <c r="BO203" s="284"/>
      <c r="BP203" s="284"/>
      <c r="BQ203" s="284"/>
      <c r="DD203" s="434">
        <v>0.6</v>
      </c>
      <c r="DE203" s="432"/>
      <c r="DF203" s="432"/>
      <c r="DG203" s="216">
        <f>DG202*DD203</f>
        <v>810</v>
      </c>
      <c r="DH203" s="432" t="s">
        <v>128</v>
      </c>
      <c r="DI203" s="432"/>
      <c r="DJ203" s="432"/>
      <c r="DK203" s="432"/>
      <c r="DL203" s="432"/>
      <c r="DM203" s="432" t="s">
        <v>129</v>
      </c>
      <c r="DN203" s="432"/>
      <c r="DO203" s="432"/>
      <c r="DP203" s="432"/>
      <c r="DQ203" s="432"/>
      <c r="DR203" s="432"/>
      <c r="DS203" s="432"/>
      <c r="ED203" s="434">
        <v>0.6</v>
      </c>
      <c r="EE203" s="432"/>
      <c r="EF203" s="432"/>
      <c r="EG203" s="216">
        <f>EG202*ED203</f>
        <v>4410</v>
      </c>
      <c r="EH203" s="432" t="s">
        <v>128</v>
      </c>
      <c r="EI203" s="432"/>
      <c r="EJ203" s="432"/>
      <c r="EK203" s="432"/>
      <c r="EL203" s="432"/>
      <c r="EM203" s="432" t="s">
        <v>129</v>
      </c>
      <c r="EN203" s="432"/>
      <c r="EO203" s="432"/>
      <c r="EP203" s="432"/>
      <c r="EQ203" s="432"/>
      <c r="ER203" s="432"/>
      <c r="ES203" s="432"/>
    </row>
    <row r="204" spans="54:202" ht="15" hidden="1" x14ac:dyDescent="0.25">
      <c r="BB204" s="434">
        <v>0.6</v>
      </c>
      <c r="BC204" s="432"/>
      <c r="BD204" s="432"/>
      <c r="BE204" s="216">
        <f>BE203*BB204</f>
        <v>7260</v>
      </c>
      <c r="BF204" s="432" t="s">
        <v>128</v>
      </c>
      <c r="BG204" s="432"/>
      <c r="BH204" s="432"/>
      <c r="BI204" s="432"/>
      <c r="BJ204" s="432"/>
      <c r="BK204" s="432" t="s">
        <v>129</v>
      </c>
      <c r="BL204" s="432"/>
      <c r="BM204" s="432"/>
      <c r="BN204" s="432"/>
      <c r="BO204" s="432"/>
      <c r="BP204" s="432"/>
      <c r="BQ204" s="432"/>
      <c r="DD204" s="432">
        <v>211</v>
      </c>
      <c r="DE204" s="432"/>
      <c r="DF204" s="432"/>
      <c r="DG204" s="216">
        <f>DG203-DG205</f>
        <v>622.11981566820282</v>
      </c>
      <c r="DH204" s="435">
        <f>DG204*0.1</f>
        <v>62.211981566820285</v>
      </c>
      <c r="DI204" s="435"/>
      <c r="DJ204" s="435"/>
      <c r="DK204" s="435"/>
      <c r="DL204" s="435"/>
      <c r="DM204" s="435">
        <f>DG204-DH204</f>
        <v>559.90783410138249</v>
      </c>
      <c r="DN204" s="432"/>
      <c r="DO204" s="432"/>
      <c r="DP204" s="432"/>
      <c r="DQ204" s="432"/>
      <c r="DR204" s="432"/>
      <c r="DS204" s="432"/>
      <c r="ED204" s="432">
        <v>211</v>
      </c>
      <c r="EE204" s="432"/>
      <c r="EF204" s="432"/>
      <c r="EG204" s="216">
        <f>EG203-EG205</f>
        <v>3387.0967741935483</v>
      </c>
      <c r="EH204" s="435">
        <f>EG204*0.1</f>
        <v>338.70967741935488</v>
      </c>
      <c r="EI204" s="435"/>
      <c r="EJ204" s="435"/>
      <c r="EK204" s="435"/>
      <c r="EL204" s="435"/>
      <c r="EM204" s="435">
        <f>EG204-EH204</f>
        <v>3048.3870967741932</v>
      </c>
      <c r="EN204" s="432"/>
      <c r="EO204" s="432"/>
      <c r="EP204" s="432"/>
      <c r="EQ204" s="432"/>
      <c r="ER204" s="432"/>
      <c r="ES204" s="432"/>
      <c r="GI204" s="432" t="s">
        <v>368</v>
      </c>
      <c r="GJ204" s="443"/>
      <c r="GK204" s="443"/>
      <c r="GL204" s="443"/>
      <c r="GO204" s="444" t="s">
        <v>366</v>
      </c>
      <c r="GP204" s="441"/>
      <c r="GQ204" s="441"/>
      <c r="GR204" s="441"/>
      <c r="GS204" s="441"/>
      <c r="GT204" s="441"/>
    </row>
    <row r="205" spans="54:202" ht="15" hidden="1" x14ac:dyDescent="0.25">
      <c r="BB205" s="432">
        <v>211</v>
      </c>
      <c r="BC205" s="432"/>
      <c r="BD205" s="432"/>
      <c r="BE205" s="216">
        <f>BE204-BE206</f>
        <v>5576.0368663594472</v>
      </c>
      <c r="BF205" s="435">
        <f>BE205*0.2</f>
        <v>1115.2073732718895</v>
      </c>
      <c r="BG205" s="435"/>
      <c r="BH205" s="435"/>
      <c r="BI205" s="435"/>
      <c r="BJ205" s="435"/>
      <c r="BK205" s="436">
        <f>BE205-BF205</f>
        <v>4460.8294930875581</v>
      </c>
      <c r="BL205" s="445"/>
      <c r="BM205" s="445"/>
      <c r="BN205" s="445"/>
      <c r="BO205" s="445"/>
      <c r="BP205" s="445"/>
      <c r="BQ205" s="445"/>
      <c r="DD205" s="432">
        <v>213</v>
      </c>
      <c r="DE205" s="432"/>
      <c r="DF205" s="432"/>
      <c r="DG205" s="216">
        <f>DG203*30.2/130.2</f>
        <v>187.88018433179724</v>
      </c>
      <c r="DH205" s="435">
        <f>DH204*30.2%</f>
        <v>18.788018433179726</v>
      </c>
      <c r="DI205" s="435"/>
      <c r="DJ205" s="435"/>
      <c r="DK205" s="435"/>
      <c r="DL205" s="435"/>
      <c r="DM205" s="435">
        <f>DM204*30.2%</f>
        <v>169.09216589861751</v>
      </c>
      <c r="DN205" s="435"/>
      <c r="DO205" s="435"/>
      <c r="DP205" s="435"/>
      <c r="DQ205" s="435"/>
      <c r="DR205" s="435"/>
      <c r="DS205" s="435"/>
      <c r="ED205" s="432">
        <v>213</v>
      </c>
      <c r="EE205" s="432"/>
      <c r="EF205" s="432"/>
      <c r="EG205" s="216">
        <f>EG203*30.2/130.2</f>
        <v>1022.9032258064517</v>
      </c>
      <c r="EH205" s="435">
        <f>EH204*30.2%</f>
        <v>102.29032258064517</v>
      </c>
      <c r="EI205" s="435"/>
      <c r="EJ205" s="435"/>
      <c r="EK205" s="435"/>
      <c r="EL205" s="435"/>
      <c r="EM205" s="435">
        <f>EM204*30.2%</f>
        <v>920.61290322580635</v>
      </c>
      <c r="EN205" s="435"/>
      <c r="EO205" s="435"/>
      <c r="EP205" s="435"/>
      <c r="EQ205" s="435"/>
      <c r="ER205" s="435"/>
      <c r="ES205" s="435"/>
      <c r="GI205" s="437">
        <f>BF205*15/20</f>
        <v>836.40552995391715</v>
      </c>
      <c r="GJ205" s="446"/>
      <c r="GK205" s="446"/>
      <c r="GL205" s="446"/>
      <c r="GO205" s="437">
        <f>BF205*5/20</f>
        <v>278.80184331797238</v>
      </c>
      <c r="GP205" s="446"/>
      <c r="GQ205" s="446"/>
      <c r="GR205" s="446"/>
      <c r="GS205" s="446"/>
      <c r="GT205" s="446"/>
    </row>
    <row r="206" spans="54:202" ht="12" hidden="1" x14ac:dyDescent="0.2">
      <c r="BB206" s="432">
        <v>213</v>
      </c>
      <c r="BC206" s="432"/>
      <c r="BD206" s="432"/>
      <c r="BE206" s="216">
        <f>BE204*30.2/130.2</f>
        <v>1683.9631336405532</v>
      </c>
      <c r="BF206" s="435">
        <f>BF205*30.2%</f>
        <v>336.79262672811063</v>
      </c>
      <c r="BG206" s="435"/>
      <c r="BH206" s="435"/>
      <c r="BI206" s="435"/>
      <c r="BJ206" s="435"/>
      <c r="BK206" s="435">
        <f>BK205*30.2%</f>
        <v>1347.1705069124425</v>
      </c>
      <c r="BL206" s="435"/>
      <c r="BM206" s="435"/>
      <c r="BN206" s="435"/>
      <c r="BO206" s="435"/>
      <c r="BP206" s="435"/>
      <c r="BQ206" s="435"/>
    </row>
    <row r="207" spans="54:202" ht="12" hidden="1" x14ac:dyDescent="0.2"/>
    <row r="208" spans="54:202" ht="12" hidden="1" x14ac:dyDescent="0.2"/>
    <row r="209" spans="54:202" ht="12" hidden="1" x14ac:dyDescent="0.2">
      <c r="BB209" s="432" t="s">
        <v>450</v>
      </c>
      <c r="BC209" s="432"/>
      <c r="BD209" s="432"/>
      <c r="BE209" s="432"/>
      <c r="BF209" s="432"/>
      <c r="BG209" s="432"/>
      <c r="BH209" s="432"/>
      <c r="BI209" s="432"/>
      <c r="BJ209" s="432"/>
      <c r="BK209" s="432"/>
      <c r="BL209" s="432"/>
      <c r="BM209" s="432"/>
      <c r="BN209" s="432"/>
      <c r="BO209" s="432"/>
      <c r="BP209" s="432"/>
      <c r="BQ209" s="432"/>
      <c r="BR209" s="432"/>
      <c r="BS209" s="432"/>
      <c r="BT209" s="432"/>
      <c r="BU209" s="432"/>
      <c r="BV209" s="432"/>
      <c r="BW209" s="432"/>
      <c r="BX209" s="432"/>
      <c r="DD209" s="432" t="s">
        <v>126</v>
      </c>
      <c r="DE209" s="432"/>
      <c r="DF209" s="432"/>
      <c r="DG209" s="433">
        <f>150*9</f>
        <v>1350</v>
      </c>
      <c r="DH209" s="433"/>
      <c r="DI209" s="433"/>
      <c r="DJ209" s="433"/>
      <c r="DK209" s="433"/>
      <c r="DL209" s="289" t="s">
        <v>127</v>
      </c>
      <c r="DM209" s="289"/>
      <c r="DN209" s="289"/>
      <c r="DO209" s="289"/>
      <c r="DP209" s="289"/>
      <c r="DQ209" s="289"/>
      <c r="DR209" s="289"/>
      <c r="DS209" s="289"/>
      <c r="ED209" s="432" t="s">
        <v>126</v>
      </c>
      <c r="EE209" s="432"/>
      <c r="EF209" s="432"/>
      <c r="EG209" s="433">
        <f>150*49</f>
        <v>7350</v>
      </c>
      <c r="EH209" s="433"/>
      <c r="EI209" s="433"/>
      <c r="EJ209" s="433"/>
      <c r="EK209" s="433"/>
      <c r="EL209" s="289" t="s">
        <v>127</v>
      </c>
      <c r="EM209" s="289"/>
      <c r="EN209" s="289"/>
      <c r="EO209" s="289"/>
      <c r="EP209" s="289"/>
      <c r="EQ209" s="289"/>
      <c r="ER209" s="289"/>
      <c r="ES209" s="289"/>
    </row>
    <row r="210" spans="54:202" ht="12" hidden="1" x14ac:dyDescent="0.2">
      <c r="BB210" s="432" t="s">
        <v>126</v>
      </c>
      <c r="BC210" s="432"/>
      <c r="BD210" s="432"/>
      <c r="BE210" s="433">
        <f>220*55</f>
        <v>12100</v>
      </c>
      <c r="BF210" s="433"/>
      <c r="BG210" s="433"/>
      <c r="BH210" s="433"/>
      <c r="BI210" s="433"/>
      <c r="BJ210" s="289" t="s">
        <v>127</v>
      </c>
      <c r="BK210" s="289"/>
      <c r="BL210" s="289"/>
      <c r="BM210" s="289"/>
      <c r="BN210" s="289"/>
      <c r="BO210" s="289"/>
      <c r="BP210" s="289"/>
      <c r="BQ210" s="289"/>
      <c r="DD210" s="434">
        <v>0.6</v>
      </c>
      <c r="DE210" s="432"/>
      <c r="DF210" s="432"/>
      <c r="DG210" s="216">
        <f>DG209*DD210</f>
        <v>810</v>
      </c>
      <c r="DH210" s="432" t="s">
        <v>128</v>
      </c>
      <c r="DI210" s="432"/>
      <c r="DJ210" s="432"/>
      <c r="DK210" s="432"/>
      <c r="DL210" s="432"/>
      <c r="DM210" s="432" t="s">
        <v>129</v>
      </c>
      <c r="DN210" s="432"/>
      <c r="DO210" s="432"/>
      <c r="DP210" s="432"/>
      <c r="DQ210" s="432"/>
      <c r="DR210" s="432"/>
      <c r="DS210" s="432"/>
      <c r="ED210" s="434">
        <v>0.6</v>
      </c>
      <c r="EE210" s="432"/>
      <c r="EF210" s="432"/>
      <c r="EG210" s="216">
        <f>EG209*ED210</f>
        <v>4410</v>
      </c>
      <c r="EH210" s="432" t="s">
        <v>128</v>
      </c>
      <c r="EI210" s="432"/>
      <c r="EJ210" s="432"/>
      <c r="EK210" s="432"/>
      <c r="EL210" s="432"/>
      <c r="EM210" s="432" t="s">
        <v>129</v>
      </c>
      <c r="EN210" s="432"/>
      <c r="EO210" s="432"/>
      <c r="EP210" s="432"/>
      <c r="EQ210" s="432"/>
      <c r="ER210" s="432"/>
      <c r="ES210" s="432"/>
    </row>
    <row r="211" spans="54:202" ht="15" hidden="1" x14ac:dyDescent="0.25">
      <c r="BB211" s="434">
        <v>0.6</v>
      </c>
      <c r="BC211" s="432"/>
      <c r="BD211" s="432"/>
      <c r="BE211" s="216">
        <f>BE210*BB211</f>
        <v>7260</v>
      </c>
      <c r="BF211" s="432" t="s">
        <v>128</v>
      </c>
      <c r="BG211" s="432"/>
      <c r="BH211" s="432"/>
      <c r="BI211" s="432"/>
      <c r="BJ211" s="432"/>
      <c r="BK211" s="432" t="s">
        <v>129</v>
      </c>
      <c r="BL211" s="432"/>
      <c r="BM211" s="432"/>
      <c r="BN211" s="432"/>
      <c r="BO211" s="432"/>
      <c r="BP211" s="432"/>
      <c r="BQ211" s="432"/>
      <c r="DD211" s="432">
        <v>211</v>
      </c>
      <c r="DE211" s="432"/>
      <c r="DF211" s="432"/>
      <c r="DG211" s="216">
        <f>DG210-DG212</f>
        <v>622.11981566820282</v>
      </c>
      <c r="DH211" s="435">
        <f>DG211*0.1</f>
        <v>62.211981566820285</v>
      </c>
      <c r="DI211" s="435"/>
      <c r="DJ211" s="435"/>
      <c r="DK211" s="435"/>
      <c r="DL211" s="435"/>
      <c r="DM211" s="435">
        <f>DG211-DH211</f>
        <v>559.90783410138249</v>
      </c>
      <c r="DN211" s="432"/>
      <c r="DO211" s="432"/>
      <c r="DP211" s="432"/>
      <c r="DQ211" s="432"/>
      <c r="DR211" s="432"/>
      <c r="DS211" s="432"/>
      <c r="ED211" s="432">
        <v>211</v>
      </c>
      <c r="EE211" s="432"/>
      <c r="EF211" s="432"/>
      <c r="EG211" s="216">
        <f>EG210-EG212</f>
        <v>3387.0967741935483</v>
      </c>
      <c r="EH211" s="435">
        <f>EG211*0.1</f>
        <v>338.70967741935488</v>
      </c>
      <c r="EI211" s="435"/>
      <c r="EJ211" s="435"/>
      <c r="EK211" s="435"/>
      <c r="EL211" s="435"/>
      <c r="EM211" s="435">
        <f>EG211-EH211</f>
        <v>3048.3870967741932</v>
      </c>
      <c r="EN211" s="432"/>
      <c r="EO211" s="432"/>
      <c r="EP211" s="432"/>
      <c r="EQ211" s="432"/>
      <c r="ER211" s="432"/>
      <c r="ES211" s="432"/>
      <c r="GI211" s="432" t="s">
        <v>368</v>
      </c>
      <c r="GJ211" s="443"/>
      <c r="GK211" s="443"/>
      <c r="GL211" s="443"/>
      <c r="GO211" s="444" t="s">
        <v>366</v>
      </c>
      <c r="GP211" s="441"/>
      <c r="GQ211" s="441"/>
      <c r="GR211" s="441"/>
      <c r="GS211" s="441"/>
      <c r="GT211" s="441"/>
    </row>
    <row r="212" spans="54:202" ht="15" hidden="1" x14ac:dyDescent="0.25">
      <c r="BB212" s="432">
        <v>211</v>
      </c>
      <c r="BC212" s="432"/>
      <c r="BD212" s="432"/>
      <c r="BE212" s="216">
        <f>BE211-BE213</f>
        <v>5576.0368663594472</v>
      </c>
      <c r="BF212" s="435">
        <f>BE212*0.2</f>
        <v>1115.2073732718895</v>
      </c>
      <c r="BG212" s="435"/>
      <c r="BH212" s="435"/>
      <c r="BI212" s="435"/>
      <c r="BJ212" s="435"/>
      <c r="BK212" s="436">
        <f>BE212-BF212</f>
        <v>4460.8294930875581</v>
      </c>
      <c r="BL212" s="445"/>
      <c r="BM212" s="445"/>
      <c r="BN212" s="445"/>
      <c r="BO212" s="445"/>
      <c r="BP212" s="445"/>
      <c r="BQ212" s="445"/>
      <c r="DD212" s="432">
        <v>213</v>
      </c>
      <c r="DE212" s="432"/>
      <c r="DF212" s="432"/>
      <c r="DG212" s="216">
        <f>DG210*30.2/130.2</f>
        <v>187.88018433179724</v>
      </c>
      <c r="DH212" s="435">
        <f>DH211*30.2%</f>
        <v>18.788018433179726</v>
      </c>
      <c r="DI212" s="435"/>
      <c r="DJ212" s="435"/>
      <c r="DK212" s="435"/>
      <c r="DL212" s="435"/>
      <c r="DM212" s="435">
        <f>DM211*30.2%</f>
        <v>169.09216589861751</v>
      </c>
      <c r="DN212" s="435"/>
      <c r="DO212" s="435"/>
      <c r="DP212" s="435"/>
      <c r="DQ212" s="435"/>
      <c r="DR212" s="435"/>
      <c r="DS212" s="435"/>
      <c r="ED212" s="432">
        <v>213</v>
      </c>
      <c r="EE212" s="432"/>
      <c r="EF212" s="432"/>
      <c r="EG212" s="216">
        <f>EG210*30.2/130.2</f>
        <v>1022.9032258064517</v>
      </c>
      <c r="EH212" s="435">
        <f>EH211*30.2%</f>
        <v>102.29032258064517</v>
      </c>
      <c r="EI212" s="435"/>
      <c r="EJ212" s="435"/>
      <c r="EK212" s="435"/>
      <c r="EL212" s="435"/>
      <c r="EM212" s="435">
        <f>EM211*30.2%</f>
        <v>920.61290322580635</v>
      </c>
      <c r="EN212" s="435"/>
      <c r="EO212" s="435"/>
      <c r="EP212" s="435"/>
      <c r="EQ212" s="435"/>
      <c r="ER212" s="435"/>
      <c r="ES212" s="435"/>
      <c r="GI212" s="437">
        <f>BF212*15/20</f>
        <v>836.40552995391715</v>
      </c>
      <c r="GJ212" s="446"/>
      <c r="GK212" s="446"/>
      <c r="GL212" s="446"/>
      <c r="GO212" s="437">
        <f>BF212*5/20</f>
        <v>278.80184331797238</v>
      </c>
      <c r="GP212" s="446"/>
      <c r="GQ212" s="446"/>
      <c r="GR212" s="446"/>
      <c r="GS212" s="446"/>
      <c r="GT212" s="446"/>
    </row>
    <row r="213" spans="54:202" ht="12" hidden="1" x14ac:dyDescent="0.2">
      <c r="BB213" s="432">
        <v>213</v>
      </c>
      <c r="BC213" s="432"/>
      <c r="BD213" s="432"/>
      <c r="BE213" s="216">
        <f>BE211*30.2/130.2</f>
        <v>1683.9631336405532</v>
      </c>
      <c r="BF213" s="435">
        <f>BF212*30.2%</f>
        <v>336.79262672811063</v>
      </c>
      <c r="BG213" s="435"/>
      <c r="BH213" s="435"/>
      <c r="BI213" s="435"/>
      <c r="BJ213" s="435"/>
      <c r="BK213" s="435">
        <f>BK212*30.2%</f>
        <v>1347.1705069124425</v>
      </c>
      <c r="BL213" s="435"/>
      <c r="BM213" s="435"/>
      <c r="BN213" s="435"/>
      <c r="BO213" s="435"/>
      <c r="BP213" s="435"/>
      <c r="BQ213" s="435"/>
    </row>
    <row r="214" spans="54:202" ht="8.25" hidden="1" customHeight="1" x14ac:dyDescent="0.2"/>
    <row r="215" spans="54:202" ht="12" hidden="1" x14ac:dyDescent="0.2"/>
    <row r="216" spans="54:202" ht="12" hidden="1" x14ac:dyDescent="0.2">
      <c r="BB216" s="432" t="s">
        <v>467</v>
      </c>
      <c r="BC216" s="432"/>
      <c r="BD216" s="432"/>
      <c r="BE216" s="432"/>
      <c r="BF216" s="432"/>
      <c r="BG216" s="432"/>
      <c r="BH216" s="432"/>
      <c r="BI216" s="432"/>
      <c r="BJ216" s="432"/>
      <c r="BK216" s="432"/>
      <c r="BL216" s="432"/>
      <c r="BM216" s="432"/>
      <c r="BN216" s="432"/>
      <c r="BO216" s="432"/>
      <c r="BP216" s="432"/>
      <c r="BQ216" s="432"/>
      <c r="BR216" s="432"/>
      <c r="BS216" s="432"/>
      <c r="BT216" s="432"/>
      <c r="BU216" s="432"/>
      <c r="BV216" s="432"/>
      <c r="BW216" s="432"/>
      <c r="BX216" s="432"/>
      <c r="DD216" s="432" t="s">
        <v>126</v>
      </c>
      <c r="DE216" s="432"/>
      <c r="DF216" s="432"/>
      <c r="DG216" s="433">
        <f>150*9</f>
        <v>1350</v>
      </c>
      <c r="DH216" s="433"/>
      <c r="DI216" s="433"/>
      <c r="DJ216" s="433"/>
      <c r="DK216" s="433"/>
      <c r="DL216" s="291" t="s">
        <v>127</v>
      </c>
      <c r="DM216" s="291"/>
      <c r="DN216" s="291"/>
      <c r="DO216" s="291"/>
      <c r="DP216" s="291"/>
      <c r="DQ216" s="291"/>
      <c r="DR216" s="291"/>
      <c r="DS216" s="291"/>
      <c r="ED216" s="432" t="s">
        <v>126</v>
      </c>
      <c r="EE216" s="432"/>
      <c r="EF216" s="432"/>
      <c r="EG216" s="433">
        <f>150*49</f>
        <v>7350</v>
      </c>
      <c r="EH216" s="433"/>
      <c r="EI216" s="433"/>
      <c r="EJ216" s="433"/>
      <c r="EK216" s="433"/>
      <c r="EL216" s="291" t="s">
        <v>127</v>
      </c>
      <c r="EM216" s="291"/>
      <c r="EN216" s="291"/>
      <c r="EO216" s="291"/>
      <c r="EP216" s="291"/>
      <c r="EQ216" s="291"/>
      <c r="ER216" s="291"/>
      <c r="ES216" s="291"/>
    </row>
    <row r="217" spans="54:202" ht="12" hidden="1" x14ac:dyDescent="0.2">
      <c r="BB217" s="432" t="s">
        <v>126</v>
      </c>
      <c r="BC217" s="432"/>
      <c r="BD217" s="432"/>
      <c r="BE217" s="433">
        <f>220*107</f>
        <v>23540</v>
      </c>
      <c r="BF217" s="433"/>
      <c r="BG217" s="433"/>
      <c r="BH217" s="433"/>
      <c r="BI217" s="433"/>
      <c r="BJ217" s="291" t="s">
        <v>127</v>
      </c>
      <c r="BK217" s="291"/>
      <c r="BL217" s="291"/>
      <c r="BM217" s="291"/>
      <c r="BN217" s="291"/>
      <c r="BO217" s="291"/>
      <c r="BP217" s="291"/>
      <c r="BQ217" s="291"/>
      <c r="DD217" s="434">
        <v>0.6</v>
      </c>
      <c r="DE217" s="432"/>
      <c r="DF217" s="432"/>
      <c r="DG217" s="216">
        <f>DG216*DD217</f>
        <v>810</v>
      </c>
      <c r="DH217" s="432" t="s">
        <v>128</v>
      </c>
      <c r="DI217" s="432"/>
      <c r="DJ217" s="432"/>
      <c r="DK217" s="432"/>
      <c r="DL217" s="432"/>
      <c r="DM217" s="432" t="s">
        <v>129</v>
      </c>
      <c r="DN217" s="432"/>
      <c r="DO217" s="432"/>
      <c r="DP217" s="432"/>
      <c r="DQ217" s="432"/>
      <c r="DR217" s="432"/>
      <c r="DS217" s="432"/>
      <c r="ED217" s="434">
        <v>0.6</v>
      </c>
      <c r="EE217" s="432"/>
      <c r="EF217" s="432"/>
      <c r="EG217" s="216">
        <f>EG216*ED217</f>
        <v>4410</v>
      </c>
      <c r="EH217" s="432" t="s">
        <v>128</v>
      </c>
      <c r="EI217" s="432"/>
      <c r="EJ217" s="432"/>
      <c r="EK217" s="432"/>
      <c r="EL217" s="432"/>
      <c r="EM217" s="432" t="s">
        <v>129</v>
      </c>
      <c r="EN217" s="432"/>
      <c r="EO217" s="432"/>
      <c r="EP217" s="432"/>
      <c r="EQ217" s="432"/>
      <c r="ER217" s="432"/>
      <c r="ES217" s="432"/>
    </row>
    <row r="218" spans="54:202" ht="15" hidden="1" x14ac:dyDescent="0.25">
      <c r="BB218" s="434">
        <v>0.6</v>
      </c>
      <c r="BC218" s="432"/>
      <c r="BD218" s="432"/>
      <c r="BE218" s="216">
        <f>BE217*BB218</f>
        <v>14124</v>
      </c>
      <c r="BF218" s="432" t="s">
        <v>128</v>
      </c>
      <c r="BG218" s="432"/>
      <c r="BH218" s="432"/>
      <c r="BI218" s="432"/>
      <c r="BJ218" s="432"/>
      <c r="BK218" s="432" t="s">
        <v>129</v>
      </c>
      <c r="BL218" s="432"/>
      <c r="BM218" s="432"/>
      <c r="BN218" s="432"/>
      <c r="BO218" s="432"/>
      <c r="BP218" s="432"/>
      <c r="BQ218" s="432"/>
      <c r="DD218" s="432">
        <v>211</v>
      </c>
      <c r="DE218" s="432"/>
      <c r="DF218" s="432"/>
      <c r="DG218" s="216">
        <f>DG217-DG219</f>
        <v>622.11981566820282</v>
      </c>
      <c r="DH218" s="435">
        <f>DG218*0.1</f>
        <v>62.211981566820285</v>
      </c>
      <c r="DI218" s="435"/>
      <c r="DJ218" s="435"/>
      <c r="DK218" s="435"/>
      <c r="DL218" s="435"/>
      <c r="DM218" s="435">
        <f>DG218-DH218</f>
        <v>559.90783410138249</v>
      </c>
      <c r="DN218" s="432"/>
      <c r="DO218" s="432"/>
      <c r="DP218" s="432"/>
      <c r="DQ218" s="432"/>
      <c r="DR218" s="432"/>
      <c r="DS218" s="432"/>
      <c r="ED218" s="432">
        <v>211</v>
      </c>
      <c r="EE218" s="432"/>
      <c r="EF218" s="432"/>
      <c r="EG218" s="216">
        <f>EG217-EG219</f>
        <v>3387.0967741935483</v>
      </c>
      <c r="EH218" s="435">
        <f>EG218*0.1</f>
        <v>338.70967741935488</v>
      </c>
      <c r="EI218" s="435"/>
      <c r="EJ218" s="435"/>
      <c r="EK218" s="435"/>
      <c r="EL218" s="435"/>
      <c r="EM218" s="435">
        <f>EG218-EH218</f>
        <v>3048.3870967741932</v>
      </c>
      <c r="EN218" s="432"/>
      <c r="EO218" s="432"/>
      <c r="EP218" s="432"/>
      <c r="EQ218" s="432"/>
      <c r="ER218" s="432"/>
      <c r="ES218" s="432"/>
      <c r="GI218" s="432" t="s">
        <v>368</v>
      </c>
      <c r="GJ218" s="443"/>
      <c r="GK218" s="443"/>
      <c r="GL218" s="443"/>
      <c r="GO218" s="444" t="s">
        <v>366</v>
      </c>
      <c r="GP218" s="441"/>
      <c r="GQ218" s="441"/>
      <c r="GR218" s="441"/>
      <c r="GS218" s="441"/>
      <c r="GT218" s="441"/>
    </row>
    <row r="219" spans="54:202" ht="15" hidden="1" x14ac:dyDescent="0.25">
      <c r="BB219" s="432">
        <v>211</v>
      </c>
      <c r="BC219" s="432"/>
      <c r="BD219" s="432"/>
      <c r="BE219" s="216">
        <f>BE218-BE220</f>
        <v>10847.926267281106</v>
      </c>
      <c r="BF219" s="435">
        <f>BE219*0.2</f>
        <v>2169.5852534562214</v>
      </c>
      <c r="BG219" s="435"/>
      <c r="BH219" s="435"/>
      <c r="BI219" s="435"/>
      <c r="BJ219" s="435"/>
      <c r="BK219" s="436">
        <f>BE219-BF219</f>
        <v>8678.3410138248837</v>
      </c>
      <c r="BL219" s="445"/>
      <c r="BM219" s="445"/>
      <c r="BN219" s="445"/>
      <c r="BO219" s="445"/>
      <c r="BP219" s="445"/>
      <c r="BQ219" s="445"/>
      <c r="DD219" s="432">
        <v>213</v>
      </c>
      <c r="DE219" s="432"/>
      <c r="DF219" s="432"/>
      <c r="DG219" s="216">
        <f>DG217*30.2/130.2</f>
        <v>187.88018433179724</v>
      </c>
      <c r="DH219" s="435">
        <f>DH218*30.2%</f>
        <v>18.788018433179726</v>
      </c>
      <c r="DI219" s="435"/>
      <c r="DJ219" s="435"/>
      <c r="DK219" s="435"/>
      <c r="DL219" s="435"/>
      <c r="DM219" s="435">
        <f>DM218*30.2%</f>
        <v>169.09216589861751</v>
      </c>
      <c r="DN219" s="435"/>
      <c r="DO219" s="435"/>
      <c r="DP219" s="435"/>
      <c r="DQ219" s="435"/>
      <c r="DR219" s="435"/>
      <c r="DS219" s="435"/>
      <c r="ED219" s="432">
        <v>213</v>
      </c>
      <c r="EE219" s="432"/>
      <c r="EF219" s="432"/>
      <c r="EG219" s="216">
        <f>EG217*30.2/130.2</f>
        <v>1022.9032258064517</v>
      </c>
      <c r="EH219" s="435">
        <f>EH218*30.2%</f>
        <v>102.29032258064517</v>
      </c>
      <c r="EI219" s="435"/>
      <c r="EJ219" s="435"/>
      <c r="EK219" s="435"/>
      <c r="EL219" s="435"/>
      <c r="EM219" s="435">
        <f>EM218*30.2%</f>
        <v>920.61290322580635</v>
      </c>
      <c r="EN219" s="435"/>
      <c r="EO219" s="435"/>
      <c r="EP219" s="435"/>
      <c r="EQ219" s="435"/>
      <c r="ER219" s="435"/>
      <c r="ES219" s="435"/>
      <c r="GI219" s="437">
        <f>BF219*15/20</f>
        <v>1627.1889400921659</v>
      </c>
      <c r="GJ219" s="446"/>
      <c r="GK219" s="446"/>
      <c r="GL219" s="446"/>
      <c r="GO219" s="437">
        <f>BF219*5/20</f>
        <v>542.39631336405535</v>
      </c>
      <c r="GP219" s="446"/>
      <c r="GQ219" s="446"/>
      <c r="GR219" s="446"/>
      <c r="GS219" s="446"/>
      <c r="GT219" s="446"/>
    </row>
    <row r="220" spans="54:202" ht="12" hidden="1" x14ac:dyDescent="0.2">
      <c r="BB220" s="432">
        <v>213</v>
      </c>
      <c r="BC220" s="432"/>
      <c r="BD220" s="432"/>
      <c r="BE220" s="216">
        <f>BE218*30.2/130.2</f>
        <v>3276.073732718894</v>
      </c>
      <c r="BF220" s="435">
        <f>BF219*30.2%</f>
        <v>655.2147465437788</v>
      </c>
      <c r="BG220" s="435"/>
      <c r="BH220" s="435"/>
      <c r="BI220" s="435"/>
      <c r="BJ220" s="435"/>
      <c r="BK220" s="435">
        <f>BK219*30.2%</f>
        <v>2620.8589861751148</v>
      </c>
      <c r="BL220" s="435"/>
      <c r="BM220" s="435"/>
      <c r="BN220" s="435"/>
      <c r="BO220" s="435"/>
      <c r="BP220" s="435"/>
      <c r="BQ220" s="435"/>
    </row>
    <row r="221" spans="54:202" ht="8.25" hidden="1" customHeight="1" x14ac:dyDescent="0.2"/>
    <row r="222" spans="54:202" ht="8.25" hidden="1" customHeight="1" x14ac:dyDescent="0.2"/>
    <row r="223" spans="54:202" ht="8.25" hidden="1" customHeight="1" x14ac:dyDescent="0.2"/>
    <row r="224" spans="54:202" ht="8.25" hidden="1" customHeight="1" x14ac:dyDescent="0.2"/>
    <row r="225" spans="54:202" ht="12" hidden="1" x14ac:dyDescent="0.2">
      <c r="BB225" s="432" t="s">
        <v>497</v>
      </c>
      <c r="BC225" s="432"/>
      <c r="BD225" s="432"/>
      <c r="BE225" s="432"/>
      <c r="BF225" s="432"/>
      <c r="BG225" s="432"/>
      <c r="BH225" s="432"/>
      <c r="BI225" s="432"/>
      <c r="BJ225" s="432"/>
      <c r="BK225" s="432"/>
      <c r="BL225" s="432"/>
      <c r="BM225" s="432"/>
      <c r="BN225" s="432"/>
      <c r="BO225" s="432"/>
      <c r="BP225" s="432"/>
      <c r="BQ225" s="432"/>
      <c r="BR225" s="432"/>
      <c r="BS225" s="432"/>
      <c r="BT225" s="432"/>
      <c r="BU225" s="432"/>
      <c r="BV225" s="432"/>
      <c r="BW225" s="432"/>
      <c r="BX225" s="432"/>
      <c r="DD225" s="432" t="s">
        <v>126</v>
      </c>
      <c r="DE225" s="432"/>
      <c r="DF225" s="432"/>
      <c r="DG225" s="433">
        <f>150*9</f>
        <v>1350</v>
      </c>
      <c r="DH225" s="433"/>
      <c r="DI225" s="433"/>
      <c r="DJ225" s="433"/>
      <c r="DK225" s="433"/>
      <c r="DL225" s="295" t="s">
        <v>127</v>
      </c>
      <c r="DM225" s="295"/>
      <c r="DN225" s="295"/>
      <c r="DO225" s="295"/>
      <c r="DP225" s="295"/>
      <c r="DQ225" s="295"/>
      <c r="DR225" s="295"/>
      <c r="DS225" s="295"/>
      <c r="ED225" s="432" t="s">
        <v>126</v>
      </c>
      <c r="EE225" s="432"/>
      <c r="EF225" s="432"/>
      <c r="EG225" s="433">
        <f>150*49</f>
        <v>7350</v>
      </c>
      <c r="EH225" s="433"/>
      <c r="EI225" s="433"/>
      <c r="EJ225" s="433"/>
      <c r="EK225" s="433"/>
      <c r="EL225" s="295" t="s">
        <v>127</v>
      </c>
      <c r="EM225" s="295"/>
      <c r="EN225" s="295"/>
      <c r="EO225" s="295"/>
      <c r="EP225" s="295"/>
      <c r="EQ225" s="295"/>
      <c r="ER225" s="295"/>
      <c r="ES225" s="295"/>
    </row>
    <row r="226" spans="54:202" ht="12" hidden="1" x14ac:dyDescent="0.2">
      <c r="BB226" s="432" t="s">
        <v>126</v>
      </c>
      <c r="BC226" s="432"/>
      <c r="BD226" s="432"/>
      <c r="BE226" s="433">
        <f>220*72</f>
        <v>15840</v>
      </c>
      <c r="BF226" s="433"/>
      <c r="BG226" s="433"/>
      <c r="BH226" s="433"/>
      <c r="BI226" s="433"/>
      <c r="BJ226" s="295" t="s">
        <v>127</v>
      </c>
      <c r="BK226" s="295"/>
      <c r="BL226" s="295"/>
      <c r="BM226" s="295"/>
      <c r="BN226" s="295"/>
      <c r="BO226" s="295"/>
      <c r="BP226" s="295"/>
      <c r="BQ226" s="295"/>
      <c r="DD226" s="434">
        <v>0.6</v>
      </c>
      <c r="DE226" s="432"/>
      <c r="DF226" s="432"/>
      <c r="DG226" s="216">
        <f>DG225*DD226</f>
        <v>810</v>
      </c>
      <c r="DH226" s="432" t="s">
        <v>128</v>
      </c>
      <c r="DI226" s="432"/>
      <c r="DJ226" s="432"/>
      <c r="DK226" s="432"/>
      <c r="DL226" s="432"/>
      <c r="DM226" s="432" t="s">
        <v>129</v>
      </c>
      <c r="DN226" s="432"/>
      <c r="DO226" s="432"/>
      <c r="DP226" s="432"/>
      <c r="DQ226" s="432"/>
      <c r="DR226" s="432"/>
      <c r="DS226" s="432"/>
      <c r="ED226" s="434">
        <v>0.6</v>
      </c>
      <c r="EE226" s="432"/>
      <c r="EF226" s="432"/>
      <c r="EG226" s="216">
        <f>EG225*ED226</f>
        <v>4410</v>
      </c>
      <c r="EH226" s="432" t="s">
        <v>128</v>
      </c>
      <c r="EI226" s="432"/>
      <c r="EJ226" s="432"/>
      <c r="EK226" s="432"/>
      <c r="EL226" s="432"/>
      <c r="EM226" s="432" t="s">
        <v>129</v>
      </c>
      <c r="EN226" s="432"/>
      <c r="EO226" s="432"/>
      <c r="EP226" s="432"/>
      <c r="EQ226" s="432"/>
      <c r="ER226" s="432"/>
      <c r="ES226" s="432"/>
    </row>
    <row r="227" spans="54:202" ht="15" hidden="1" x14ac:dyDescent="0.25">
      <c r="BB227" s="434">
        <v>0.6</v>
      </c>
      <c r="BC227" s="432"/>
      <c r="BD227" s="432"/>
      <c r="BE227" s="216">
        <f>BE226*BB227</f>
        <v>9504</v>
      </c>
      <c r="BF227" s="432" t="s">
        <v>128</v>
      </c>
      <c r="BG227" s="432"/>
      <c r="BH227" s="432"/>
      <c r="BI227" s="432"/>
      <c r="BJ227" s="432"/>
      <c r="BK227" s="432" t="s">
        <v>129</v>
      </c>
      <c r="BL227" s="432"/>
      <c r="BM227" s="432"/>
      <c r="BN227" s="432"/>
      <c r="BO227" s="432"/>
      <c r="BP227" s="432"/>
      <c r="BQ227" s="432"/>
      <c r="DD227" s="432">
        <v>211</v>
      </c>
      <c r="DE227" s="432"/>
      <c r="DF227" s="432"/>
      <c r="DG227" s="216">
        <f>DG226-DG228</f>
        <v>622.11981566820282</v>
      </c>
      <c r="DH227" s="435">
        <f>DG227*0.1</f>
        <v>62.211981566820285</v>
      </c>
      <c r="DI227" s="435"/>
      <c r="DJ227" s="435"/>
      <c r="DK227" s="435"/>
      <c r="DL227" s="435"/>
      <c r="DM227" s="435">
        <f>DG227-DH227</f>
        <v>559.90783410138249</v>
      </c>
      <c r="DN227" s="432"/>
      <c r="DO227" s="432"/>
      <c r="DP227" s="432"/>
      <c r="DQ227" s="432"/>
      <c r="DR227" s="432"/>
      <c r="DS227" s="432"/>
      <c r="ED227" s="432">
        <v>211</v>
      </c>
      <c r="EE227" s="432"/>
      <c r="EF227" s="432"/>
      <c r="EG227" s="216">
        <f>EG226-EG228</f>
        <v>3387.0967741935483</v>
      </c>
      <c r="EH227" s="435">
        <f>EG227*0.1</f>
        <v>338.70967741935488</v>
      </c>
      <c r="EI227" s="435"/>
      <c r="EJ227" s="435"/>
      <c r="EK227" s="435"/>
      <c r="EL227" s="435"/>
      <c r="EM227" s="435">
        <f>EG227-EH227</f>
        <v>3048.3870967741932</v>
      </c>
      <c r="EN227" s="432"/>
      <c r="EO227" s="432"/>
      <c r="EP227" s="432"/>
      <c r="EQ227" s="432"/>
      <c r="ER227" s="432"/>
      <c r="ES227" s="432"/>
      <c r="GI227" s="432" t="s">
        <v>368</v>
      </c>
      <c r="GJ227" s="443"/>
      <c r="GK227" s="443"/>
      <c r="GL227" s="443"/>
      <c r="GO227" s="444" t="s">
        <v>366</v>
      </c>
      <c r="GP227" s="441"/>
      <c r="GQ227" s="441"/>
      <c r="GR227" s="441"/>
      <c r="GS227" s="441"/>
      <c r="GT227" s="441"/>
    </row>
    <row r="228" spans="54:202" ht="15" hidden="1" x14ac:dyDescent="0.25">
      <c r="BB228" s="432">
        <v>211</v>
      </c>
      <c r="BC228" s="432"/>
      <c r="BD228" s="432"/>
      <c r="BE228" s="216">
        <f>BE227-BE229</f>
        <v>7299.5391705069123</v>
      </c>
      <c r="BF228" s="435">
        <f>BE228*0.2</f>
        <v>1459.9078341013826</v>
      </c>
      <c r="BG228" s="435"/>
      <c r="BH228" s="435"/>
      <c r="BI228" s="435"/>
      <c r="BJ228" s="435"/>
      <c r="BK228" s="436">
        <f>BE228-BF228</f>
        <v>5839.6313364055295</v>
      </c>
      <c r="BL228" s="445"/>
      <c r="BM228" s="445"/>
      <c r="BN228" s="445"/>
      <c r="BO228" s="445"/>
      <c r="BP228" s="445"/>
      <c r="BQ228" s="445"/>
      <c r="DD228" s="432">
        <v>213</v>
      </c>
      <c r="DE228" s="432"/>
      <c r="DF228" s="432"/>
      <c r="DG228" s="216">
        <f>DG226*30.2/130.2</f>
        <v>187.88018433179724</v>
      </c>
      <c r="DH228" s="435">
        <f>DH227*30.2%</f>
        <v>18.788018433179726</v>
      </c>
      <c r="DI228" s="435"/>
      <c r="DJ228" s="435"/>
      <c r="DK228" s="435"/>
      <c r="DL228" s="435"/>
      <c r="DM228" s="435">
        <f>DM227*30.2%</f>
        <v>169.09216589861751</v>
      </c>
      <c r="DN228" s="435"/>
      <c r="DO228" s="435"/>
      <c r="DP228" s="435"/>
      <c r="DQ228" s="435"/>
      <c r="DR228" s="435"/>
      <c r="DS228" s="435"/>
      <c r="ED228" s="432">
        <v>213</v>
      </c>
      <c r="EE228" s="432"/>
      <c r="EF228" s="432"/>
      <c r="EG228" s="216">
        <f>EG226*30.2/130.2</f>
        <v>1022.9032258064517</v>
      </c>
      <c r="EH228" s="435">
        <f>EH227*30.2%</f>
        <v>102.29032258064517</v>
      </c>
      <c r="EI228" s="435"/>
      <c r="EJ228" s="435"/>
      <c r="EK228" s="435"/>
      <c r="EL228" s="435"/>
      <c r="EM228" s="435">
        <f>EM227*30.2%</f>
        <v>920.61290322580635</v>
      </c>
      <c r="EN228" s="435"/>
      <c r="EO228" s="435"/>
      <c r="EP228" s="435"/>
      <c r="EQ228" s="435"/>
      <c r="ER228" s="435"/>
      <c r="ES228" s="435"/>
      <c r="GI228" s="437">
        <f>BF228*15/20</f>
        <v>1094.9308755760371</v>
      </c>
      <c r="GJ228" s="446"/>
      <c r="GK228" s="446"/>
      <c r="GL228" s="446"/>
      <c r="GO228" s="437">
        <f>BF228*5/20</f>
        <v>364.97695852534565</v>
      </c>
      <c r="GP228" s="446"/>
      <c r="GQ228" s="446"/>
      <c r="GR228" s="446"/>
      <c r="GS228" s="446"/>
      <c r="GT228" s="446"/>
    </row>
    <row r="229" spans="54:202" ht="12" hidden="1" x14ac:dyDescent="0.2">
      <c r="BB229" s="432">
        <v>213</v>
      </c>
      <c r="BC229" s="432"/>
      <c r="BD229" s="432"/>
      <c r="BE229" s="216">
        <f>BE227*30.2/130.2</f>
        <v>2204.4608294930877</v>
      </c>
      <c r="BF229" s="435">
        <f>BF228*30.2%</f>
        <v>440.89216589861752</v>
      </c>
      <c r="BG229" s="435"/>
      <c r="BH229" s="435"/>
      <c r="BI229" s="435"/>
      <c r="BJ229" s="435"/>
      <c r="BK229" s="435">
        <f>BK228*30.2%</f>
        <v>1763.5686635944699</v>
      </c>
      <c r="BL229" s="435"/>
      <c r="BM229" s="435"/>
      <c r="BN229" s="435"/>
      <c r="BO229" s="435"/>
      <c r="BP229" s="435"/>
      <c r="BQ229" s="435"/>
    </row>
    <row r="230" spans="54:202" ht="12" hidden="1" x14ac:dyDescent="0.2"/>
    <row r="231" spans="54:202" ht="8.25" hidden="1" customHeight="1" x14ac:dyDescent="0.2"/>
    <row r="232" spans="54:202" ht="12" hidden="1" x14ac:dyDescent="0.2">
      <c r="BB232" s="432" t="s">
        <v>498</v>
      </c>
      <c r="BC232" s="432"/>
      <c r="BD232" s="432"/>
      <c r="BE232" s="432"/>
      <c r="BF232" s="432"/>
      <c r="BG232" s="432"/>
      <c r="BH232" s="432"/>
      <c r="BI232" s="432"/>
      <c r="BJ232" s="432"/>
      <c r="BK232" s="432"/>
      <c r="BL232" s="432"/>
      <c r="BM232" s="432"/>
      <c r="BN232" s="432"/>
      <c r="BO232" s="432"/>
      <c r="BP232" s="432"/>
      <c r="BQ232" s="432"/>
      <c r="BR232" s="432"/>
      <c r="BS232" s="432"/>
      <c r="BT232" s="432"/>
      <c r="BU232" s="432"/>
      <c r="BV232" s="432"/>
      <c r="BW232" s="432"/>
      <c r="BX232" s="432"/>
      <c r="DD232" s="432" t="s">
        <v>126</v>
      </c>
      <c r="DE232" s="432"/>
      <c r="DF232" s="432"/>
      <c r="DG232" s="433">
        <f>150*9</f>
        <v>1350</v>
      </c>
      <c r="DH232" s="433"/>
      <c r="DI232" s="433"/>
      <c r="DJ232" s="433"/>
      <c r="DK232" s="433"/>
      <c r="DL232" s="297" t="s">
        <v>127</v>
      </c>
      <c r="DM232" s="297"/>
      <c r="DN232" s="297"/>
      <c r="DO232" s="297"/>
      <c r="DP232" s="297"/>
      <c r="DQ232" s="297"/>
      <c r="DR232" s="297"/>
      <c r="DS232" s="297"/>
      <c r="ED232" s="432" t="s">
        <v>126</v>
      </c>
      <c r="EE232" s="432"/>
      <c r="EF232" s="432"/>
      <c r="EG232" s="433">
        <f>150*49</f>
        <v>7350</v>
      </c>
      <c r="EH232" s="433"/>
      <c r="EI232" s="433"/>
      <c r="EJ232" s="433"/>
      <c r="EK232" s="433"/>
      <c r="EL232" s="297" t="s">
        <v>127</v>
      </c>
      <c r="EM232" s="297"/>
      <c r="EN232" s="297"/>
      <c r="EO232" s="297"/>
      <c r="EP232" s="297"/>
      <c r="EQ232" s="297"/>
      <c r="ER232" s="297"/>
      <c r="ES232" s="297"/>
    </row>
    <row r="233" spans="54:202" ht="12" hidden="1" x14ac:dyDescent="0.2">
      <c r="BB233" s="432" t="s">
        <v>126</v>
      </c>
      <c r="BC233" s="432"/>
      <c r="BD233" s="432"/>
      <c r="BE233" s="433">
        <f>220*42</f>
        <v>9240</v>
      </c>
      <c r="BF233" s="433"/>
      <c r="BG233" s="433"/>
      <c r="BH233" s="433"/>
      <c r="BI233" s="433"/>
      <c r="BJ233" s="297" t="s">
        <v>127</v>
      </c>
      <c r="BK233" s="297"/>
      <c r="BL233" s="297"/>
      <c r="BM233" s="297"/>
      <c r="BN233" s="297"/>
      <c r="BO233" s="297"/>
      <c r="BP233" s="297"/>
      <c r="BQ233" s="297"/>
      <c r="DD233" s="434">
        <v>0.6</v>
      </c>
      <c r="DE233" s="432"/>
      <c r="DF233" s="432"/>
      <c r="DG233" s="216">
        <f>DG232*DD233</f>
        <v>810</v>
      </c>
      <c r="DH233" s="432" t="s">
        <v>128</v>
      </c>
      <c r="DI233" s="432"/>
      <c r="DJ233" s="432"/>
      <c r="DK233" s="432"/>
      <c r="DL233" s="432"/>
      <c r="DM233" s="432" t="s">
        <v>129</v>
      </c>
      <c r="DN233" s="432"/>
      <c r="DO233" s="432"/>
      <c r="DP233" s="432"/>
      <c r="DQ233" s="432"/>
      <c r="DR233" s="432"/>
      <c r="DS233" s="432"/>
      <c r="ED233" s="434">
        <v>0.6</v>
      </c>
      <c r="EE233" s="432"/>
      <c r="EF233" s="432"/>
      <c r="EG233" s="216">
        <f>EG232*ED233</f>
        <v>4410</v>
      </c>
      <c r="EH233" s="432" t="s">
        <v>128</v>
      </c>
      <c r="EI233" s="432"/>
      <c r="EJ233" s="432"/>
      <c r="EK233" s="432"/>
      <c r="EL233" s="432"/>
      <c r="EM233" s="432" t="s">
        <v>129</v>
      </c>
      <c r="EN233" s="432"/>
      <c r="EO233" s="432"/>
      <c r="EP233" s="432"/>
      <c r="EQ233" s="432"/>
      <c r="ER233" s="432"/>
      <c r="ES233" s="432"/>
    </row>
    <row r="234" spans="54:202" ht="15" hidden="1" x14ac:dyDescent="0.25">
      <c r="BB234" s="434">
        <v>0.6</v>
      </c>
      <c r="BC234" s="432"/>
      <c r="BD234" s="432"/>
      <c r="BE234" s="216">
        <f>BE233*BB234</f>
        <v>5544</v>
      </c>
      <c r="BF234" s="432" t="s">
        <v>128</v>
      </c>
      <c r="BG234" s="432"/>
      <c r="BH234" s="432"/>
      <c r="BI234" s="432"/>
      <c r="BJ234" s="432"/>
      <c r="BK234" s="432" t="s">
        <v>129</v>
      </c>
      <c r="BL234" s="432"/>
      <c r="BM234" s="432"/>
      <c r="BN234" s="432"/>
      <c r="BO234" s="432"/>
      <c r="BP234" s="432"/>
      <c r="BQ234" s="432"/>
      <c r="DD234" s="432">
        <v>211</v>
      </c>
      <c r="DE234" s="432"/>
      <c r="DF234" s="432"/>
      <c r="DG234" s="216">
        <f>DG233-DG235</f>
        <v>622.11981566820282</v>
      </c>
      <c r="DH234" s="435">
        <f>DG234*0.1</f>
        <v>62.211981566820285</v>
      </c>
      <c r="DI234" s="435"/>
      <c r="DJ234" s="435"/>
      <c r="DK234" s="435"/>
      <c r="DL234" s="435"/>
      <c r="DM234" s="435">
        <f>DG234-DH234</f>
        <v>559.90783410138249</v>
      </c>
      <c r="DN234" s="432"/>
      <c r="DO234" s="432"/>
      <c r="DP234" s="432"/>
      <c r="DQ234" s="432"/>
      <c r="DR234" s="432"/>
      <c r="DS234" s="432"/>
      <c r="ED234" s="432">
        <v>211</v>
      </c>
      <c r="EE234" s="432"/>
      <c r="EF234" s="432"/>
      <c r="EG234" s="216">
        <f>EG233-EG235</f>
        <v>3387.0967741935483</v>
      </c>
      <c r="EH234" s="435">
        <f>EG234*0.1</f>
        <v>338.70967741935488</v>
      </c>
      <c r="EI234" s="435"/>
      <c r="EJ234" s="435"/>
      <c r="EK234" s="435"/>
      <c r="EL234" s="435"/>
      <c r="EM234" s="435">
        <f>EG234-EH234</f>
        <v>3048.3870967741932</v>
      </c>
      <c r="EN234" s="432"/>
      <c r="EO234" s="432"/>
      <c r="EP234" s="432"/>
      <c r="EQ234" s="432"/>
      <c r="ER234" s="432"/>
      <c r="ES234" s="432"/>
      <c r="GI234" s="432" t="s">
        <v>368</v>
      </c>
      <c r="GJ234" s="443"/>
      <c r="GK234" s="443"/>
      <c r="GL234" s="443"/>
      <c r="GO234" s="444" t="s">
        <v>366</v>
      </c>
      <c r="GP234" s="441"/>
      <c r="GQ234" s="441"/>
      <c r="GR234" s="441"/>
      <c r="GS234" s="441"/>
      <c r="GT234" s="441"/>
    </row>
    <row r="235" spans="54:202" ht="15" hidden="1" x14ac:dyDescent="0.25">
      <c r="BB235" s="432">
        <v>211</v>
      </c>
      <c r="BC235" s="432"/>
      <c r="BD235" s="432"/>
      <c r="BE235" s="216">
        <f>BE234-BE236</f>
        <v>4258.0645161290322</v>
      </c>
      <c r="BF235" s="435">
        <f>BE235*0.2</f>
        <v>851.61290322580646</v>
      </c>
      <c r="BG235" s="435"/>
      <c r="BH235" s="435"/>
      <c r="BI235" s="435"/>
      <c r="BJ235" s="435"/>
      <c r="BK235" s="436">
        <f>BE235-BF235</f>
        <v>3406.4516129032259</v>
      </c>
      <c r="BL235" s="445"/>
      <c r="BM235" s="445"/>
      <c r="BN235" s="445"/>
      <c r="BO235" s="445"/>
      <c r="BP235" s="445"/>
      <c r="BQ235" s="445"/>
      <c r="DD235" s="432">
        <v>213</v>
      </c>
      <c r="DE235" s="432"/>
      <c r="DF235" s="432"/>
      <c r="DG235" s="216">
        <f>DG233*30.2/130.2</f>
        <v>187.88018433179724</v>
      </c>
      <c r="DH235" s="435">
        <f>DH234*30.2%</f>
        <v>18.788018433179726</v>
      </c>
      <c r="DI235" s="435"/>
      <c r="DJ235" s="435"/>
      <c r="DK235" s="435"/>
      <c r="DL235" s="435"/>
      <c r="DM235" s="435">
        <f>DM234*30.2%</f>
        <v>169.09216589861751</v>
      </c>
      <c r="DN235" s="435"/>
      <c r="DO235" s="435"/>
      <c r="DP235" s="435"/>
      <c r="DQ235" s="435"/>
      <c r="DR235" s="435"/>
      <c r="DS235" s="435"/>
      <c r="ED235" s="432">
        <v>213</v>
      </c>
      <c r="EE235" s="432"/>
      <c r="EF235" s="432"/>
      <c r="EG235" s="216">
        <f>EG233*30.2/130.2</f>
        <v>1022.9032258064517</v>
      </c>
      <c r="EH235" s="435">
        <f>EH234*30.2%</f>
        <v>102.29032258064517</v>
      </c>
      <c r="EI235" s="435"/>
      <c r="EJ235" s="435"/>
      <c r="EK235" s="435"/>
      <c r="EL235" s="435"/>
      <c r="EM235" s="435">
        <f>EM234*30.2%</f>
        <v>920.61290322580635</v>
      </c>
      <c r="EN235" s="435"/>
      <c r="EO235" s="435"/>
      <c r="EP235" s="435"/>
      <c r="EQ235" s="435"/>
      <c r="ER235" s="435"/>
      <c r="ES235" s="435"/>
      <c r="GI235" s="437">
        <f>BF235*15/20</f>
        <v>638.70967741935488</v>
      </c>
      <c r="GJ235" s="446"/>
      <c r="GK235" s="446"/>
      <c r="GL235" s="446"/>
      <c r="GO235" s="437">
        <f>BF235*5/20</f>
        <v>212.90322580645162</v>
      </c>
      <c r="GP235" s="446"/>
      <c r="GQ235" s="446"/>
      <c r="GR235" s="446"/>
      <c r="GS235" s="446"/>
      <c r="GT235" s="446"/>
    </row>
    <row r="236" spans="54:202" ht="12" hidden="1" x14ac:dyDescent="0.2">
      <c r="BB236" s="432">
        <v>213</v>
      </c>
      <c r="BC236" s="432"/>
      <c r="BD236" s="432"/>
      <c r="BE236" s="216">
        <f>BE234*30.2/130.2</f>
        <v>1285.9354838709678</v>
      </c>
      <c r="BF236" s="435">
        <f>BF235*30.2%</f>
        <v>257.18709677419355</v>
      </c>
      <c r="BG236" s="435"/>
      <c r="BH236" s="435"/>
      <c r="BI236" s="435"/>
      <c r="BJ236" s="435"/>
      <c r="BK236" s="435">
        <f>BK235*30.2%</f>
        <v>1028.7483870967742</v>
      </c>
      <c r="BL236" s="435"/>
      <c r="BM236" s="435"/>
      <c r="BN236" s="435"/>
      <c r="BO236" s="435"/>
      <c r="BP236" s="435"/>
      <c r="BQ236" s="435"/>
    </row>
    <row r="237" spans="54:202" ht="8.25" hidden="1" customHeight="1" x14ac:dyDescent="0.2"/>
    <row r="239" spans="54:202" ht="12" x14ac:dyDescent="0.2">
      <c r="BB239" s="432" t="s">
        <v>538</v>
      </c>
      <c r="BC239" s="432"/>
      <c r="BD239" s="432"/>
      <c r="BE239" s="432"/>
      <c r="BF239" s="432"/>
      <c r="BG239" s="432"/>
      <c r="BH239" s="432"/>
      <c r="BI239" s="432"/>
      <c r="BJ239" s="432"/>
      <c r="BK239" s="432"/>
      <c r="BL239" s="432"/>
      <c r="BM239" s="432"/>
      <c r="BN239" s="432"/>
      <c r="BO239" s="432"/>
      <c r="BP239" s="432"/>
      <c r="BQ239" s="432"/>
      <c r="BR239" s="432"/>
      <c r="BS239" s="432"/>
      <c r="BT239" s="432"/>
      <c r="BU239" s="432"/>
      <c r="BV239" s="432"/>
      <c r="BW239" s="432"/>
      <c r="BX239" s="432"/>
      <c r="DD239" s="432" t="s">
        <v>126</v>
      </c>
      <c r="DE239" s="432"/>
      <c r="DF239" s="432"/>
      <c r="DG239" s="433">
        <f>150*9</f>
        <v>1350</v>
      </c>
      <c r="DH239" s="433"/>
      <c r="DI239" s="433"/>
      <c r="DJ239" s="433"/>
      <c r="DK239" s="433"/>
      <c r="DL239" s="298" t="s">
        <v>127</v>
      </c>
      <c r="DM239" s="298"/>
      <c r="DN239" s="298"/>
      <c r="DO239" s="298"/>
      <c r="DP239" s="298"/>
      <c r="DQ239" s="298"/>
      <c r="DR239" s="298"/>
      <c r="DS239" s="298"/>
      <c r="ED239" s="432" t="s">
        <v>126</v>
      </c>
      <c r="EE239" s="432"/>
      <c r="EF239" s="432"/>
      <c r="EG239" s="433">
        <f>150*49</f>
        <v>7350</v>
      </c>
      <c r="EH239" s="433"/>
      <c r="EI239" s="433"/>
      <c r="EJ239" s="433"/>
      <c r="EK239" s="433"/>
      <c r="EL239" s="298" t="s">
        <v>127</v>
      </c>
      <c r="EM239" s="298"/>
      <c r="EN239" s="298"/>
      <c r="EO239" s="298"/>
      <c r="EP239" s="298"/>
      <c r="EQ239" s="298"/>
      <c r="ER239" s="298"/>
      <c r="ES239" s="298"/>
    </row>
    <row r="240" spans="54:202" ht="12" x14ac:dyDescent="0.2">
      <c r="BB240" s="432" t="s">
        <v>126</v>
      </c>
      <c r="BC240" s="432"/>
      <c r="BD240" s="432"/>
      <c r="BE240" s="433">
        <f>220*10</f>
        <v>2200</v>
      </c>
      <c r="BF240" s="433"/>
      <c r="BG240" s="433"/>
      <c r="BH240" s="433"/>
      <c r="BI240" s="433"/>
      <c r="BJ240" s="298" t="s">
        <v>127</v>
      </c>
      <c r="BK240" s="298"/>
      <c r="BL240" s="298"/>
      <c r="BM240" s="298"/>
      <c r="BN240" s="298"/>
      <c r="BO240" s="298"/>
      <c r="BP240" s="298"/>
      <c r="BQ240" s="298"/>
      <c r="DD240" s="434">
        <v>0.6</v>
      </c>
      <c r="DE240" s="432"/>
      <c r="DF240" s="432"/>
      <c r="DG240" s="216">
        <f>DG239*DD240</f>
        <v>810</v>
      </c>
      <c r="DH240" s="432" t="s">
        <v>128</v>
      </c>
      <c r="DI240" s="432"/>
      <c r="DJ240" s="432"/>
      <c r="DK240" s="432"/>
      <c r="DL240" s="432"/>
      <c r="DM240" s="432" t="s">
        <v>129</v>
      </c>
      <c r="DN240" s="432"/>
      <c r="DO240" s="432"/>
      <c r="DP240" s="432"/>
      <c r="DQ240" s="432"/>
      <c r="DR240" s="432"/>
      <c r="DS240" s="432"/>
      <c r="ED240" s="434">
        <v>0.6</v>
      </c>
      <c r="EE240" s="432"/>
      <c r="EF240" s="432"/>
      <c r="EG240" s="216">
        <f>EG239*ED240</f>
        <v>4410</v>
      </c>
      <c r="EH240" s="432" t="s">
        <v>128</v>
      </c>
      <c r="EI240" s="432"/>
      <c r="EJ240" s="432"/>
      <c r="EK240" s="432"/>
      <c r="EL240" s="432"/>
      <c r="EM240" s="432" t="s">
        <v>129</v>
      </c>
      <c r="EN240" s="432"/>
      <c r="EO240" s="432"/>
      <c r="EP240" s="432"/>
      <c r="EQ240" s="432"/>
      <c r="ER240" s="432"/>
      <c r="ES240" s="432"/>
    </row>
    <row r="241" spans="54:330" ht="15" x14ac:dyDescent="0.25">
      <c r="BB241" s="434">
        <v>0.6</v>
      </c>
      <c r="BC241" s="432"/>
      <c r="BD241" s="432"/>
      <c r="BE241" s="216">
        <f>BE240*BB241</f>
        <v>1320</v>
      </c>
      <c r="BF241" s="432" t="s">
        <v>128</v>
      </c>
      <c r="BG241" s="432"/>
      <c r="BH241" s="432"/>
      <c r="BI241" s="432"/>
      <c r="BJ241" s="432"/>
      <c r="BK241" s="432" t="s">
        <v>129</v>
      </c>
      <c r="BL241" s="432"/>
      <c r="BM241" s="432"/>
      <c r="BN241" s="432"/>
      <c r="BO241" s="432"/>
      <c r="BP241" s="432"/>
      <c r="BQ241" s="432"/>
      <c r="DD241" s="432">
        <v>211</v>
      </c>
      <c r="DE241" s="432"/>
      <c r="DF241" s="432"/>
      <c r="DG241" s="216">
        <f>DG240-DG242</f>
        <v>622.11981566820282</v>
      </c>
      <c r="DH241" s="435">
        <f>DG241*0.1</f>
        <v>62.211981566820285</v>
      </c>
      <c r="DI241" s="435"/>
      <c r="DJ241" s="435"/>
      <c r="DK241" s="435"/>
      <c r="DL241" s="435"/>
      <c r="DM241" s="435">
        <f>DG241-DH241</f>
        <v>559.90783410138249</v>
      </c>
      <c r="DN241" s="432"/>
      <c r="DO241" s="432"/>
      <c r="DP241" s="432"/>
      <c r="DQ241" s="432"/>
      <c r="DR241" s="432"/>
      <c r="DS241" s="432"/>
      <c r="ED241" s="432">
        <v>211</v>
      </c>
      <c r="EE241" s="432"/>
      <c r="EF241" s="432"/>
      <c r="EG241" s="216">
        <f>EG240-EG242</f>
        <v>3387.0967741935483</v>
      </c>
      <c r="EH241" s="435">
        <f>EG241*0.1</f>
        <v>338.70967741935488</v>
      </c>
      <c r="EI241" s="435"/>
      <c r="EJ241" s="435"/>
      <c r="EK241" s="435"/>
      <c r="EL241" s="435"/>
      <c r="EM241" s="435">
        <f>EG241-EH241</f>
        <v>3048.3870967741932</v>
      </c>
      <c r="EN241" s="432"/>
      <c r="EO241" s="432"/>
      <c r="EP241" s="432"/>
      <c r="EQ241" s="432"/>
      <c r="ER241" s="432"/>
      <c r="ES241" s="432"/>
      <c r="GI241" s="432" t="s">
        <v>368</v>
      </c>
      <c r="GJ241" s="443"/>
      <c r="GK241" s="443"/>
      <c r="GL241" s="443"/>
      <c r="GO241" s="444" t="s">
        <v>366</v>
      </c>
      <c r="GP241" s="441"/>
      <c r="GQ241" s="441"/>
      <c r="GR241" s="441"/>
      <c r="GS241" s="441"/>
      <c r="GT241" s="441"/>
    </row>
    <row r="242" spans="54:330" ht="15" x14ac:dyDescent="0.25">
      <c r="BB242" s="432">
        <v>211</v>
      </c>
      <c r="BC242" s="432"/>
      <c r="BD242" s="432"/>
      <c r="BE242" s="216">
        <f>BE241-BE243</f>
        <v>1013.8248847926267</v>
      </c>
      <c r="BF242" s="435">
        <f>BE242*0.2</f>
        <v>202.76497695852535</v>
      </c>
      <c r="BG242" s="435"/>
      <c r="BH242" s="435"/>
      <c r="BI242" s="435"/>
      <c r="BJ242" s="435"/>
      <c r="BK242" s="436">
        <f>BE242-BF242</f>
        <v>811.0599078341013</v>
      </c>
      <c r="BL242" s="445"/>
      <c r="BM242" s="445"/>
      <c r="BN242" s="445"/>
      <c r="BO242" s="445"/>
      <c r="BP242" s="445"/>
      <c r="BQ242" s="445"/>
      <c r="DD242" s="432">
        <v>213</v>
      </c>
      <c r="DE242" s="432"/>
      <c r="DF242" s="432"/>
      <c r="DG242" s="216">
        <f>DG240*30.2/130.2</f>
        <v>187.88018433179724</v>
      </c>
      <c r="DH242" s="435">
        <f>DH241*30.2%</f>
        <v>18.788018433179726</v>
      </c>
      <c r="DI242" s="435"/>
      <c r="DJ242" s="435"/>
      <c r="DK242" s="435"/>
      <c r="DL242" s="435"/>
      <c r="DM242" s="435">
        <f>DM241*30.2%</f>
        <v>169.09216589861751</v>
      </c>
      <c r="DN242" s="435"/>
      <c r="DO242" s="435"/>
      <c r="DP242" s="435"/>
      <c r="DQ242" s="435"/>
      <c r="DR242" s="435"/>
      <c r="DS242" s="435"/>
      <c r="ED242" s="432">
        <v>213</v>
      </c>
      <c r="EE242" s="432"/>
      <c r="EF242" s="432"/>
      <c r="EG242" s="216">
        <f>EG240*30.2/130.2</f>
        <v>1022.9032258064517</v>
      </c>
      <c r="EH242" s="435">
        <f>EH241*30.2%</f>
        <v>102.29032258064517</v>
      </c>
      <c r="EI242" s="435"/>
      <c r="EJ242" s="435"/>
      <c r="EK242" s="435"/>
      <c r="EL242" s="435"/>
      <c r="EM242" s="435">
        <f>EM241*30.2%</f>
        <v>920.61290322580635</v>
      </c>
      <c r="EN242" s="435"/>
      <c r="EO242" s="435"/>
      <c r="EP242" s="435"/>
      <c r="EQ242" s="435"/>
      <c r="ER242" s="435"/>
      <c r="ES242" s="435"/>
      <c r="GI242" s="437">
        <f>BF242*15/20</f>
        <v>152.07373271889401</v>
      </c>
      <c r="GJ242" s="446"/>
      <c r="GK242" s="446"/>
      <c r="GL242" s="446"/>
      <c r="GO242" s="437">
        <f>BF242*5/20</f>
        <v>50.691244239631338</v>
      </c>
      <c r="GP242" s="446"/>
      <c r="GQ242" s="446"/>
      <c r="GR242" s="446"/>
      <c r="GS242" s="446"/>
      <c r="GT242" s="446"/>
    </row>
    <row r="243" spans="54:330" ht="12" x14ac:dyDescent="0.2">
      <c r="BB243" s="432">
        <v>213</v>
      </c>
      <c r="BC243" s="432"/>
      <c r="BD243" s="432"/>
      <c r="BE243" s="216">
        <f>BE241*30.2/130.2</f>
        <v>306.17511520737332</v>
      </c>
      <c r="BF243" s="435">
        <f>BF242*30.2%</f>
        <v>61.235023041474655</v>
      </c>
      <c r="BG243" s="435"/>
      <c r="BH243" s="435"/>
      <c r="BI243" s="435"/>
      <c r="BJ243" s="435"/>
      <c r="BK243" s="435">
        <f>BK242*30.2%</f>
        <v>244.94009216589859</v>
      </c>
      <c r="BL243" s="435"/>
      <c r="BM243" s="435"/>
      <c r="BN243" s="435"/>
      <c r="BO243" s="435"/>
      <c r="BP243" s="435"/>
      <c r="BQ243" s="435"/>
    </row>
    <row r="244" spans="54:330" ht="12" x14ac:dyDescent="0.2"/>
    <row r="245" spans="54:330" ht="12" x14ac:dyDescent="0.2"/>
    <row r="246" spans="54:330" ht="12" x14ac:dyDescent="0.2">
      <c r="BB246" s="432" t="s">
        <v>557</v>
      </c>
      <c r="BC246" s="432"/>
      <c r="BD246" s="432"/>
      <c r="BE246" s="432"/>
      <c r="BF246" s="432"/>
      <c r="BG246" s="432"/>
      <c r="BH246" s="432"/>
      <c r="BI246" s="432"/>
      <c r="BJ246" s="432"/>
      <c r="BK246" s="432"/>
      <c r="BL246" s="432"/>
      <c r="BM246" s="432"/>
      <c r="BN246" s="432"/>
      <c r="BO246" s="432"/>
      <c r="BP246" s="432"/>
      <c r="BQ246" s="432"/>
      <c r="BR246" s="432"/>
      <c r="BS246" s="432"/>
      <c r="BT246" s="432"/>
      <c r="BU246" s="432"/>
      <c r="BV246" s="432"/>
      <c r="BW246" s="432"/>
      <c r="BX246" s="432"/>
      <c r="DD246" s="432" t="s">
        <v>126</v>
      </c>
      <c r="DE246" s="432"/>
      <c r="DF246" s="432"/>
      <c r="DG246" s="433">
        <f>150*9</f>
        <v>1350</v>
      </c>
      <c r="DH246" s="433"/>
      <c r="DI246" s="433"/>
      <c r="DJ246" s="433"/>
      <c r="DK246" s="433"/>
      <c r="DL246" s="320" t="s">
        <v>127</v>
      </c>
      <c r="DM246" s="320"/>
      <c r="DN246" s="320"/>
      <c r="DO246" s="320"/>
      <c r="DP246" s="320"/>
      <c r="DQ246" s="320"/>
      <c r="DR246" s="320"/>
      <c r="DS246" s="320"/>
      <c r="ED246" s="432" t="s">
        <v>126</v>
      </c>
      <c r="EE246" s="432"/>
      <c r="EF246" s="432"/>
      <c r="EG246" s="433">
        <f>150*49</f>
        <v>7350</v>
      </c>
      <c r="EH246" s="433"/>
      <c r="EI246" s="433"/>
      <c r="EJ246" s="433"/>
      <c r="EK246" s="433"/>
      <c r="EL246" s="320" t="s">
        <v>127</v>
      </c>
      <c r="EM246" s="320"/>
      <c r="EN246" s="320"/>
      <c r="EO246" s="320"/>
      <c r="EP246" s="320"/>
      <c r="EQ246" s="320"/>
      <c r="ER246" s="320"/>
      <c r="ES246" s="320"/>
    </row>
    <row r="247" spans="54:330" ht="15" customHeight="1" x14ac:dyDescent="0.2">
      <c r="BB247" s="432" t="s">
        <v>126</v>
      </c>
      <c r="BC247" s="432"/>
      <c r="BD247" s="432"/>
      <c r="BE247" s="433">
        <f>220*42</f>
        <v>9240</v>
      </c>
      <c r="BF247" s="433"/>
      <c r="BG247" s="433"/>
      <c r="BH247" s="433"/>
      <c r="BI247" s="433"/>
      <c r="BJ247" s="320" t="s">
        <v>127</v>
      </c>
      <c r="BK247" s="320"/>
      <c r="BL247" s="320"/>
      <c r="BM247" s="320"/>
      <c r="BN247" s="320"/>
      <c r="BO247" s="320"/>
      <c r="BP247" s="320"/>
      <c r="BQ247" s="320"/>
      <c r="DD247" s="434">
        <v>0.6</v>
      </c>
      <c r="DE247" s="432"/>
      <c r="DF247" s="432"/>
      <c r="DG247" s="216">
        <f>DG246*DD247</f>
        <v>810</v>
      </c>
      <c r="DH247" s="432" t="s">
        <v>128</v>
      </c>
      <c r="DI247" s="432"/>
      <c r="DJ247" s="432"/>
      <c r="DK247" s="432"/>
      <c r="DL247" s="432"/>
      <c r="DM247" s="432" t="s">
        <v>129</v>
      </c>
      <c r="DN247" s="432"/>
      <c r="DO247" s="432"/>
      <c r="DP247" s="432"/>
      <c r="DQ247" s="432"/>
      <c r="DR247" s="432"/>
      <c r="DS247" s="432"/>
      <c r="ED247" s="434">
        <v>0.6</v>
      </c>
      <c r="EE247" s="432"/>
      <c r="EF247" s="432"/>
      <c r="EG247" s="216">
        <f>EG246*ED247</f>
        <v>4410</v>
      </c>
      <c r="EH247" s="432" t="s">
        <v>128</v>
      </c>
      <c r="EI247" s="432"/>
      <c r="EJ247" s="432"/>
      <c r="EK247" s="432"/>
      <c r="EL247" s="432"/>
      <c r="EM247" s="432" t="s">
        <v>129</v>
      </c>
      <c r="EN247" s="432"/>
      <c r="EO247" s="432"/>
      <c r="EP247" s="432"/>
      <c r="EQ247" s="432"/>
      <c r="ER247" s="432"/>
      <c r="ES247" s="432"/>
    </row>
    <row r="248" spans="54:330" ht="15" x14ac:dyDescent="0.25">
      <c r="BB248" s="434">
        <v>0.6</v>
      </c>
      <c r="BC248" s="432"/>
      <c r="BD248" s="432"/>
      <c r="BE248" s="216">
        <f>BE247*BB248</f>
        <v>5544</v>
      </c>
      <c r="BF248" s="432" t="s">
        <v>128</v>
      </c>
      <c r="BG248" s="432"/>
      <c r="BH248" s="432"/>
      <c r="BI248" s="432"/>
      <c r="BJ248" s="432"/>
      <c r="BK248" s="432" t="s">
        <v>129</v>
      </c>
      <c r="BL248" s="432"/>
      <c r="BM248" s="432"/>
      <c r="BN248" s="432"/>
      <c r="BO248" s="432"/>
      <c r="BP248" s="432"/>
      <c r="BQ248" s="432"/>
      <c r="DD248" s="432">
        <v>211</v>
      </c>
      <c r="DE248" s="432"/>
      <c r="DF248" s="432"/>
      <c r="DG248" s="216">
        <f>DG247-DG249</f>
        <v>622.11981566820282</v>
      </c>
      <c r="DH248" s="435">
        <f>DG248*0.1</f>
        <v>62.211981566820285</v>
      </c>
      <c r="DI248" s="435"/>
      <c r="DJ248" s="435"/>
      <c r="DK248" s="435"/>
      <c r="DL248" s="435"/>
      <c r="DM248" s="435">
        <f>DG248-DH248</f>
        <v>559.90783410138249</v>
      </c>
      <c r="DN248" s="432"/>
      <c r="DO248" s="432"/>
      <c r="DP248" s="432"/>
      <c r="DQ248" s="432"/>
      <c r="DR248" s="432"/>
      <c r="DS248" s="432"/>
      <c r="ED248" s="432">
        <v>211</v>
      </c>
      <c r="EE248" s="432"/>
      <c r="EF248" s="432"/>
      <c r="EG248" s="216">
        <f>EG247-EG249</f>
        <v>3387.0967741935483</v>
      </c>
      <c r="EH248" s="435">
        <f>EG248*0.1</f>
        <v>338.70967741935488</v>
      </c>
      <c r="EI248" s="435"/>
      <c r="EJ248" s="435"/>
      <c r="EK248" s="435"/>
      <c r="EL248" s="435"/>
      <c r="EM248" s="435">
        <f>EG248-EH248</f>
        <v>3048.3870967741932</v>
      </c>
      <c r="EN248" s="432"/>
      <c r="EO248" s="432"/>
      <c r="EP248" s="432"/>
      <c r="EQ248" s="432"/>
      <c r="ER248" s="432"/>
      <c r="ES248" s="432"/>
      <c r="GI248" s="432" t="s">
        <v>368</v>
      </c>
      <c r="GJ248" s="443"/>
      <c r="GK248" s="443"/>
      <c r="GL248" s="443"/>
      <c r="GO248" s="444" t="s">
        <v>366</v>
      </c>
      <c r="GP248" s="441"/>
      <c r="GQ248" s="441"/>
      <c r="GR248" s="441"/>
      <c r="GS248" s="441"/>
      <c r="GT248" s="441"/>
    </row>
    <row r="249" spans="54:330" ht="15" x14ac:dyDescent="0.25">
      <c r="BB249" s="432">
        <v>211</v>
      </c>
      <c r="BC249" s="432"/>
      <c r="BD249" s="432"/>
      <c r="BE249" s="216">
        <f>BE248-BE250</f>
        <v>4258.0645161290322</v>
      </c>
      <c r="BF249" s="435">
        <f>BE249*0.2</f>
        <v>851.61290322580646</v>
      </c>
      <c r="BG249" s="435"/>
      <c r="BH249" s="435"/>
      <c r="BI249" s="435"/>
      <c r="BJ249" s="435"/>
      <c r="BK249" s="436">
        <f>BE249-BF249</f>
        <v>3406.4516129032259</v>
      </c>
      <c r="BL249" s="445"/>
      <c r="BM249" s="445"/>
      <c r="BN249" s="445"/>
      <c r="BO249" s="445"/>
      <c r="BP249" s="445"/>
      <c r="BQ249" s="445"/>
      <c r="DD249" s="432">
        <v>213</v>
      </c>
      <c r="DE249" s="432"/>
      <c r="DF249" s="432"/>
      <c r="DG249" s="216">
        <f>DG247*30.2/130.2</f>
        <v>187.88018433179724</v>
      </c>
      <c r="DH249" s="435">
        <f>DH248*30.2%</f>
        <v>18.788018433179726</v>
      </c>
      <c r="DI249" s="435"/>
      <c r="DJ249" s="435"/>
      <c r="DK249" s="435"/>
      <c r="DL249" s="435"/>
      <c r="DM249" s="435">
        <f>DM248*30.2%</f>
        <v>169.09216589861751</v>
      </c>
      <c r="DN249" s="435"/>
      <c r="DO249" s="435"/>
      <c r="DP249" s="435"/>
      <c r="DQ249" s="435"/>
      <c r="DR249" s="435"/>
      <c r="DS249" s="435"/>
      <c r="ED249" s="432">
        <v>213</v>
      </c>
      <c r="EE249" s="432"/>
      <c r="EF249" s="432"/>
      <c r="EG249" s="216">
        <f>EG247*30.2/130.2</f>
        <v>1022.9032258064517</v>
      </c>
      <c r="EH249" s="435">
        <f>EH248*30.2%</f>
        <v>102.29032258064517</v>
      </c>
      <c r="EI249" s="435"/>
      <c r="EJ249" s="435"/>
      <c r="EK249" s="435"/>
      <c r="EL249" s="435"/>
      <c r="EM249" s="435">
        <f>EM248*30.2%</f>
        <v>920.61290322580635</v>
      </c>
      <c r="EN249" s="435"/>
      <c r="EO249" s="435"/>
      <c r="EP249" s="435"/>
      <c r="EQ249" s="435"/>
      <c r="ER249" s="435"/>
      <c r="ES249" s="435"/>
      <c r="GI249" s="437">
        <f>BF249*15/20</f>
        <v>638.70967741935488</v>
      </c>
      <c r="GJ249" s="446"/>
      <c r="GK249" s="446"/>
      <c r="GL249" s="446"/>
      <c r="GO249" s="437">
        <f>BF249*5/20</f>
        <v>212.90322580645162</v>
      </c>
      <c r="GP249" s="446"/>
      <c r="GQ249" s="446"/>
      <c r="GR249" s="446"/>
      <c r="GS249" s="446"/>
      <c r="GT249" s="446"/>
    </row>
    <row r="250" spans="54:330" ht="12" x14ac:dyDescent="0.2">
      <c r="BB250" s="432">
        <v>213</v>
      </c>
      <c r="BC250" s="432"/>
      <c r="BD250" s="432"/>
      <c r="BE250" s="216">
        <f>BE248*30.2/130.2</f>
        <v>1285.9354838709678</v>
      </c>
      <c r="BF250" s="435">
        <f>BF249*30.2%</f>
        <v>257.18709677419355</v>
      </c>
      <c r="BG250" s="435"/>
      <c r="BH250" s="435"/>
      <c r="BI250" s="435"/>
      <c r="BJ250" s="435"/>
      <c r="BK250" s="435">
        <f>BK249*30.2%</f>
        <v>1028.7483870967742</v>
      </c>
      <c r="BL250" s="435"/>
      <c r="BM250" s="435"/>
      <c r="BN250" s="435"/>
      <c r="BO250" s="435"/>
      <c r="BP250" s="435"/>
      <c r="BQ250" s="435"/>
    </row>
    <row r="253" spans="54:330" ht="12" x14ac:dyDescent="0.2">
      <c r="BB253" s="432" t="s">
        <v>558</v>
      </c>
      <c r="BC253" s="432"/>
      <c r="BD253" s="432"/>
      <c r="BE253" s="432"/>
      <c r="BF253" s="432"/>
      <c r="BG253" s="432"/>
      <c r="BH253" s="432"/>
      <c r="BI253" s="432"/>
      <c r="BJ253" s="432"/>
      <c r="BK253" s="432"/>
      <c r="BL253" s="432"/>
      <c r="BM253" s="432"/>
      <c r="BN253" s="432"/>
      <c r="BO253" s="432"/>
      <c r="BP253" s="432"/>
      <c r="BQ253" s="432"/>
      <c r="BR253" s="432"/>
      <c r="BS253" s="432"/>
      <c r="BT253" s="432"/>
      <c r="BU253" s="432"/>
      <c r="BV253" s="432"/>
      <c r="BW253" s="432"/>
      <c r="BX253" s="432"/>
      <c r="DD253" s="432" t="s">
        <v>126</v>
      </c>
      <c r="DE253" s="432"/>
      <c r="DF253" s="432"/>
      <c r="DG253" s="433">
        <f>150*9</f>
        <v>1350</v>
      </c>
      <c r="DH253" s="433"/>
      <c r="DI253" s="433"/>
      <c r="DJ253" s="433"/>
      <c r="DK253" s="433"/>
      <c r="DL253" s="320" t="s">
        <v>127</v>
      </c>
      <c r="DM253" s="320"/>
      <c r="DN253" s="320"/>
      <c r="DO253" s="320"/>
      <c r="DP253" s="320"/>
      <c r="DQ253" s="320"/>
      <c r="DR253" s="320"/>
      <c r="DS253" s="320"/>
      <c r="ED253" s="432" t="s">
        <v>126</v>
      </c>
      <c r="EE253" s="432"/>
      <c r="EF253" s="432"/>
      <c r="EG253" s="433">
        <f>150*49</f>
        <v>7350</v>
      </c>
      <c r="EH253" s="433"/>
      <c r="EI253" s="433"/>
      <c r="EJ253" s="433"/>
      <c r="EK253" s="433"/>
      <c r="EL253" s="320" t="s">
        <v>127</v>
      </c>
      <c r="EM253" s="320"/>
      <c r="EN253" s="320"/>
      <c r="EO253" s="320"/>
      <c r="EP253" s="320"/>
      <c r="EQ253" s="320"/>
      <c r="ER253" s="320"/>
      <c r="ES253" s="320"/>
      <c r="GY253" s="432" t="s">
        <v>558</v>
      </c>
      <c r="GZ253" s="432"/>
      <c r="HA253" s="432"/>
      <c r="HB253" s="432"/>
      <c r="HC253" s="432"/>
      <c r="HD253" s="432"/>
      <c r="HE253" s="432"/>
      <c r="HF253" s="432"/>
      <c r="HG253" s="432"/>
      <c r="HH253" s="432"/>
      <c r="HI253" s="432"/>
      <c r="HJ253" s="432"/>
      <c r="HK253" s="432"/>
      <c r="HL253" s="432"/>
      <c r="HM253" s="432"/>
      <c r="HN253" s="432"/>
      <c r="HO253" s="432"/>
      <c r="HP253" s="432"/>
      <c r="HQ253" s="432"/>
      <c r="HR253" s="432"/>
      <c r="HS253" s="432"/>
      <c r="HT253" s="432"/>
      <c r="HU253" s="432"/>
      <c r="JA253" s="432" t="s">
        <v>126</v>
      </c>
      <c r="JB253" s="432"/>
      <c r="JC253" s="432"/>
      <c r="JD253" s="433">
        <f>150*9</f>
        <v>1350</v>
      </c>
      <c r="JE253" s="433"/>
      <c r="JF253" s="433"/>
      <c r="JG253" s="433"/>
      <c r="JH253" s="433"/>
      <c r="JI253" s="325" t="s">
        <v>127</v>
      </c>
      <c r="JJ253" s="325"/>
      <c r="JK253" s="325"/>
      <c r="JL253" s="325"/>
      <c r="JM253" s="325"/>
      <c r="JN253" s="325"/>
      <c r="JO253" s="325"/>
      <c r="JP253" s="325"/>
    </row>
    <row r="254" spans="54:330" ht="12" x14ac:dyDescent="0.2">
      <c r="BB254" s="432" t="s">
        <v>126</v>
      </c>
      <c r="BC254" s="432"/>
      <c r="BD254" s="432"/>
      <c r="BE254" s="433">
        <f>220*10</f>
        <v>2200</v>
      </c>
      <c r="BF254" s="433"/>
      <c r="BG254" s="433"/>
      <c r="BH254" s="433"/>
      <c r="BI254" s="433"/>
      <c r="BJ254" s="320" t="s">
        <v>127</v>
      </c>
      <c r="BK254" s="320"/>
      <c r="BL254" s="320"/>
      <c r="BM254" s="320"/>
      <c r="BN254" s="320"/>
      <c r="BO254" s="320"/>
      <c r="BP254" s="320"/>
      <c r="BQ254" s="320"/>
      <c r="DD254" s="434">
        <v>0.6</v>
      </c>
      <c r="DE254" s="432"/>
      <c r="DF254" s="432"/>
      <c r="DG254" s="216">
        <f>DG253*DD254</f>
        <v>810</v>
      </c>
      <c r="DH254" s="432" t="s">
        <v>128</v>
      </c>
      <c r="DI254" s="432"/>
      <c r="DJ254" s="432"/>
      <c r="DK254" s="432"/>
      <c r="DL254" s="432"/>
      <c r="DM254" s="432" t="s">
        <v>129</v>
      </c>
      <c r="DN254" s="432"/>
      <c r="DO254" s="432"/>
      <c r="DP254" s="432"/>
      <c r="DQ254" s="432"/>
      <c r="DR254" s="432"/>
      <c r="DS254" s="432"/>
      <c r="ED254" s="434">
        <v>0.6</v>
      </c>
      <c r="EE254" s="432"/>
      <c r="EF254" s="432"/>
      <c r="EG254" s="216">
        <f>EG253*ED254</f>
        <v>4410</v>
      </c>
      <c r="EH254" s="432" t="s">
        <v>128</v>
      </c>
      <c r="EI254" s="432"/>
      <c r="EJ254" s="432"/>
      <c r="EK254" s="432"/>
      <c r="EL254" s="432"/>
      <c r="EM254" s="432" t="s">
        <v>129</v>
      </c>
      <c r="EN254" s="432"/>
      <c r="EO254" s="432"/>
      <c r="EP254" s="432"/>
      <c r="EQ254" s="432"/>
      <c r="ER254" s="432"/>
      <c r="ES254" s="432"/>
      <c r="GY254" s="432" t="s">
        <v>126</v>
      </c>
      <c r="GZ254" s="432"/>
      <c r="HA254" s="432"/>
      <c r="HB254" s="433">
        <f>220*6</f>
        <v>1320</v>
      </c>
      <c r="HC254" s="433"/>
      <c r="HD254" s="433"/>
      <c r="HE254" s="433"/>
      <c r="HF254" s="433"/>
      <c r="HG254" s="325" t="s">
        <v>127</v>
      </c>
      <c r="HH254" s="325"/>
      <c r="HI254" s="325"/>
      <c r="HJ254" s="325"/>
      <c r="HK254" s="325"/>
      <c r="HL254" s="325"/>
      <c r="HM254" s="325"/>
      <c r="HN254" s="325"/>
      <c r="JA254" s="434">
        <v>0.6</v>
      </c>
      <c r="JB254" s="432"/>
      <c r="JC254" s="432"/>
      <c r="JD254" s="216">
        <f>JD253*JA254</f>
        <v>810</v>
      </c>
      <c r="JE254" s="432" t="s">
        <v>128</v>
      </c>
      <c r="JF254" s="432"/>
      <c r="JG254" s="432"/>
      <c r="JH254" s="432"/>
      <c r="JI254" s="432"/>
      <c r="JJ254" s="432" t="s">
        <v>129</v>
      </c>
      <c r="JK254" s="432"/>
      <c r="JL254" s="432"/>
      <c r="JM254" s="432"/>
      <c r="JN254" s="432"/>
      <c r="JO254" s="432"/>
      <c r="JP254" s="432"/>
    </row>
    <row r="255" spans="54:330" ht="15" x14ac:dyDescent="0.25">
      <c r="BB255" s="434">
        <v>0.6</v>
      </c>
      <c r="BC255" s="432"/>
      <c r="BD255" s="432"/>
      <c r="BE255" s="216">
        <f>BE254*BB255</f>
        <v>1320</v>
      </c>
      <c r="BF255" s="432" t="s">
        <v>128</v>
      </c>
      <c r="BG255" s="432"/>
      <c r="BH255" s="432"/>
      <c r="BI255" s="432"/>
      <c r="BJ255" s="432"/>
      <c r="BK255" s="432" t="s">
        <v>129</v>
      </c>
      <c r="BL255" s="432"/>
      <c r="BM255" s="432"/>
      <c r="BN255" s="432"/>
      <c r="BO255" s="432"/>
      <c r="BP255" s="432"/>
      <c r="BQ255" s="432"/>
      <c r="DD255" s="432">
        <v>211</v>
      </c>
      <c r="DE255" s="432"/>
      <c r="DF255" s="432"/>
      <c r="DG255" s="216">
        <f>DG254-DG256</f>
        <v>622.11981566820282</v>
      </c>
      <c r="DH255" s="435">
        <f>DG255*0.1</f>
        <v>62.211981566820285</v>
      </c>
      <c r="DI255" s="435"/>
      <c r="DJ255" s="435"/>
      <c r="DK255" s="435"/>
      <c r="DL255" s="435"/>
      <c r="DM255" s="435">
        <f>DG255-DH255</f>
        <v>559.90783410138249</v>
      </c>
      <c r="DN255" s="432"/>
      <c r="DO255" s="432"/>
      <c r="DP255" s="432"/>
      <c r="DQ255" s="432"/>
      <c r="DR255" s="432"/>
      <c r="DS255" s="432"/>
      <c r="ED255" s="432">
        <v>211</v>
      </c>
      <c r="EE255" s="432"/>
      <c r="EF255" s="432"/>
      <c r="EG255" s="216">
        <f>EG254-EG256</f>
        <v>3387.0967741935483</v>
      </c>
      <c r="EH255" s="435">
        <f>EG255*0.1</f>
        <v>338.70967741935488</v>
      </c>
      <c r="EI255" s="435"/>
      <c r="EJ255" s="435"/>
      <c r="EK255" s="435"/>
      <c r="EL255" s="435"/>
      <c r="EM255" s="435">
        <f>EG255-EH255</f>
        <v>3048.3870967741932</v>
      </c>
      <c r="EN255" s="432"/>
      <c r="EO255" s="432"/>
      <c r="EP255" s="432"/>
      <c r="EQ255" s="432"/>
      <c r="ER255" s="432"/>
      <c r="ES255" s="432"/>
      <c r="GI255" s="432" t="s">
        <v>368</v>
      </c>
      <c r="GJ255" s="443"/>
      <c r="GK255" s="443"/>
      <c r="GL255" s="443"/>
      <c r="GO255" s="444" t="s">
        <v>366</v>
      </c>
      <c r="GP255" s="441"/>
      <c r="GQ255" s="441"/>
      <c r="GR255" s="441"/>
      <c r="GS255" s="441"/>
      <c r="GT255" s="441"/>
      <c r="GY255" s="434">
        <v>0.6</v>
      </c>
      <c r="GZ255" s="432"/>
      <c r="HA255" s="432"/>
      <c r="HB255" s="216">
        <f>HB254*GY255</f>
        <v>792</v>
      </c>
      <c r="HC255" s="432" t="s">
        <v>128</v>
      </c>
      <c r="HD255" s="432"/>
      <c r="HE255" s="432"/>
      <c r="HF255" s="432"/>
      <c r="HG255" s="432"/>
      <c r="HH255" s="432" t="s">
        <v>129</v>
      </c>
      <c r="HI255" s="432"/>
      <c r="HJ255" s="432"/>
      <c r="HK255" s="432"/>
      <c r="HL255" s="432"/>
      <c r="HM255" s="432"/>
      <c r="HN255" s="432"/>
      <c r="JA255" s="432">
        <v>211</v>
      </c>
      <c r="JB255" s="432"/>
      <c r="JC255" s="432"/>
      <c r="JD255" s="216">
        <f>JD254-JD256</f>
        <v>622.11981566820282</v>
      </c>
      <c r="JE255" s="435">
        <f>JD255*0.1</f>
        <v>62.211981566820285</v>
      </c>
      <c r="JF255" s="435"/>
      <c r="JG255" s="435"/>
      <c r="JH255" s="435"/>
      <c r="JI255" s="435"/>
      <c r="JJ255" s="435">
        <f>JD255-JE255</f>
        <v>559.90783410138249</v>
      </c>
      <c r="JK255" s="432"/>
      <c r="JL255" s="432"/>
      <c r="JM255" s="432"/>
      <c r="JN255" s="432"/>
      <c r="JO255" s="432"/>
      <c r="JP255" s="432"/>
      <c r="LG255" s="432" t="s">
        <v>368</v>
      </c>
      <c r="LH255" s="443"/>
      <c r="LI255" s="443"/>
      <c r="LJ255" s="443"/>
      <c r="LM255" s="444" t="s">
        <v>366</v>
      </c>
      <c r="LN255" s="441"/>
      <c r="LO255" s="441"/>
      <c r="LP255" s="441"/>
      <c r="LQ255" s="441"/>
      <c r="LR255" s="441"/>
    </row>
    <row r="256" spans="54:330" ht="15" x14ac:dyDescent="0.25">
      <c r="BB256" s="432">
        <v>211</v>
      </c>
      <c r="BC256" s="432"/>
      <c r="BD256" s="432"/>
      <c r="BE256" s="216">
        <f>BE255-BE257</f>
        <v>1013.8248847926267</v>
      </c>
      <c r="BF256" s="435">
        <f>BE256*0.2</f>
        <v>202.76497695852535</v>
      </c>
      <c r="BG256" s="435"/>
      <c r="BH256" s="435"/>
      <c r="BI256" s="435"/>
      <c r="BJ256" s="435"/>
      <c r="BK256" s="436">
        <f>BE256-BF256</f>
        <v>811.0599078341013</v>
      </c>
      <c r="BL256" s="445"/>
      <c r="BM256" s="445"/>
      <c r="BN256" s="445"/>
      <c r="BO256" s="445"/>
      <c r="BP256" s="445"/>
      <c r="BQ256" s="445"/>
      <c r="DD256" s="432">
        <v>213</v>
      </c>
      <c r="DE256" s="432"/>
      <c r="DF256" s="432"/>
      <c r="DG256" s="216">
        <f>DG254*30.2/130.2</f>
        <v>187.88018433179724</v>
      </c>
      <c r="DH256" s="435">
        <f>DH255*30.2%</f>
        <v>18.788018433179726</v>
      </c>
      <c r="DI256" s="435"/>
      <c r="DJ256" s="435"/>
      <c r="DK256" s="435"/>
      <c r="DL256" s="435"/>
      <c r="DM256" s="435">
        <f>DM255*30.2%</f>
        <v>169.09216589861751</v>
      </c>
      <c r="DN256" s="435"/>
      <c r="DO256" s="435"/>
      <c r="DP256" s="435"/>
      <c r="DQ256" s="435"/>
      <c r="DR256" s="435"/>
      <c r="DS256" s="435"/>
      <c r="ED256" s="432">
        <v>213</v>
      </c>
      <c r="EE256" s="432"/>
      <c r="EF256" s="432"/>
      <c r="EG256" s="216">
        <f>EG254*30.2/130.2</f>
        <v>1022.9032258064517</v>
      </c>
      <c r="EH256" s="435">
        <f>EH255*30.2%</f>
        <v>102.29032258064517</v>
      </c>
      <c r="EI256" s="435"/>
      <c r="EJ256" s="435"/>
      <c r="EK256" s="435"/>
      <c r="EL256" s="435"/>
      <c r="EM256" s="435">
        <f>EM255*30.2%</f>
        <v>920.61290322580635</v>
      </c>
      <c r="EN256" s="435"/>
      <c r="EO256" s="435"/>
      <c r="EP256" s="435"/>
      <c r="EQ256" s="435"/>
      <c r="ER256" s="435"/>
      <c r="ES256" s="435"/>
      <c r="GI256" s="437">
        <f>BF256*15/20</f>
        <v>152.07373271889401</v>
      </c>
      <c r="GJ256" s="446"/>
      <c r="GK256" s="446"/>
      <c r="GL256" s="446"/>
      <c r="GO256" s="437">
        <f>BF256*5/20</f>
        <v>50.691244239631338</v>
      </c>
      <c r="GP256" s="446"/>
      <c r="GQ256" s="446"/>
      <c r="GR256" s="446"/>
      <c r="GS256" s="446"/>
      <c r="GT256" s="446"/>
      <c r="GY256" s="432">
        <v>211</v>
      </c>
      <c r="GZ256" s="432"/>
      <c r="HA256" s="432"/>
      <c r="HB256" s="216">
        <f>HB255-HB257</f>
        <v>608.29493087557603</v>
      </c>
      <c r="HC256" s="435">
        <f>HB256*0.2</f>
        <v>121.65898617511522</v>
      </c>
      <c r="HD256" s="435"/>
      <c r="HE256" s="435"/>
      <c r="HF256" s="435"/>
      <c r="HG256" s="435"/>
      <c r="HH256" s="436">
        <f>HB256-HC256</f>
        <v>486.63594470046081</v>
      </c>
      <c r="HI256" s="445"/>
      <c r="HJ256" s="445"/>
      <c r="HK256" s="445"/>
      <c r="HL256" s="445"/>
      <c r="HM256" s="445"/>
      <c r="HN256" s="445"/>
      <c r="JA256" s="432">
        <v>213</v>
      </c>
      <c r="JB256" s="432"/>
      <c r="JC256" s="432"/>
      <c r="JD256" s="216">
        <f>JD254*30.2/130.2</f>
        <v>187.88018433179724</v>
      </c>
      <c r="JE256" s="435">
        <f>JE255*30.2%</f>
        <v>18.788018433179726</v>
      </c>
      <c r="JF256" s="435"/>
      <c r="JG256" s="435"/>
      <c r="JH256" s="435"/>
      <c r="JI256" s="435"/>
      <c r="JJ256" s="435">
        <f>JJ255*30.2%</f>
        <v>169.09216589861751</v>
      </c>
      <c r="JK256" s="435"/>
      <c r="JL256" s="435"/>
      <c r="JM256" s="435"/>
      <c r="JN256" s="435"/>
      <c r="JO256" s="435"/>
      <c r="JP256" s="435"/>
      <c r="LG256" s="437">
        <f>HC256*15/20</f>
        <v>91.244239631336413</v>
      </c>
      <c r="LH256" s="446"/>
      <c r="LI256" s="446"/>
      <c r="LJ256" s="446"/>
      <c r="LM256" s="437">
        <f>HC256*5/20</f>
        <v>30.414746543778801</v>
      </c>
      <c r="LN256" s="446"/>
      <c r="LO256" s="446"/>
      <c r="LP256" s="446"/>
      <c r="LQ256" s="446"/>
      <c r="LR256" s="446"/>
    </row>
    <row r="257" spans="54:222" ht="12" x14ac:dyDescent="0.2">
      <c r="BB257" s="432">
        <v>213</v>
      </c>
      <c r="BC257" s="432"/>
      <c r="BD257" s="432"/>
      <c r="BE257" s="216">
        <f>BE255*30.2/130.2</f>
        <v>306.17511520737332</v>
      </c>
      <c r="BF257" s="435">
        <f>BF256*30.2%</f>
        <v>61.235023041474655</v>
      </c>
      <c r="BG257" s="435"/>
      <c r="BH257" s="435"/>
      <c r="BI257" s="435"/>
      <c r="BJ257" s="435"/>
      <c r="BK257" s="435">
        <f>BK256*30.2%</f>
        <v>244.94009216589859</v>
      </c>
      <c r="BL257" s="435"/>
      <c r="BM257" s="435"/>
      <c r="BN257" s="435"/>
      <c r="BO257" s="435"/>
      <c r="BP257" s="435"/>
      <c r="BQ257" s="435"/>
      <c r="GY257" s="432">
        <v>213</v>
      </c>
      <c r="GZ257" s="432"/>
      <c r="HA257" s="432"/>
      <c r="HB257" s="216">
        <f>HB255*30.2/130.2</f>
        <v>183.70506912442397</v>
      </c>
      <c r="HC257" s="435">
        <f>HC256*30.2%</f>
        <v>36.741013824884796</v>
      </c>
      <c r="HD257" s="435"/>
      <c r="HE257" s="435"/>
      <c r="HF257" s="435"/>
      <c r="HG257" s="435"/>
      <c r="HH257" s="435">
        <f>HH256*30.2%</f>
        <v>146.96405529953915</v>
      </c>
      <c r="HI257" s="435"/>
      <c r="HJ257" s="435"/>
      <c r="HK257" s="435"/>
      <c r="HL257" s="435"/>
      <c r="HM257" s="435"/>
      <c r="HN257" s="435"/>
    </row>
    <row r="260" spans="54:222" ht="12" x14ac:dyDescent="0.2">
      <c r="BB260" s="432" t="s">
        <v>569</v>
      </c>
      <c r="BC260" s="432"/>
      <c r="BD260" s="432"/>
      <c r="BE260" s="432"/>
      <c r="BF260" s="432"/>
      <c r="BG260" s="432"/>
      <c r="BH260" s="432"/>
      <c r="BI260" s="432"/>
      <c r="BJ260" s="432"/>
      <c r="BK260" s="432"/>
      <c r="BL260" s="432"/>
      <c r="BM260" s="432"/>
      <c r="BN260" s="432"/>
      <c r="BO260" s="432"/>
      <c r="BP260" s="432"/>
      <c r="BQ260" s="432"/>
      <c r="BR260" s="432"/>
      <c r="BS260" s="432"/>
      <c r="BT260" s="432"/>
      <c r="BU260" s="432"/>
      <c r="BV260" s="432"/>
      <c r="BW260" s="432"/>
      <c r="BX260" s="432"/>
      <c r="DD260" s="432" t="s">
        <v>126</v>
      </c>
      <c r="DE260" s="432"/>
      <c r="DF260" s="432"/>
      <c r="DG260" s="433">
        <f>150*9</f>
        <v>1350</v>
      </c>
      <c r="DH260" s="433"/>
      <c r="DI260" s="433"/>
      <c r="DJ260" s="433"/>
      <c r="DK260" s="433"/>
      <c r="DL260" s="324" t="s">
        <v>127</v>
      </c>
      <c r="DM260" s="324"/>
      <c r="DN260" s="324"/>
      <c r="DO260" s="324"/>
      <c r="DP260" s="324"/>
      <c r="DQ260" s="324"/>
      <c r="DR260" s="324"/>
      <c r="DS260" s="324"/>
      <c r="ED260" s="432" t="s">
        <v>126</v>
      </c>
      <c r="EE260" s="432"/>
      <c r="EF260" s="432"/>
      <c r="EG260" s="433">
        <f>150*49</f>
        <v>7350</v>
      </c>
      <c r="EH260" s="433"/>
      <c r="EI260" s="433"/>
      <c r="EJ260" s="433"/>
      <c r="EK260" s="433"/>
      <c r="EL260" s="324" t="s">
        <v>127</v>
      </c>
      <c r="EM260" s="324"/>
      <c r="EN260" s="324"/>
      <c r="EO260" s="324"/>
      <c r="EP260" s="324"/>
      <c r="EQ260" s="324"/>
      <c r="ER260" s="324"/>
      <c r="ES260" s="324"/>
    </row>
    <row r="261" spans="54:222" ht="12" x14ac:dyDescent="0.2">
      <c r="BB261" s="432" t="s">
        <v>126</v>
      </c>
      <c r="BC261" s="432"/>
      <c r="BD261" s="432"/>
      <c r="BE261" s="433">
        <f>220*126</f>
        <v>27720</v>
      </c>
      <c r="BF261" s="433"/>
      <c r="BG261" s="433"/>
      <c r="BH261" s="433"/>
      <c r="BI261" s="433"/>
      <c r="BJ261" s="324" t="s">
        <v>127</v>
      </c>
      <c r="BK261" s="324"/>
      <c r="BL261" s="324"/>
      <c r="BM261" s="324"/>
      <c r="BN261" s="324"/>
      <c r="BO261" s="324"/>
      <c r="BP261" s="324"/>
      <c r="BQ261" s="324"/>
      <c r="DD261" s="434">
        <v>0.6</v>
      </c>
      <c r="DE261" s="432"/>
      <c r="DF261" s="432"/>
      <c r="DG261" s="216">
        <f>DG260*DD261</f>
        <v>810</v>
      </c>
      <c r="DH261" s="432" t="s">
        <v>128</v>
      </c>
      <c r="DI261" s="432"/>
      <c r="DJ261" s="432"/>
      <c r="DK261" s="432"/>
      <c r="DL261" s="432"/>
      <c r="DM261" s="432" t="s">
        <v>129</v>
      </c>
      <c r="DN261" s="432"/>
      <c r="DO261" s="432"/>
      <c r="DP261" s="432"/>
      <c r="DQ261" s="432"/>
      <c r="DR261" s="432"/>
      <c r="DS261" s="432"/>
      <c r="ED261" s="434">
        <v>0.6</v>
      </c>
      <c r="EE261" s="432"/>
      <c r="EF261" s="432"/>
      <c r="EG261" s="216">
        <f>EG260*ED261</f>
        <v>4410</v>
      </c>
      <c r="EH261" s="432" t="s">
        <v>128</v>
      </c>
      <c r="EI261" s="432"/>
      <c r="EJ261" s="432"/>
      <c r="EK261" s="432"/>
      <c r="EL261" s="432"/>
      <c r="EM261" s="432" t="s">
        <v>129</v>
      </c>
      <c r="EN261" s="432"/>
      <c r="EO261" s="432"/>
      <c r="EP261" s="432"/>
      <c r="EQ261" s="432"/>
      <c r="ER261" s="432"/>
      <c r="ES261" s="432"/>
    </row>
    <row r="262" spans="54:222" ht="15" x14ac:dyDescent="0.25">
      <c r="BB262" s="434">
        <v>0.6</v>
      </c>
      <c r="BC262" s="432"/>
      <c r="BD262" s="432"/>
      <c r="BE262" s="216">
        <f>BE261*BB262</f>
        <v>16632</v>
      </c>
      <c r="BF262" s="432" t="s">
        <v>128</v>
      </c>
      <c r="BG262" s="432"/>
      <c r="BH262" s="432"/>
      <c r="BI262" s="432"/>
      <c r="BJ262" s="432"/>
      <c r="BK262" s="432" t="s">
        <v>129</v>
      </c>
      <c r="BL262" s="432"/>
      <c r="BM262" s="432"/>
      <c r="BN262" s="432"/>
      <c r="BO262" s="432"/>
      <c r="BP262" s="432"/>
      <c r="BQ262" s="432"/>
      <c r="DD262" s="432">
        <v>211</v>
      </c>
      <c r="DE262" s="432"/>
      <c r="DF262" s="432"/>
      <c r="DG262" s="216">
        <f>DG261-DG263</f>
        <v>622.11981566820282</v>
      </c>
      <c r="DH262" s="435">
        <f>DG262*0.1</f>
        <v>62.211981566820285</v>
      </c>
      <c r="DI262" s="435"/>
      <c r="DJ262" s="435"/>
      <c r="DK262" s="435"/>
      <c r="DL262" s="435"/>
      <c r="DM262" s="435">
        <f>DG262-DH262</f>
        <v>559.90783410138249</v>
      </c>
      <c r="DN262" s="432"/>
      <c r="DO262" s="432"/>
      <c r="DP262" s="432"/>
      <c r="DQ262" s="432"/>
      <c r="DR262" s="432"/>
      <c r="DS262" s="432"/>
      <c r="ED262" s="432">
        <v>211</v>
      </c>
      <c r="EE262" s="432"/>
      <c r="EF262" s="432"/>
      <c r="EG262" s="216">
        <f>EG261-EG263</f>
        <v>3387.0967741935483</v>
      </c>
      <c r="EH262" s="435">
        <f>EG262*0.1</f>
        <v>338.70967741935488</v>
      </c>
      <c r="EI262" s="435"/>
      <c r="EJ262" s="435"/>
      <c r="EK262" s="435"/>
      <c r="EL262" s="435"/>
      <c r="EM262" s="435">
        <f>EG262-EH262</f>
        <v>3048.3870967741932</v>
      </c>
      <c r="EN262" s="432"/>
      <c r="EO262" s="432"/>
      <c r="EP262" s="432"/>
      <c r="EQ262" s="432"/>
      <c r="ER262" s="432"/>
      <c r="ES262" s="432"/>
      <c r="GI262" s="432" t="s">
        <v>368</v>
      </c>
      <c r="GJ262" s="443"/>
      <c r="GK262" s="443"/>
      <c r="GL262" s="443"/>
      <c r="GO262" s="444" t="s">
        <v>366</v>
      </c>
      <c r="GP262" s="441"/>
      <c r="GQ262" s="441"/>
      <c r="GR262" s="441"/>
      <c r="GS262" s="441"/>
      <c r="GT262" s="441"/>
    </row>
    <row r="263" spans="54:222" ht="15" x14ac:dyDescent="0.25">
      <c r="BB263" s="432">
        <v>211</v>
      </c>
      <c r="BC263" s="432"/>
      <c r="BD263" s="432"/>
      <c r="BE263" s="216">
        <f>BE262-BE264</f>
        <v>12774.193548387097</v>
      </c>
      <c r="BF263" s="435">
        <f>BE263*0.2</f>
        <v>2554.8387096774195</v>
      </c>
      <c r="BG263" s="435"/>
      <c r="BH263" s="435"/>
      <c r="BI263" s="435"/>
      <c r="BJ263" s="435"/>
      <c r="BK263" s="436">
        <f>BE263-BF263</f>
        <v>10219.354838709678</v>
      </c>
      <c r="BL263" s="445"/>
      <c r="BM263" s="445"/>
      <c r="BN263" s="445"/>
      <c r="BO263" s="445"/>
      <c r="BP263" s="445"/>
      <c r="BQ263" s="445"/>
      <c r="DD263" s="432">
        <v>213</v>
      </c>
      <c r="DE263" s="432"/>
      <c r="DF263" s="432"/>
      <c r="DG263" s="216">
        <f>DG261*30.2/130.2</f>
        <v>187.88018433179724</v>
      </c>
      <c r="DH263" s="435">
        <f>DH262*30.2%</f>
        <v>18.788018433179726</v>
      </c>
      <c r="DI263" s="435"/>
      <c r="DJ263" s="435"/>
      <c r="DK263" s="435"/>
      <c r="DL263" s="435"/>
      <c r="DM263" s="435">
        <f>DM262*30.2%</f>
        <v>169.09216589861751</v>
      </c>
      <c r="DN263" s="435"/>
      <c r="DO263" s="435"/>
      <c r="DP263" s="435"/>
      <c r="DQ263" s="435"/>
      <c r="DR263" s="435"/>
      <c r="DS263" s="435"/>
      <c r="ED263" s="432">
        <v>213</v>
      </c>
      <c r="EE263" s="432"/>
      <c r="EF263" s="432"/>
      <c r="EG263" s="216">
        <f>EG261*30.2/130.2</f>
        <v>1022.9032258064517</v>
      </c>
      <c r="EH263" s="435">
        <f>EH262*30.2%</f>
        <v>102.29032258064517</v>
      </c>
      <c r="EI263" s="435"/>
      <c r="EJ263" s="435"/>
      <c r="EK263" s="435"/>
      <c r="EL263" s="435"/>
      <c r="EM263" s="435">
        <f>EM262*30.2%</f>
        <v>920.61290322580635</v>
      </c>
      <c r="EN263" s="435"/>
      <c r="EO263" s="435"/>
      <c r="EP263" s="435"/>
      <c r="EQ263" s="435"/>
      <c r="ER263" s="435"/>
      <c r="ES263" s="435"/>
      <c r="GI263" s="437">
        <f>BF263*15/20</f>
        <v>1916.1290322580649</v>
      </c>
      <c r="GJ263" s="446"/>
      <c r="GK263" s="446"/>
      <c r="GL263" s="446"/>
      <c r="GO263" s="437">
        <f>BF263*5/20</f>
        <v>638.70967741935488</v>
      </c>
      <c r="GP263" s="446"/>
      <c r="GQ263" s="446"/>
      <c r="GR263" s="446"/>
      <c r="GS263" s="446"/>
      <c r="GT263" s="446"/>
    </row>
    <row r="264" spans="54:222" ht="12" x14ac:dyDescent="0.2">
      <c r="BB264" s="432">
        <v>213</v>
      </c>
      <c r="BC264" s="432"/>
      <c r="BD264" s="432"/>
      <c r="BE264" s="216">
        <f>BE262*30.2/130.2</f>
        <v>3857.8064516129034</v>
      </c>
      <c r="BF264" s="435">
        <f>BF263*30.2%</f>
        <v>771.5612903225807</v>
      </c>
      <c r="BG264" s="435"/>
      <c r="BH264" s="435"/>
      <c r="BI264" s="435"/>
      <c r="BJ264" s="435"/>
      <c r="BK264" s="435">
        <f>BK263*30.2%</f>
        <v>3086.2451612903228</v>
      </c>
      <c r="BL264" s="435"/>
      <c r="BM264" s="435"/>
      <c r="BN264" s="435"/>
      <c r="BO264" s="435"/>
      <c r="BP264" s="435"/>
      <c r="BQ264" s="435"/>
    </row>
    <row r="269" spans="54:222" ht="15" x14ac:dyDescent="0.25">
      <c r="BE269" s="444" t="s">
        <v>576</v>
      </c>
      <c r="BF269" s="441"/>
      <c r="BH269" s="337">
        <f>HH256-BK256</f>
        <v>-324.42396313364048</v>
      </c>
      <c r="BK269" s="1315">
        <f>LG256-GI256</f>
        <v>-60.829493087557594</v>
      </c>
      <c r="BL269" s="1316"/>
      <c r="BM269" s="1316"/>
      <c r="BN269" s="1316"/>
      <c r="BO269" s="117" t="s">
        <v>577</v>
      </c>
    </row>
    <row r="272" spans="54:222" ht="12" x14ac:dyDescent="0.2">
      <c r="BB272" s="432" t="s">
        <v>584</v>
      </c>
      <c r="BC272" s="432"/>
      <c r="BD272" s="432"/>
      <c r="BE272" s="432"/>
      <c r="BF272" s="432"/>
      <c r="BG272" s="432"/>
      <c r="BH272" s="432"/>
      <c r="BI272" s="432"/>
      <c r="BJ272" s="432"/>
      <c r="BK272" s="432"/>
      <c r="BL272" s="432"/>
      <c r="BM272" s="432"/>
      <c r="BN272" s="432"/>
      <c r="BO272" s="432"/>
      <c r="BP272" s="432"/>
      <c r="BQ272" s="432"/>
      <c r="BR272" s="432"/>
      <c r="BS272" s="432"/>
      <c r="BT272" s="432"/>
      <c r="BU272" s="432"/>
      <c r="BV272" s="432"/>
      <c r="BW272" s="432"/>
      <c r="BX272" s="432"/>
      <c r="DD272" s="432" t="s">
        <v>126</v>
      </c>
      <c r="DE272" s="432"/>
      <c r="DF272" s="432"/>
      <c r="DG272" s="433">
        <f>150*9</f>
        <v>1350</v>
      </c>
      <c r="DH272" s="433"/>
      <c r="DI272" s="433"/>
      <c r="DJ272" s="433"/>
      <c r="DK272" s="433"/>
      <c r="DL272" s="340" t="s">
        <v>127</v>
      </c>
      <c r="DM272" s="340"/>
      <c r="DN272" s="340"/>
      <c r="DO272" s="340"/>
      <c r="DP272" s="340"/>
      <c r="DQ272" s="340"/>
      <c r="DR272" s="340"/>
      <c r="DS272" s="340"/>
      <c r="ED272" s="432" t="s">
        <v>126</v>
      </c>
      <c r="EE272" s="432"/>
      <c r="EF272" s="432"/>
      <c r="EG272" s="433">
        <f>150*49</f>
        <v>7350</v>
      </c>
      <c r="EH272" s="433"/>
      <c r="EI272" s="433"/>
      <c r="EJ272" s="433"/>
      <c r="EK272" s="433"/>
      <c r="EL272" s="340" t="s">
        <v>127</v>
      </c>
      <c r="EM272" s="340"/>
      <c r="EN272" s="340"/>
      <c r="EO272" s="340"/>
      <c r="EP272" s="340"/>
      <c r="EQ272" s="340"/>
      <c r="ER272" s="340"/>
      <c r="ES272" s="340"/>
    </row>
    <row r="273" spans="54:202" ht="12" x14ac:dyDescent="0.2">
      <c r="BB273" s="432" t="s">
        <v>126</v>
      </c>
      <c r="BC273" s="432"/>
      <c r="BD273" s="432"/>
      <c r="BE273" s="433">
        <f>220*90</f>
        <v>19800</v>
      </c>
      <c r="BF273" s="433"/>
      <c r="BG273" s="433"/>
      <c r="BH273" s="433"/>
      <c r="BI273" s="433"/>
      <c r="BJ273" s="340" t="s">
        <v>127</v>
      </c>
      <c r="BK273" s="340"/>
      <c r="BL273" s="340"/>
      <c r="BM273" s="340"/>
      <c r="BN273" s="340"/>
      <c r="BO273" s="340"/>
      <c r="BP273" s="340"/>
      <c r="BQ273" s="340"/>
      <c r="DD273" s="434">
        <v>0.6</v>
      </c>
      <c r="DE273" s="432"/>
      <c r="DF273" s="432"/>
      <c r="DG273" s="216">
        <f>DG272*DD273</f>
        <v>810</v>
      </c>
      <c r="DH273" s="432" t="s">
        <v>128</v>
      </c>
      <c r="DI273" s="432"/>
      <c r="DJ273" s="432"/>
      <c r="DK273" s="432"/>
      <c r="DL273" s="432"/>
      <c r="DM273" s="432" t="s">
        <v>129</v>
      </c>
      <c r="DN273" s="432"/>
      <c r="DO273" s="432"/>
      <c r="DP273" s="432"/>
      <c r="DQ273" s="432"/>
      <c r="DR273" s="432"/>
      <c r="DS273" s="432"/>
      <c r="ED273" s="434">
        <v>0.6</v>
      </c>
      <c r="EE273" s="432"/>
      <c r="EF273" s="432"/>
      <c r="EG273" s="216">
        <f>EG272*ED273</f>
        <v>4410</v>
      </c>
      <c r="EH273" s="432" t="s">
        <v>128</v>
      </c>
      <c r="EI273" s="432"/>
      <c r="EJ273" s="432"/>
      <c r="EK273" s="432"/>
      <c r="EL273" s="432"/>
      <c r="EM273" s="432" t="s">
        <v>129</v>
      </c>
      <c r="EN273" s="432"/>
      <c r="EO273" s="432"/>
      <c r="EP273" s="432"/>
      <c r="EQ273" s="432"/>
      <c r="ER273" s="432"/>
      <c r="ES273" s="432"/>
    </row>
    <row r="274" spans="54:202" ht="15" x14ac:dyDescent="0.25">
      <c r="BB274" s="434">
        <v>0.6</v>
      </c>
      <c r="BC274" s="432"/>
      <c r="BD274" s="432"/>
      <c r="BE274" s="216">
        <f>BE273*BB274</f>
        <v>11880</v>
      </c>
      <c r="BF274" s="432" t="s">
        <v>128</v>
      </c>
      <c r="BG274" s="432"/>
      <c r="BH274" s="432"/>
      <c r="BI274" s="432"/>
      <c r="BJ274" s="432"/>
      <c r="BK274" s="432" t="s">
        <v>129</v>
      </c>
      <c r="BL274" s="432"/>
      <c r="BM274" s="432"/>
      <c r="BN274" s="432"/>
      <c r="BO274" s="432"/>
      <c r="BP274" s="432"/>
      <c r="BQ274" s="432"/>
      <c r="DD274" s="432">
        <v>211</v>
      </c>
      <c r="DE274" s="432"/>
      <c r="DF274" s="432"/>
      <c r="DG274" s="216">
        <f>DG273-DG275</f>
        <v>622.11981566820282</v>
      </c>
      <c r="DH274" s="435">
        <f>DG274*0.1</f>
        <v>62.211981566820285</v>
      </c>
      <c r="DI274" s="435"/>
      <c r="DJ274" s="435"/>
      <c r="DK274" s="435"/>
      <c r="DL274" s="435"/>
      <c r="DM274" s="435">
        <f>DG274-DH274</f>
        <v>559.90783410138249</v>
      </c>
      <c r="DN274" s="432"/>
      <c r="DO274" s="432"/>
      <c r="DP274" s="432"/>
      <c r="DQ274" s="432"/>
      <c r="DR274" s="432"/>
      <c r="DS274" s="432"/>
      <c r="ED274" s="432">
        <v>211</v>
      </c>
      <c r="EE274" s="432"/>
      <c r="EF274" s="432"/>
      <c r="EG274" s="216">
        <f>EG273-EG275</f>
        <v>3387.0967741935483</v>
      </c>
      <c r="EH274" s="435">
        <f>EG274*0.1</f>
        <v>338.70967741935488</v>
      </c>
      <c r="EI274" s="435"/>
      <c r="EJ274" s="435"/>
      <c r="EK274" s="435"/>
      <c r="EL274" s="435"/>
      <c r="EM274" s="435">
        <f>EG274-EH274</f>
        <v>3048.3870967741932</v>
      </c>
      <c r="EN274" s="432"/>
      <c r="EO274" s="432"/>
      <c r="EP274" s="432"/>
      <c r="EQ274" s="432"/>
      <c r="ER274" s="432"/>
      <c r="ES274" s="432"/>
      <c r="GI274" s="432" t="s">
        <v>368</v>
      </c>
      <c r="GJ274" s="443"/>
      <c r="GK274" s="443"/>
      <c r="GL274" s="443"/>
      <c r="GO274" s="444" t="s">
        <v>366</v>
      </c>
      <c r="GP274" s="441"/>
      <c r="GQ274" s="441"/>
      <c r="GR274" s="441"/>
      <c r="GS274" s="441"/>
      <c r="GT274" s="441"/>
    </row>
    <row r="275" spans="54:202" ht="15" x14ac:dyDescent="0.25">
      <c r="BB275" s="432">
        <v>211</v>
      </c>
      <c r="BC275" s="432"/>
      <c r="BD275" s="432"/>
      <c r="BE275" s="216">
        <f>BE274-BE276</f>
        <v>9124.4239631336404</v>
      </c>
      <c r="BF275" s="435">
        <f>BE275*0.2</f>
        <v>1824.8847926267281</v>
      </c>
      <c r="BG275" s="435"/>
      <c r="BH275" s="435"/>
      <c r="BI275" s="435"/>
      <c r="BJ275" s="435"/>
      <c r="BK275" s="436">
        <f>BE275-BF275</f>
        <v>7299.5391705069123</v>
      </c>
      <c r="BL275" s="445"/>
      <c r="BM275" s="445"/>
      <c r="BN275" s="445"/>
      <c r="BO275" s="445"/>
      <c r="BP275" s="445"/>
      <c r="BQ275" s="445"/>
      <c r="DD275" s="432">
        <v>213</v>
      </c>
      <c r="DE275" s="432"/>
      <c r="DF275" s="432"/>
      <c r="DG275" s="216">
        <f>DG273*30.2/130.2</f>
        <v>187.88018433179724</v>
      </c>
      <c r="DH275" s="435">
        <f>DH274*30.2%</f>
        <v>18.788018433179726</v>
      </c>
      <c r="DI275" s="435"/>
      <c r="DJ275" s="435"/>
      <c r="DK275" s="435"/>
      <c r="DL275" s="435"/>
      <c r="DM275" s="435">
        <f>DM274*30.2%</f>
        <v>169.09216589861751</v>
      </c>
      <c r="DN275" s="435"/>
      <c r="DO275" s="435"/>
      <c r="DP275" s="435"/>
      <c r="DQ275" s="435"/>
      <c r="DR275" s="435"/>
      <c r="DS275" s="435"/>
      <c r="ED275" s="432">
        <v>213</v>
      </c>
      <c r="EE275" s="432"/>
      <c r="EF275" s="432"/>
      <c r="EG275" s="216">
        <f>EG273*30.2/130.2</f>
        <v>1022.9032258064517</v>
      </c>
      <c r="EH275" s="435">
        <f>EH274*30.2%</f>
        <v>102.29032258064517</v>
      </c>
      <c r="EI275" s="435"/>
      <c r="EJ275" s="435"/>
      <c r="EK275" s="435"/>
      <c r="EL275" s="435"/>
      <c r="EM275" s="435">
        <f>EM274*30.2%</f>
        <v>920.61290322580635</v>
      </c>
      <c r="EN275" s="435"/>
      <c r="EO275" s="435"/>
      <c r="EP275" s="435"/>
      <c r="EQ275" s="435"/>
      <c r="ER275" s="435"/>
      <c r="ES275" s="435"/>
      <c r="GI275" s="437">
        <f>BF275*15/20</f>
        <v>1368.6635944700461</v>
      </c>
      <c r="GJ275" s="446"/>
      <c r="GK275" s="446"/>
      <c r="GL275" s="446"/>
      <c r="GO275" s="437">
        <f>BF275*5/20</f>
        <v>456.22119815668202</v>
      </c>
      <c r="GP275" s="446"/>
      <c r="GQ275" s="446"/>
      <c r="GR275" s="446"/>
      <c r="GS275" s="446"/>
      <c r="GT275" s="446"/>
    </row>
    <row r="276" spans="54:202" ht="12" x14ac:dyDescent="0.2">
      <c r="BB276" s="432">
        <v>213</v>
      </c>
      <c r="BC276" s="432"/>
      <c r="BD276" s="432"/>
      <c r="BE276" s="216">
        <f>BE274*30.2/130.2</f>
        <v>2755.5760368663596</v>
      </c>
      <c r="BF276" s="435">
        <f>BF275*30.2%</f>
        <v>551.11520737327191</v>
      </c>
      <c r="BG276" s="435"/>
      <c r="BH276" s="435"/>
      <c r="BI276" s="435"/>
      <c r="BJ276" s="435"/>
      <c r="BK276" s="435">
        <f>BK275*30.2%</f>
        <v>2204.4608294930877</v>
      </c>
      <c r="BL276" s="435"/>
      <c r="BM276" s="435"/>
      <c r="BN276" s="435"/>
      <c r="BO276" s="435"/>
      <c r="BP276" s="435"/>
      <c r="BQ276" s="435"/>
    </row>
    <row r="277" spans="54:202" ht="12" x14ac:dyDescent="0.2"/>
    <row r="279" spans="54:202" ht="12" x14ac:dyDescent="0.2">
      <c r="BB279" s="432" t="s">
        <v>599</v>
      </c>
      <c r="BC279" s="432"/>
      <c r="BD279" s="432"/>
      <c r="BE279" s="432"/>
      <c r="BF279" s="432"/>
      <c r="BG279" s="432"/>
      <c r="BH279" s="432"/>
      <c r="BI279" s="432"/>
      <c r="BJ279" s="432"/>
      <c r="BK279" s="432"/>
      <c r="BL279" s="432"/>
      <c r="BM279" s="432"/>
      <c r="BN279" s="432"/>
      <c r="BO279" s="432"/>
      <c r="BP279" s="432"/>
      <c r="BQ279" s="432"/>
      <c r="BR279" s="432"/>
      <c r="BS279" s="432"/>
      <c r="BT279" s="432"/>
      <c r="BU279" s="432"/>
      <c r="BV279" s="432"/>
      <c r="BW279" s="432"/>
      <c r="BX279" s="432"/>
      <c r="DD279" s="432" t="s">
        <v>126</v>
      </c>
      <c r="DE279" s="432"/>
      <c r="DF279" s="432"/>
      <c r="DG279" s="433">
        <f>150*9</f>
        <v>1350</v>
      </c>
      <c r="DH279" s="433"/>
      <c r="DI279" s="433"/>
      <c r="DJ279" s="433"/>
      <c r="DK279" s="433"/>
      <c r="DL279" s="348" t="s">
        <v>127</v>
      </c>
      <c r="DM279" s="348"/>
      <c r="DN279" s="348"/>
      <c r="DO279" s="348"/>
      <c r="DP279" s="348"/>
      <c r="DQ279" s="348"/>
      <c r="DR279" s="348"/>
      <c r="DS279" s="348"/>
      <c r="ED279" s="432" t="s">
        <v>126</v>
      </c>
      <c r="EE279" s="432"/>
      <c r="EF279" s="432"/>
      <c r="EG279" s="433">
        <f>150*49</f>
        <v>7350</v>
      </c>
      <c r="EH279" s="433"/>
      <c r="EI279" s="433"/>
      <c r="EJ279" s="433"/>
      <c r="EK279" s="433"/>
      <c r="EL279" s="348" t="s">
        <v>127</v>
      </c>
      <c r="EM279" s="348"/>
      <c r="EN279" s="348"/>
      <c r="EO279" s="348"/>
      <c r="EP279" s="348"/>
      <c r="EQ279" s="348"/>
      <c r="ER279" s="348"/>
      <c r="ES279" s="348"/>
    </row>
    <row r="280" spans="54:202" ht="12" x14ac:dyDescent="0.2">
      <c r="BB280" s="432" t="s">
        <v>126</v>
      </c>
      <c r="BC280" s="432"/>
      <c r="BD280" s="432"/>
      <c r="BE280" s="433">
        <f>220*105</f>
        <v>23100</v>
      </c>
      <c r="BF280" s="433"/>
      <c r="BG280" s="433"/>
      <c r="BH280" s="433"/>
      <c r="BI280" s="433"/>
      <c r="BJ280" s="348" t="s">
        <v>127</v>
      </c>
      <c r="BK280" s="348"/>
      <c r="BL280" s="348"/>
      <c r="BM280" s="348"/>
      <c r="BN280" s="348"/>
      <c r="BO280" s="348"/>
      <c r="BP280" s="348"/>
      <c r="BQ280" s="348"/>
      <c r="DD280" s="434">
        <v>0.6</v>
      </c>
      <c r="DE280" s="432"/>
      <c r="DF280" s="432"/>
      <c r="DG280" s="216">
        <f>DG279*DD280</f>
        <v>810</v>
      </c>
      <c r="DH280" s="432" t="s">
        <v>128</v>
      </c>
      <c r="DI280" s="432"/>
      <c r="DJ280" s="432"/>
      <c r="DK280" s="432"/>
      <c r="DL280" s="432"/>
      <c r="DM280" s="432" t="s">
        <v>129</v>
      </c>
      <c r="DN280" s="432"/>
      <c r="DO280" s="432"/>
      <c r="DP280" s="432"/>
      <c r="DQ280" s="432"/>
      <c r="DR280" s="432"/>
      <c r="DS280" s="432"/>
      <c r="ED280" s="434">
        <v>0.6</v>
      </c>
      <c r="EE280" s="432"/>
      <c r="EF280" s="432"/>
      <c r="EG280" s="216">
        <f>EG279*ED280</f>
        <v>4410</v>
      </c>
      <c r="EH280" s="432" t="s">
        <v>128</v>
      </c>
      <c r="EI280" s="432"/>
      <c r="EJ280" s="432"/>
      <c r="EK280" s="432"/>
      <c r="EL280" s="432"/>
      <c r="EM280" s="432" t="s">
        <v>129</v>
      </c>
      <c r="EN280" s="432"/>
      <c r="EO280" s="432"/>
      <c r="EP280" s="432"/>
      <c r="EQ280" s="432"/>
      <c r="ER280" s="432"/>
      <c r="ES280" s="432"/>
    </row>
    <row r="281" spans="54:202" ht="15" x14ac:dyDescent="0.25">
      <c r="BB281" s="434">
        <v>0.6</v>
      </c>
      <c r="BC281" s="432"/>
      <c r="BD281" s="432"/>
      <c r="BE281" s="216">
        <f>BE280*BB281</f>
        <v>13860</v>
      </c>
      <c r="BF281" s="432" t="s">
        <v>128</v>
      </c>
      <c r="BG281" s="432"/>
      <c r="BH281" s="432"/>
      <c r="BI281" s="432"/>
      <c r="BJ281" s="432"/>
      <c r="BK281" s="432" t="s">
        <v>129</v>
      </c>
      <c r="BL281" s="432"/>
      <c r="BM281" s="432"/>
      <c r="BN281" s="432"/>
      <c r="BO281" s="432"/>
      <c r="BP281" s="432"/>
      <c r="BQ281" s="432"/>
      <c r="DD281" s="432">
        <v>211</v>
      </c>
      <c r="DE281" s="432"/>
      <c r="DF281" s="432"/>
      <c r="DG281" s="216">
        <f>DG280-DG282</f>
        <v>622.11981566820282</v>
      </c>
      <c r="DH281" s="435">
        <f>DG281*0.1</f>
        <v>62.211981566820285</v>
      </c>
      <c r="DI281" s="435"/>
      <c r="DJ281" s="435"/>
      <c r="DK281" s="435"/>
      <c r="DL281" s="435"/>
      <c r="DM281" s="435">
        <f>DG281-DH281</f>
        <v>559.90783410138249</v>
      </c>
      <c r="DN281" s="432"/>
      <c r="DO281" s="432"/>
      <c r="DP281" s="432"/>
      <c r="DQ281" s="432"/>
      <c r="DR281" s="432"/>
      <c r="DS281" s="432"/>
      <c r="ED281" s="432">
        <v>211</v>
      </c>
      <c r="EE281" s="432"/>
      <c r="EF281" s="432"/>
      <c r="EG281" s="216">
        <f>EG280-EG282</f>
        <v>3387.0967741935483</v>
      </c>
      <c r="EH281" s="435">
        <f>EG281*0.1</f>
        <v>338.70967741935488</v>
      </c>
      <c r="EI281" s="435"/>
      <c r="EJ281" s="435"/>
      <c r="EK281" s="435"/>
      <c r="EL281" s="435"/>
      <c r="EM281" s="435">
        <f>EG281-EH281</f>
        <v>3048.3870967741932</v>
      </c>
      <c r="EN281" s="432"/>
      <c r="EO281" s="432"/>
      <c r="EP281" s="432"/>
      <c r="EQ281" s="432"/>
      <c r="ER281" s="432"/>
      <c r="ES281" s="432"/>
      <c r="GI281" s="432" t="s">
        <v>368</v>
      </c>
      <c r="GJ281" s="443"/>
      <c r="GK281" s="443"/>
      <c r="GL281" s="443"/>
      <c r="GO281" s="444" t="s">
        <v>366</v>
      </c>
      <c r="GP281" s="441"/>
      <c r="GQ281" s="441"/>
      <c r="GR281" s="441"/>
      <c r="GS281" s="441"/>
      <c r="GT281" s="441"/>
    </row>
    <row r="282" spans="54:202" ht="15" x14ac:dyDescent="0.25">
      <c r="BB282" s="432">
        <v>211</v>
      </c>
      <c r="BC282" s="432"/>
      <c r="BD282" s="432"/>
      <c r="BE282" s="216">
        <f>BE281-BE283</f>
        <v>10645.16129032258</v>
      </c>
      <c r="BF282" s="435">
        <f>BE282*0.2</f>
        <v>2129.0322580645161</v>
      </c>
      <c r="BG282" s="435"/>
      <c r="BH282" s="435"/>
      <c r="BI282" s="435"/>
      <c r="BJ282" s="435"/>
      <c r="BK282" s="436">
        <f>BE282-BF282</f>
        <v>8516.1290322580644</v>
      </c>
      <c r="BL282" s="445"/>
      <c r="BM282" s="445"/>
      <c r="BN282" s="445"/>
      <c r="BO282" s="445"/>
      <c r="BP282" s="445"/>
      <c r="BQ282" s="445"/>
      <c r="DD282" s="432">
        <v>213</v>
      </c>
      <c r="DE282" s="432"/>
      <c r="DF282" s="432"/>
      <c r="DG282" s="216">
        <f>DG280*30.2/130.2</f>
        <v>187.88018433179724</v>
      </c>
      <c r="DH282" s="435">
        <f>DH281*30.2%</f>
        <v>18.788018433179726</v>
      </c>
      <c r="DI282" s="435"/>
      <c r="DJ282" s="435"/>
      <c r="DK282" s="435"/>
      <c r="DL282" s="435"/>
      <c r="DM282" s="435">
        <f>DM281*30.2%</f>
        <v>169.09216589861751</v>
      </c>
      <c r="DN282" s="435"/>
      <c r="DO282" s="435"/>
      <c r="DP282" s="435"/>
      <c r="DQ282" s="435"/>
      <c r="DR282" s="435"/>
      <c r="DS282" s="435"/>
      <c r="ED282" s="432">
        <v>213</v>
      </c>
      <c r="EE282" s="432"/>
      <c r="EF282" s="432"/>
      <c r="EG282" s="216">
        <f>EG280*30.2/130.2</f>
        <v>1022.9032258064517</v>
      </c>
      <c r="EH282" s="435">
        <f>EH281*30.2%</f>
        <v>102.29032258064517</v>
      </c>
      <c r="EI282" s="435"/>
      <c r="EJ282" s="435"/>
      <c r="EK282" s="435"/>
      <c r="EL282" s="435"/>
      <c r="EM282" s="435">
        <f>EM281*30.2%</f>
        <v>920.61290322580635</v>
      </c>
      <c r="EN282" s="435"/>
      <c r="EO282" s="435"/>
      <c r="EP282" s="435"/>
      <c r="EQ282" s="435"/>
      <c r="ER282" s="435"/>
      <c r="ES282" s="435"/>
      <c r="GI282" s="437">
        <f>BF282*15/20</f>
        <v>1596.7741935483871</v>
      </c>
      <c r="GJ282" s="446"/>
      <c r="GK282" s="446"/>
      <c r="GL282" s="446"/>
      <c r="GO282" s="437">
        <f>BF282*5/20</f>
        <v>532.25806451612902</v>
      </c>
      <c r="GP282" s="446"/>
      <c r="GQ282" s="446"/>
      <c r="GR282" s="446"/>
      <c r="GS282" s="446"/>
      <c r="GT282" s="446"/>
    </row>
    <row r="283" spans="54:202" ht="12" x14ac:dyDescent="0.2">
      <c r="BB283" s="432">
        <v>213</v>
      </c>
      <c r="BC283" s="432"/>
      <c r="BD283" s="432"/>
      <c r="BE283" s="216">
        <f>BE281*30.2/130.2</f>
        <v>3214.8387096774195</v>
      </c>
      <c r="BF283" s="435">
        <f>BF282*30.2%</f>
        <v>642.96774193548379</v>
      </c>
      <c r="BG283" s="435"/>
      <c r="BH283" s="435"/>
      <c r="BI283" s="435"/>
      <c r="BJ283" s="435"/>
      <c r="BK283" s="435">
        <f>BK282*30.2%</f>
        <v>2571.8709677419351</v>
      </c>
      <c r="BL283" s="435"/>
      <c r="BM283" s="435"/>
      <c r="BN283" s="435"/>
      <c r="BO283" s="435"/>
      <c r="BP283" s="435"/>
      <c r="BQ283" s="435"/>
    </row>
    <row r="287" spans="54:202" ht="12" x14ac:dyDescent="0.2">
      <c r="BB287" s="432" t="s">
        <v>633</v>
      </c>
      <c r="BC287" s="432"/>
      <c r="BD287" s="432"/>
      <c r="BE287" s="432"/>
      <c r="BF287" s="432"/>
      <c r="BG287" s="432"/>
      <c r="BH287" s="432"/>
      <c r="BI287" s="432"/>
      <c r="BJ287" s="432"/>
      <c r="BK287" s="432"/>
      <c r="BL287" s="432"/>
      <c r="BM287" s="432"/>
      <c r="BN287" s="432"/>
      <c r="BO287" s="432"/>
      <c r="BP287" s="432"/>
      <c r="BQ287" s="432"/>
      <c r="BR287" s="432"/>
      <c r="BS287" s="432"/>
      <c r="BT287" s="432"/>
      <c r="BU287" s="432"/>
      <c r="BV287" s="432"/>
      <c r="BW287" s="432"/>
      <c r="BX287" s="432"/>
      <c r="DD287" s="432" t="s">
        <v>126</v>
      </c>
      <c r="DE287" s="432"/>
      <c r="DF287" s="432"/>
      <c r="DG287" s="433">
        <f>150*9</f>
        <v>1350</v>
      </c>
      <c r="DH287" s="433"/>
      <c r="DI287" s="433"/>
      <c r="DJ287" s="433"/>
      <c r="DK287" s="433"/>
      <c r="DL287" s="382" t="s">
        <v>127</v>
      </c>
      <c r="DM287" s="382"/>
      <c r="DN287" s="382"/>
      <c r="DO287" s="382"/>
      <c r="DP287" s="382"/>
      <c r="DQ287" s="382"/>
      <c r="DR287" s="382"/>
      <c r="DS287" s="382"/>
      <c r="ED287" s="432" t="s">
        <v>126</v>
      </c>
      <c r="EE287" s="432"/>
      <c r="EF287" s="432"/>
      <c r="EG287" s="433">
        <f>150*49</f>
        <v>7350</v>
      </c>
      <c r="EH287" s="433"/>
      <c r="EI287" s="433"/>
      <c r="EJ287" s="433"/>
      <c r="EK287" s="433"/>
      <c r="EL287" s="382" t="s">
        <v>127</v>
      </c>
      <c r="EM287" s="382"/>
      <c r="EN287" s="382"/>
      <c r="EO287" s="382"/>
      <c r="EP287" s="382"/>
      <c r="EQ287" s="382"/>
      <c r="ER287" s="382"/>
      <c r="ES287" s="382"/>
    </row>
    <row r="288" spans="54:202" ht="12" x14ac:dyDescent="0.2">
      <c r="BB288" s="432" t="s">
        <v>126</v>
      </c>
      <c r="BC288" s="432"/>
      <c r="BD288" s="432"/>
      <c r="BE288" s="433">
        <f>220*44</f>
        <v>9680</v>
      </c>
      <c r="BF288" s="433"/>
      <c r="BG288" s="433"/>
      <c r="BH288" s="433"/>
      <c r="BI288" s="433"/>
      <c r="BJ288" s="382" t="s">
        <v>127</v>
      </c>
      <c r="BK288" s="382"/>
      <c r="BL288" s="382"/>
      <c r="BM288" s="382"/>
      <c r="BN288" s="382"/>
      <c r="BO288" s="382"/>
      <c r="BP288" s="382"/>
      <c r="BQ288" s="382"/>
      <c r="DD288" s="434">
        <v>0.6</v>
      </c>
      <c r="DE288" s="432"/>
      <c r="DF288" s="432"/>
      <c r="DG288" s="216">
        <f>DG287*DD288</f>
        <v>810</v>
      </c>
      <c r="DH288" s="432" t="s">
        <v>128</v>
      </c>
      <c r="DI288" s="432"/>
      <c r="DJ288" s="432"/>
      <c r="DK288" s="432"/>
      <c r="DL288" s="432"/>
      <c r="DM288" s="432" t="s">
        <v>129</v>
      </c>
      <c r="DN288" s="432"/>
      <c r="DO288" s="432"/>
      <c r="DP288" s="432"/>
      <c r="DQ288" s="432"/>
      <c r="DR288" s="432"/>
      <c r="DS288" s="432"/>
      <c r="ED288" s="434">
        <v>0.6</v>
      </c>
      <c r="EE288" s="432"/>
      <c r="EF288" s="432"/>
      <c r="EG288" s="216">
        <f>EG287*ED288</f>
        <v>4410</v>
      </c>
      <c r="EH288" s="432" t="s">
        <v>128</v>
      </c>
      <c r="EI288" s="432"/>
      <c r="EJ288" s="432"/>
      <c r="EK288" s="432"/>
      <c r="EL288" s="432"/>
      <c r="EM288" s="432" t="s">
        <v>129</v>
      </c>
      <c r="EN288" s="432"/>
      <c r="EO288" s="432"/>
      <c r="EP288" s="432"/>
      <c r="EQ288" s="432"/>
      <c r="ER288" s="432"/>
      <c r="ES288" s="432"/>
    </row>
    <row r="289" spans="54:202" ht="15" x14ac:dyDescent="0.25">
      <c r="BB289" s="434">
        <v>0.6</v>
      </c>
      <c r="BC289" s="432"/>
      <c r="BD289" s="432"/>
      <c r="BE289" s="216">
        <f>BE288*BB289</f>
        <v>5808</v>
      </c>
      <c r="BF289" s="432" t="s">
        <v>128</v>
      </c>
      <c r="BG289" s="432"/>
      <c r="BH289" s="432"/>
      <c r="BI289" s="432"/>
      <c r="BJ289" s="432"/>
      <c r="BK289" s="432" t="s">
        <v>129</v>
      </c>
      <c r="BL289" s="432"/>
      <c r="BM289" s="432"/>
      <c r="BN289" s="432"/>
      <c r="BO289" s="432"/>
      <c r="BP289" s="432"/>
      <c r="BQ289" s="432"/>
      <c r="DD289" s="432">
        <v>211</v>
      </c>
      <c r="DE289" s="432"/>
      <c r="DF289" s="432"/>
      <c r="DG289" s="216">
        <f>DG288-DG290</f>
        <v>622.11981566820282</v>
      </c>
      <c r="DH289" s="435">
        <f>DG289*0.1</f>
        <v>62.211981566820285</v>
      </c>
      <c r="DI289" s="435"/>
      <c r="DJ289" s="435"/>
      <c r="DK289" s="435"/>
      <c r="DL289" s="435"/>
      <c r="DM289" s="435">
        <f>DG289-DH289</f>
        <v>559.90783410138249</v>
      </c>
      <c r="DN289" s="432"/>
      <c r="DO289" s="432"/>
      <c r="DP289" s="432"/>
      <c r="DQ289" s="432"/>
      <c r="DR289" s="432"/>
      <c r="DS289" s="432"/>
      <c r="ED289" s="432">
        <v>211</v>
      </c>
      <c r="EE289" s="432"/>
      <c r="EF289" s="432"/>
      <c r="EG289" s="216">
        <f>EG288-EG290</f>
        <v>3387.0967741935483</v>
      </c>
      <c r="EH289" s="435">
        <f>EG289*0.1</f>
        <v>338.70967741935488</v>
      </c>
      <c r="EI289" s="435"/>
      <c r="EJ289" s="435"/>
      <c r="EK289" s="435"/>
      <c r="EL289" s="435"/>
      <c r="EM289" s="435">
        <f>EG289-EH289</f>
        <v>3048.3870967741932</v>
      </c>
      <c r="EN289" s="432"/>
      <c r="EO289" s="432"/>
      <c r="EP289" s="432"/>
      <c r="EQ289" s="432"/>
      <c r="ER289" s="432"/>
      <c r="ES289" s="432"/>
      <c r="GI289" s="432" t="s">
        <v>368</v>
      </c>
      <c r="GJ289" s="443"/>
      <c r="GK289" s="443"/>
      <c r="GL289" s="443"/>
      <c r="GO289" s="444" t="s">
        <v>366</v>
      </c>
      <c r="GP289" s="441"/>
      <c r="GQ289" s="441"/>
      <c r="GR289" s="441"/>
      <c r="GS289" s="441"/>
      <c r="GT289" s="441"/>
    </row>
    <row r="290" spans="54:202" ht="15" x14ac:dyDescent="0.25">
      <c r="BB290" s="432">
        <v>211</v>
      </c>
      <c r="BC290" s="432"/>
      <c r="BD290" s="432"/>
      <c r="BE290" s="216">
        <f>BE289-BE291</f>
        <v>4460.8294930875572</v>
      </c>
      <c r="BF290" s="435">
        <f>BE290*0.2</f>
        <v>892.16589861751152</v>
      </c>
      <c r="BG290" s="435"/>
      <c r="BH290" s="435"/>
      <c r="BI290" s="435"/>
      <c r="BJ290" s="435"/>
      <c r="BK290" s="436">
        <f>BE290-BF290</f>
        <v>3568.6635944700456</v>
      </c>
      <c r="BL290" s="445"/>
      <c r="BM290" s="445"/>
      <c r="BN290" s="445"/>
      <c r="BO290" s="445"/>
      <c r="BP290" s="445"/>
      <c r="BQ290" s="445"/>
      <c r="DD290" s="432">
        <v>213</v>
      </c>
      <c r="DE290" s="432"/>
      <c r="DF290" s="432"/>
      <c r="DG290" s="216">
        <f>DG288*30.2/130.2</f>
        <v>187.88018433179724</v>
      </c>
      <c r="DH290" s="435">
        <f>DH289*30.2%</f>
        <v>18.788018433179726</v>
      </c>
      <c r="DI290" s="435"/>
      <c r="DJ290" s="435"/>
      <c r="DK290" s="435"/>
      <c r="DL290" s="435"/>
      <c r="DM290" s="435">
        <f>DM289*30.2%</f>
        <v>169.09216589861751</v>
      </c>
      <c r="DN290" s="435"/>
      <c r="DO290" s="435"/>
      <c r="DP290" s="435"/>
      <c r="DQ290" s="435"/>
      <c r="DR290" s="435"/>
      <c r="DS290" s="435"/>
      <c r="ED290" s="432">
        <v>213</v>
      </c>
      <c r="EE290" s="432"/>
      <c r="EF290" s="432"/>
      <c r="EG290" s="216">
        <f>EG288*30.2/130.2</f>
        <v>1022.9032258064517</v>
      </c>
      <c r="EH290" s="435">
        <f>EH289*30.2%</f>
        <v>102.29032258064517</v>
      </c>
      <c r="EI290" s="435"/>
      <c r="EJ290" s="435"/>
      <c r="EK290" s="435"/>
      <c r="EL290" s="435"/>
      <c r="EM290" s="435">
        <f>EM289*30.2%</f>
        <v>920.61290322580635</v>
      </c>
      <c r="EN290" s="435"/>
      <c r="EO290" s="435"/>
      <c r="EP290" s="435"/>
      <c r="EQ290" s="435"/>
      <c r="ER290" s="435"/>
      <c r="ES290" s="435"/>
      <c r="GI290" s="437">
        <f>BF290*15/20</f>
        <v>669.12442396313361</v>
      </c>
      <c r="GJ290" s="446"/>
      <c r="GK290" s="446"/>
      <c r="GL290" s="446"/>
      <c r="GO290" s="437">
        <f>BF290*5/20</f>
        <v>223.04147465437785</v>
      </c>
      <c r="GP290" s="446"/>
      <c r="GQ290" s="446"/>
      <c r="GR290" s="446"/>
      <c r="GS290" s="446"/>
      <c r="GT290" s="446"/>
    </row>
    <row r="291" spans="54:202" ht="12" x14ac:dyDescent="0.2">
      <c r="BB291" s="432">
        <v>213</v>
      </c>
      <c r="BC291" s="432"/>
      <c r="BD291" s="432"/>
      <c r="BE291" s="216">
        <f>BE289*30.2/130.2</f>
        <v>1347.1705069124425</v>
      </c>
      <c r="BF291" s="435">
        <f>BF290*30.2%</f>
        <v>269.43410138248845</v>
      </c>
      <c r="BG291" s="435"/>
      <c r="BH291" s="435"/>
      <c r="BI291" s="435"/>
      <c r="BJ291" s="435"/>
      <c r="BK291" s="435">
        <f>BK290*30.2%</f>
        <v>1077.7364055299538</v>
      </c>
      <c r="BL291" s="435"/>
      <c r="BM291" s="435"/>
      <c r="BN291" s="435"/>
      <c r="BO291" s="435"/>
      <c r="BP291" s="435"/>
      <c r="BQ291" s="435"/>
    </row>
    <row r="296" spans="54:202" ht="12" x14ac:dyDescent="0.2">
      <c r="BB296" s="432" t="s">
        <v>641</v>
      </c>
      <c r="BC296" s="432"/>
      <c r="BD296" s="432"/>
      <c r="BE296" s="432"/>
      <c r="BF296" s="432"/>
      <c r="BG296" s="432"/>
      <c r="BH296" s="432"/>
      <c r="BI296" s="432"/>
      <c r="BJ296" s="432"/>
      <c r="BK296" s="432"/>
      <c r="BL296" s="432"/>
      <c r="BM296" s="432"/>
      <c r="BN296" s="432"/>
      <c r="BO296" s="432"/>
      <c r="BP296" s="432"/>
      <c r="BQ296" s="432"/>
      <c r="BR296" s="432"/>
      <c r="BS296" s="432"/>
      <c r="BT296" s="432"/>
      <c r="BU296" s="432"/>
      <c r="BV296" s="432"/>
      <c r="BW296" s="432"/>
      <c r="BX296" s="432"/>
      <c r="DD296" s="432" t="s">
        <v>126</v>
      </c>
      <c r="DE296" s="432"/>
      <c r="DF296" s="432"/>
      <c r="DG296" s="433">
        <f>150*9</f>
        <v>1350</v>
      </c>
      <c r="DH296" s="433"/>
      <c r="DI296" s="433"/>
      <c r="DJ296" s="433"/>
      <c r="DK296" s="433"/>
      <c r="DL296" s="385" t="s">
        <v>127</v>
      </c>
      <c r="DM296" s="385"/>
      <c r="DN296" s="385"/>
      <c r="DO296" s="385"/>
      <c r="DP296" s="385"/>
      <c r="DQ296" s="385"/>
      <c r="DR296" s="385"/>
      <c r="DS296" s="385"/>
      <c r="ED296" s="432" t="s">
        <v>126</v>
      </c>
      <c r="EE296" s="432"/>
      <c r="EF296" s="432"/>
      <c r="EG296" s="433">
        <f>150*49</f>
        <v>7350</v>
      </c>
      <c r="EH296" s="433"/>
      <c r="EI296" s="433"/>
      <c r="EJ296" s="433"/>
      <c r="EK296" s="433"/>
      <c r="EL296" s="385" t="s">
        <v>127</v>
      </c>
      <c r="EM296" s="385"/>
      <c r="EN296" s="385"/>
      <c r="EO296" s="385"/>
      <c r="EP296" s="385"/>
      <c r="EQ296" s="385"/>
      <c r="ER296" s="385"/>
      <c r="ES296" s="385"/>
    </row>
    <row r="297" spans="54:202" ht="12" x14ac:dyDescent="0.2">
      <c r="BB297" s="432" t="s">
        <v>126</v>
      </c>
      <c r="BC297" s="432"/>
      <c r="BD297" s="432"/>
      <c r="BE297" s="433">
        <f>220*25</f>
        <v>5500</v>
      </c>
      <c r="BF297" s="433"/>
      <c r="BG297" s="433"/>
      <c r="BH297" s="433"/>
      <c r="BI297" s="433"/>
      <c r="BJ297" s="385" t="s">
        <v>127</v>
      </c>
      <c r="BK297" s="385"/>
      <c r="BL297" s="385"/>
      <c r="BM297" s="385"/>
      <c r="BN297" s="385"/>
      <c r="BO297" s="385"/>
      <c r="BP297" s="385"/>
      <c r="BQ297" s="385"/>
      <c r="DD297" s="434">
        <v>0.6</v>
      </c>
      <c r="DE297" s="432"/>
      <c r="DF297" s="432"/>
      <c r="DG297" s="216">
        <f>DG296*DD297</f>
        <v>810</v>
      </c>
      <c r="DH297" s="432" t="s">
        <v>128</v>
      </c>
      <c r="DI297" s="432"/>
      <c r="DJ297" s="432"/>
      <c r="DK297" s="432"/>
      <c r="DL297" s="432"/>
      <c r="DM297" s="432" t="s">
        <v>129</v>
      </c>
      <c r="DN297" s="432"/>
      <c r="DO297" s="432"/>
      <c r="DP297" s="432"/>
      <c r="DQ297" s="432"/>
      <c r="DR297" s="432"/>
      <c r="DS297" s="432"/>
      <c r="ED297" s="434">
        <v>0.6</v>
      </c>
      <c r="EE297" s="432"/>
      <c r="EF297" s="432"/>
      <c r="EG297" s="216">
        <f>EG296*ED297</f>
        <v>4410</v>
      </c>
      <c r="EH297" s="432" t="s">
        <v>128</v>
      </c>
      <c r="EI297" s="432"/>
      <c r="EJ297" s="432"/>
      <c r="EK297" s="432"/>
      <c r="EL297" s="432"/>
      <c r="EM297" s="432" t="s">
        <v>129</v>
      </c>
      <c r="EN297" s="432"/>
      <c r="EO297" s="432"/>
      <c r="EP297" s="432"/>
      <c r="EQ297" s="432"/>
      <c r="ER297" s="432"/>
      <c r="ES297" s="432"/>
    </row>
    <row r="298" spans="54:202" ht="15" x14ac:dyDescent="0.25">
      <c r="BB298" s="434">
        <v>0.6</v>
      </c>
      <c r="BC298" s="432"/>
      <c r="BD298" s="432"/>
      <c r="BE298" s="216">
        <f>BE297*BB298</f>
        <v>3300</v>
      </c>
      <c r="BF298" s="432" t="s">
        <v>128</v>
      </c>
      <c r="BG298" s="432"/>
      <c r="BH298" s="432"/>
      <c r="BI298" s="432"/>
      <c r="BJ298" s="432"/>
      <c r="BK298" s="432" t="s">
        <v>129</v>
      </c>
      <c r="BL298" s="432"/>
      <c r="BM298" s="432"/>
      <c r="BN298" s="432"/>
      <c r="BO298" s="432"/>
      <c r="BP298" s="432"/>
      <c r="BQ298" s="432"/>
      <c r="DD298" s="432">
        <v>211</v>
      </c>
      <c r="DE298" s="432"/>
      <c r="DF298" s="432"/>
      <c r="DG298" s="216">
        <f>DG297-DG299</f>
        <v>622.11981566820282</v>
      </c>
      <c r="DH298" s="435">
        <f>DG298*0.1</f>
        <v>62.211981566820285</v>
      </c>
      <c r="DI298" s="435"/>
      <c r="DJ298" s="435"/>
      <c r="DK298" s="435"/>
      <c r="DL298" s="435"/>
      <c r="DM298" s="435">
        <f>DG298-DH298</f>
        <v>559.90783410138249</v>
      </c>
      <c r="DN298" s="432"/>
      <c r="DO298" s="432"/>
      <c r="DP298" s="432"/>
      <c r="DQ298" s="432"/>
      <c r="DR298" s="432"/>
      <c r="DS298" s="432"/>
      <c r="ED298" s="432">
        <v>211</v>
      </c>
      <c r="EE298" s="432"/>
      <c r="EF298" s="432"/>
      <c r="EG298" s="216">
        <f>EG297-EG299</f>
        <v>3387.0967741935483</v>
      </c>
      <c r="EH298" s="435">
        <f>EG298*0.1</f>
        <v>338.70967741935488</v>
      </c>
      <c r="EI298" s="435"/>
      <c r="EJ298" s="435"/>
      <c r="EK298" s="435"/>
      <c r="EL298" s="435"/>
      <c r="EM298" s="435">
        <f>EG298-EH298</f>
        <v>3048.3870967741932</v>
      </c>
      <c r="EN298" s="432"/>
      <c r="EO298" s="432"/>
      <c r="EP298" s="432"/>
      <c r="EQ298" s="432"/>
      <c r="ER298" s="432"/>
      <c r="ES298" s="432"/>
      <c r="GI298" s="432" t="s">
        <v>368</v>
      </c>
      <c r="GJ298" s="443"/>
      <c r="GK298" s="443"/>
      <c r="GL298" s="443"/>
      <c r="GO298" s="444" t="s">
        <v>366</v>
      </c>
      <c r="GP298" s="441"/>
      <c r="GQ298" s="441"/>
      <c r="GR298" s="441"/>
      <c r="GS298" s="441"/>
      <c r="GT298" s="441"/>
    </row>
    <row r="299" spans="54:202" ht="15" x14ac:dyDescent="0.25">
      <c r="BB299" s="432">
        <v>211</v>
      </c>
      <c r="BC299" s="432"/>
      <c r="BD299" s="432"/>
      <c r="BE299" s="216">
        <f>BE298-BE300</f>
        <v>2534.5622119815666</v>
      </c>
      <c r="BF299" s="435">
        <f>BE299*0.2</f>
        <v>506.91244239631334</v>
      </c>
      <c r="BG299" s="435"/>
      <c r="BH299" s="435"/>
      <c r="BI299" s="435"/>
      <c r="BJ299" s="435"/>
      <c r="BK299" s="436">
        <f>BE299-BF299</f>
        <v>2027.6497695852534</v>
      </c>
      <c r="BL299" s="445"/>
      <c r="BM299" s="445"/>
      <c r="BN299" s="445"/>
      <c r="BO299" s="445"/>
      <c r="BP299" s="445"/>
      <c r="BQ299" s="445"/>
      <c r="DD299" s="432">
        <v>213</v>
      </c>
      <c r="DE299" s="432"/>
      <c r="DF299" s="432"/>
      <c r="DG299" s="216">
        <f>DG297*30.2/130.2</f>
        <v>187.88018433179724</v>
      </c>
      <c r="DH299" s="435">
        <f>DH298*30.2%</f>
        <v>18.788018433179726</v>
      </c>
      <c r="DI299" s="435"/>
      <c r="DJ299" s="435"/>
      <c r="DK299" s="435"/>
      <c r="DL299" s="435"/>
      <c r="DM299" s="435">
        <f>DM298*30.2%</f>
        <v>169.09216589861751</v>
      </c>
      <c r="DN299" s="435"/>
      <c r="DO299" s="435"/>
      <c r="DP299" s="435"/>
      <c r="DQ299" s="435"/>
      <c r="DR299" s="435"/>
      <c r="DS299" s="435"/>
      <c r="ED299" s="432">
        <v>213</v>
      </c>
      <c r="EE299" s="432"/>
      <c r="EF299" s="432"/>
      <c r="EG299" s="216">
        <f>EG297*30.2/130.2</f>
        <v>1022.9032258064517</v>
      </c>
      <c r="EH299" s="435">
        <f>EH298*30.2%</f>
        <v>102.29032258064517</v>
      </c>
      <c r="EI299" s="435"/>
      <c r="EJ299" s="435"/>
      <c r="EK299" s="435"/>
      <c r="EL299" s="435"/>
      <c r="EM299" s="435">
        <f>EM298*30.2%</f>
        <v>920.61290322580635</v>
      </c>
      <c r="EN299" s="435"/>
      <c r="EO299" s="435"/>
      <c r="EP299" s="435"/>
      <c r="EQ299" s="435"/>
      <c r="ER299" s="435"/>
      <c r="ES299" s="435"/>
      <c r="GI299" s="437">
        <f>BF299*15/20</f>
        <v>380.18433179723502</v>
      </c>
      <c r="GJ299" s="446"/>
      <c r="GK299" s="446"/>
      <c r="GL299" s="446"/>
      <c r="GO299" s="437">
        <f>BF299*5/20</f>
        <v>126.72811059907833</v>
      </c>
      <c r="GP299" s="446"/>
      <c r="GQ299" s="446"/>
      <c r="GR299" s="446"/>
      <c r="GS299" s="446"/>
      <c r="GT299" s="446"/>
    </row>
    <row r="300" spans="54:202" ht="12" x14ac:dyDescent="0.2">
      <c r="BB300" s="432">
        <v>213</v>
      </c>
      <c r="BC300" s="432"/>
      <c r="BD300" s="432"/>
      <c r="BE300" s="216">
        <f>BE298*30.2/130.2</f>
        <v>765.43778801843325</v>
      </c>
      <c r="BF300" s="435">
        <f>BF299*30.2%</f>
        <v>153.08755760368663</v>
      </c>
      <c r="BG300" s="435"/>
      <c r="BH300" s="435"/>
      <c r="BI300" s="435"/>
      <c r="BJ300" s="435"/>
      <c r="BK300" s="435">
        <f>BK299*30.2%</f>
        <v>612.35023041474653</v>
      </c>
      <c r="BL300" s="435"/>
      <c r="BM300" s="435"/>
      <c r="BN300" s="435"/>
      <c r="BO300" s="435"/>
      <c r="BP300" s="435"/>
      <c r="BQ300" s="435"/>
    </row>
    <row r="301" spans="54:202" ht="12" x14ac:dyDescent="0.2"/>
  </sheetData>
  <mergeCells count="1204">
    <mergeCell ref="BK290:BQ290"/>
    <mergeCell ref="DD290:DF290"/>
    <mergeCell ref="DH290:DL290"/>
    <mergeCell ref="DM290:DS290"/>
    <mergeCell ref="ED290:EF290"/>
    <mergeCell ref="EH290:EL290"/>
    <mergeCell ref="EM290:ES290"/>
    <mergeCell ref="GI290:GL290"/>
    <mergeCell ref="GO290:GT290"/>
    <mergeCell ref="BB291:BD291"/>
    <mergeCell ref="BF291:BJ291"/>
    <mergeCell ref="BK291:BQ291"/>
    <mergeCell ref="BB287:BX287"/>
    <mergeCell ref="DD287:DF287"/>
    <mergeCell ref="DG287:DK287"/>
    <mergeCell ref="ED287:EF287"/>
    <mergeCell ref="EG287:EK287"/>
    <mergeCell ref="BB288:BD288"/>
    <mergeCell ref="BE288:BI288"/>
    <mergeCell ref="DD288:DF288"/>
    <mergeCell ref="DH288:DL288"/>
    <mergeCell ref="DM288:DS288"/>
    <mergeCell ref="ED288:EF288"/>
    <mergeCell ref="EH288:EL288"/>
    <mergeCell ref="EM288:ES288"/>
    <mergeCell ref="BB289:BD289"/>
    <mergeCell ref="BF289:BJ289"/>
    <mergeCell ref="BK289:BQ289"/>
    <mergeCell ref="BB276:BD276"/>
    <mergeCell ref="BF276:BJ276"/>
    <mergeCell ref="BK276:BQ276"/>
    <mergeCell ref="BB272:BX272"/>
    <mergeCell ref="DD272:DF272"/>
    <mergeCell ref="DG272:DK272"/>
    <mergeCell ref="ED272:EF272"/>
    <mergeCell ref="EG272:EK272"/>
    <mergeCell ref="BB273:BD273"/>
    <mergeCell ref="BE273:BI273"/>
    <mergeCell ref="DD273:DF273"/>
    <mergeCell ref="DH273:DL273"/>
    <mergeCell ref="DM273:DS273"/>
    <mergeCell ref="ED273:EF273"/>
    <mergeCell ref="EH273:EL273"/>
    <mergeCell ref="EM273:ES273"/>
    <mergeCell ref="BB274:BD274"/>
    <mergeCell ref="BF274:BJ274"/>
    <mergeCell ref="BK274:BQ274"/>
    <mergeCell ref="BK275:BQ275"/>
    <mergeCell ref="DD275:DF275"/>
    <mergeCell ref="DH275:DL275"/>
    <mergeCell ref="DM275:DS275"/>
    <mergeCell ref="DD274:DF274"/>
    <mergeCell ref="DH274:DL274"/>
    <mergeCell ref="DM274:DS274"/>
    <mergeCell ref="ED274:EF274"/>
    <mergeCell ref="EH274:EL274"/>
    <mergeCell ref="EM274:ES274"/>
    <mergeCell ref="LG255:LJ255"/>
    <mergeCell ref="LM255:LR255"/>
    <mergeCell ref="GY256:HA256"/>
    <mergeCell ref="HC256:HG256"/>
    <mergeCell ref="HH256:HN256"/>
    <mergeCell ref="JA256:JC256"/>
    <mergeCell ref="JE256:JI256"/>
    <mergeCell ref="JJ256:JP256"/>
    <mergeCell ref="LG256:LJ256"/>
    <mergeCell ref="LM256:LR256"/>
    <mergeCell ref="GY257:HA257"/>
    <mergeCell ref="HC257:HG257"/>
    <mergeCell ref="HH257:HN257"/>
    <mergeCell ref="GO256:GT256"/>
    <mergeCell ref="DH255:DL255"/>
    <mergeCell ref="DM255:DS255"/>
    <mergeCell ref="ED255:EF255"/>
    <mergeCell ref="GI255:GL255"/>
    <mergeCell ref="GO255:GT255"/>
    <mergeCell ref="EM256:ES256"/>
    <mergeCell ref="GI256:GL256"/>
    <mergeCell ref="GI274:GL274"/>
    <mergeCell ref="GO274:GT274"/>
    <mergeCell ref="GI262:GL262"/>
    <mergeCell ref="GO262:GT262"/>
    <mergeCell ref="GI263:GL263"/>
    <mergeCell ref="GO263:GT263"/>
    <mergeCell ref="ED275:EF275"/>
    <mergeCell ref="EH275:EL275"/>
    <mergeCell ref="EM275:ES275"/>
    <mergeCell ref="GI275:GL275"/>
    <mergeCell ref="GO275:GT275"/>
    <mergeCell ref="JA253:JC253"/>
    <mergeCell ref="JD253:JH253"/>
    <mergeCell ref="GY254:HA254"/>
    <mergeCell ref="HB254:HF254"/>
    <mergeCell ref="JA254:JC254"/>
    <mergeCell ref="JE254:JI254"/>
    <mergeCell ref="JJ254:JP254"/>
    <mergeCell ref="GY255:HA255"/>
    <mergeCell ref="HC255:HG255"/>
    <mergeCell ref="HH255:HN255"/>
    <mergeCell ref="JA255:JC255"/>
    <mergeCell ref="JE255:JI255"/>
    <mergeCell ref="JJ255:JP255"/>
    <mergeCell ref="EM254:ES254"/>
    <mergeCell ref="BB260:BX260"/>
    <mergeCell ref="DD260:DF260"/>
    <mergeCell ref="DG260:DK260"/>
    <mergeCell ref="EH255:EL255"/>
    <mergeCell ref="EM255:ES255"/>
    <mergeCell ref="BK256:BQ256"/>
    <mergeCell ref="DD256:DF256"/>
    <mergeCell ref="DH256:DL256"/>
    <mergeCell ref="DM256:DS256"/>
    <mergeCell ref="ED256:EF256"/>
    <mergeCell ref="EH256:EL256"/>
    <mergeCell ref="BB255:BD255"/>
    <mergeCell ref="BF255:BJ255"/>
    <mergeCell ref="BK255:BQ255"/>
    <mergeCell ref="DD255:DF255"/>
    <mergeCell ref="BE254:BI254"/>
    <mergeCell ref="DD254:DF254"/>
    <mergeCell ref="DH254:DL254"/>
    <mergeCell ref="BB229:BD229"/>
    <mergeCell ref="BF229:BJ229"/>
    <mergeCell ref="BK229:BQ229"/>
    <mergeCell ref="GI227:GL227"/>
    <mergeCell ref="GO227:GT227"/>
    <mergeCell ref="BB228:BD228"/>
    <mergeCell ref="BF228:BJ228"/>
    <mergeCell ref="BK228:BQ228"/>
    <mergeCell ref="DD228:DF228"/>
    <mergeCell ref="DH228:DL228"/>
    <mergeCell ref="DM228:DS228"/>
    <mergeCell ref="ED228:EF228"/>
    <mergeCell ref="EH228:EL228"/>
    <mergeCell ref="EM228:ES228"/>
    <mergeCell ref="GI228:GL228"/>
    <mergeCell ref="GO228:GT228"/>
    <mergeCell ref="GY253:HU253"/>
    <mergeCell ref="EM233:ES233"/>
    <mergeCell ref="BB234:BD234"/>
    <mergeCell ref="BF234:BJ234"/>
    <mergeCell ref="BK234:BQ234"/>
    <mergeCell ref="DD234:DF234"/>
    <mergeCell ref="DH234:DL234"/>
    <mergeCell ref="DM234:DS234"/>
    <mergeCell ref="ED234:EF234"/>
    <mergeCell ref="EH234:EL234"/>
    <mergeCell ref="EM234:ES234"/>
    <mergeCell ref="BB232:BX232"/>
    <mergeCell ref="DD232:DF232"/>
    <mergeCell ref="DG232:DK232"/>
    <mergeCell ref="ED232:EF232"/>
    <mergeCell ref="EG232:EK232"/>
    <mergeCell ref="BB226:BD226"/>
    <mergeCell ref="BE226:BI226"/>
    <mergeCell ref="DD226:DF226"/>
    <mergeCell ref="DH226:DL226"/>
    <mergeCell ref="DM226:DS226"/>
    <mergeCell ref="ED226:EF226"/>
    <mergeCell ref="EH226:EL226"/>
    <mergeCell ref="EM226:ES226"/>
    <mergeCell ref="BB227:BD227"/>
    <mergeCell ref="BF227:BJ227"/>
    <mergeCell ref="BK227:BQ227"/>
    <mergeCell ref="DD227:DF227"/>
    <mergeCell ref="DH227:DL227"/>
    <mergeCell ref="DM227:DS227"/>
    <mergeCell ref="ED227:EF227"/>
    <mergeCell ref="EH227:EL227"/>
    <mergeCell ref="EM227:ES227"/>
    <mergeCell ref="BB213:BD213"/>
    <mergeCell ref="BF213:BJ213"/>
    <mergeCell ref="BK213:BQ213"/>
    <mergeCell ref="GI211:GL211"/>
    <mergeCell ref="GO211:GT211"/>
    <mergeCell ref="BB212:BD212"/>
    <mergeCell ref="BF212:BJ212"/>
    <mergeCell ref="BK212:BQ212"/>
    <mergeCell ref="DD212:DF212"/>
    <mergeCell ref="DH212:DL212"/>
    <mergeCell ref="DM212:DS212"/>
    <mergeCell ref="ED212:EF212"/>
    <mergeCell ref="EH212:EL212"/>
    <mergeCell ref="EM212:ES212"/>
    <mergeCell ref="GI212:GL212"/>
    <mergeCell ref="GO212:GT212"/>
    <mergeCell ref="BB225:BX225"/>
    <mergeCell ref="DD225:DF225"/>
    <mergeCell ref="DG225:DK225"/>
    <mergeCell ref="ED225:EF225"/>
    <mergeCell ref="EG225:EK225"/>
    <mergeCell ref="BB216:BX216"/>
    <mergeCell ref="DD216:DF216"/>
    <mergeCell ref="DG216:DK216"/>
    <mergeCell ref="ED216:EF216"/>
    <mergeCell ref="EG216:EK216"/>
    <mergeCell ref="BB217:BD217"/>
    <mergeCell ref="BE217:BI217"/>
    <mergeCell ref="DD217:DF217"/>
    <mergeCell ref="DH217:DL217"/>
    <mergeCell ref="DM217:DS217"/>
    <mergeCell ref="ED217:EF217"/>
    <mergeCell ref="BB210:BD210"/>
    <mergeCell ref="BE210:BI210"/>
    <mergeCell ref="DD210:DF210"/>
    <mergeCell ref="DH210:DL210"/>
    <mergeCell ref="DM210:DS210"/>
    <mergeCell ref="ED210:EF210"/>
    <mergeCell ref="EH210:EL210"/>
    <mergeCell ref="EM210:ES210"/>
    <mergeCell ref="BB211:BD211"/>
    <mergeCell ref="BF211:BJ211"/>
    <mergeCell ref="BK211:BQ211"/>
    <mergeCell ref="DD211:DF211"/>
    <mergeCell ref="DH211:DL211"/>
    <mergeCell ref="DM211:DS211"/>
    <mergeCell ref="ED211:EF211"/>
    <mergeCell ref="EH211:EL211"/>
    <mergeCell ref="EM211:ES211"/>
    <mergeCell ref="BB173:BD173"/>
    <mergeCell ref="BF173:BJ173"/>
    <mergeCell ref="BK173:BQ173"/>
    <mergeCell ref="GI171:GL171"/>
    <mergeCell ref="GO171:GT171"/>
    <mergeCell ref="GI172:GL172"/>
    <mergeCell ref="GO172:GT172"/>
    <mergeCell ref="BB163:BX163"/>
    <mergeCell ref="BB164:BD164"/>
    <mergeCell ref="BE164:BI164"/>
    <mergeCell ref="BB165:BD165"/>
    <mergeCell ref="BF165:BJ165"/>
    <mergeCell ref="BK165:BQ165"/>
    <mergeCell ref="BB166:BD166"/>
    <mergeCell ref="BF166:BJ166"/>
    <mergeCell ref="BK166:BQ166"/>
    <mergeCell ref="DM172:DS172"/>
    <mergeCell ref="ED172:EF172"/>
    <mergeCell ref="EH172:EL172"/>
    <mergeCell ref="EM172:ES172"/>
    <mergeCell ref="DD171:DF171"/>
    <mergeCell ref="DH171:DL171"/>
    <mergeCell ref="DM171:DS171"/>
    <mergeCell ref="ED171:EF171"/>
    <mergeCell ref="EM171:ES171"/>
    <mergeCell ref="FN167:FT167"/>
    <mergeCell ref="DD168:DZ168"/>
    <mergeCell ref="ED168:EZ168"/>
    <mergeCell ref="DD169:DF169"/>
    <mergeCell ref="DG169:DK169"/>
    <mergeCell ref="ED169:EF169"/>
    <mergeCell ref="EG169:EK169"/>
    <mergeCell ref="DD192:DZ192"/>
    <mergeCell ref="ED192:EZ192"/>
    <mergeCell ref="DD193:DF193"/>
    <mergeCell ref="DG193:DK193"/>
    <mergeCell ref="ED193:EF193"/>
    <mergeCell ref="EG193:EK193"/>
    <mergeCell ref="DD196:DF196"/>
    <mergeCell ref="DH196:DL196"/>
    <mergeCell ref="DM196:DS196"/>
    <mergeCell ref="ED196:EF196"/>
    <mergeCell ref="EH196:EL196"/>
    <mergeCell ref="EM196:ES196"/>
    <mergeCell ref="DD195:DF195"/>
    <mergeCell ref="DH195:DL195"/>
    <mergeCell ref="DM195:DS195"/>
    <mergeCell ref="ED195:EF195"/>
    <mergeCell ref="EH195:EL195"/>
    <mergeCell ref="EM195:ES195"/>
    <mergeCell ref="DD172:DF172"/>
    <mergeCell ref="DH172:DL172"/>
    <mergeCell ref="BB169:BX169"/>
    <mergeCell ref="BE170:BI170"/>
    <mergeCell ref="EH171:EL171"/>
    <mergeCell ref="BB170:BD170"/>
    <mergeCell ref="CB165:CD165"/>
    <mergeCell ref="CF165:CJ165"/>
    <mergeCell ref="CK165:CQ165"/>
    <mergeCell ref="CB164:CD164"/>
    <mergeCell ref="CE164:CI164"/>
    <mergeCell ref="DD164:DF164"/>
    <mergeCell ref="DG164:DK164"/>
    <mergeCell ref="DM167:DS167"/>
    <mergeCell ref="ED167:EF167"/>
    <mergeCell ref="EH167:EL167"/>
    <mergeCell ref="EM167:ES167"/>
    <mergeCell ref="DM170:DS170"/>
    <mergeCell ref="ED170:EF170"/>
    <mergeCell ref="EH170:EL170"/>
    <mergeCell ref="BB172:BD172"/>
    <mergeCell ref="BF172:BJ172"/>
    <mergeCell ref="BK172:BQ172"/>
    <mergeCell ref="CB167:CD167"/>
    <mergeCell ref="CF167:CJ167"/>
    <mergeCell ref="CK167:CQ167"/>
    <mergeCell ref="DD167:DF167"/>
    <mergeCell ref="DH167:DL167"/>
    <mergeCell ref="FE165:FG165"/>
    <mergeCell ref="FI165:FM165"/>
    <mergeCell ref="EM170:ES170"/>
    <mergeCell ref="FN165:FT165"/>
    <mergeCell ref="BB171:BD171"/>
    <mergeCell ref="BF171:BJ171"/>
    <mergeCell ref="BK171:BQ171"/>
    <mergeCell ref="CB166:CD166"/>
    <mergeCell ref="CF166:CJ166"/>
    <mergeCell ref="CK166:CQ166"/>
    <mergeCell ref="DD166:DF166"/>
    <mergeCell ref="DD165:DF165"/>
    <mergeCell ref="DH165:DL165"/>
    <mergeCell ref="DM165:DS165"/>
    <mergeCell ref="ED165:EF165"/>
    <mergeCell ref="EH165:EL165"/>
    <mergeCell ref="EM165:ES165"/>
    <mergeCell ref="FI166:FM166"/>
    <mergeCell ref="FN166:FT166"/>
    <mergeCell ref="DM166:DS166"/>
    <mergeCell ref="ED166:EF166"/>
    <mergeCell ref="EH166:EL166"/>
    <mergeCell ref="EM166:ES166"/>
    <mergeCell ref="FE166:FG166"/>
    <mergeCell ref="DH166:DL166"/>
    <mergeCell ref="BB167:BD167"/>
    <mergeCell ref="BF167:BJ167"/>
    <mergeCell ref="BK167:BQ167"/>
    <mergeCell ref="DD170:DF170"/>
    <mergeCell ref="DH170:DL170"/>
    <mergeCell ref="FE167:FG167"/>
    <mergeCell ref="FI167:FM167"/>
    <mergeCell ref="BB158:BD158"/>
    <mergeCell ref="BF158:BJ158"/>
    <mergeCell ref="BK158:BQ158"/>
    <mergeCell ref="CB158:CD158"/>
    <mergeCell ref="CF158:CJ158"/>
    <mergeCell ref="CK158:CQ158"/>
    <mergeCell ref="DD158:DF158"/>
    <mergeCell ref="BB168:BX168"/>
    <mergeCell ref="CB163:CX163"/>
    <mergeCell ref="DD163:DZ163"/>
    <mergeCell ref="ED163:EZ163"/>
    <mergeCell ref="FE163:GA163"/>
    <mergeCell ref="DM159:DS159"/>
    <mergeCell ref="ED159:EF159"/>
    <mergeCell ref="EH159:EL159"/>
    <mergeCell ref="EM159:ES159"/>
    <mergeCell ref="FE159:FG159"/>
    <mergeCell ref="FI159:FM159"/>
    <mergeCell ref="BB159:BD159"/>
    <mergeCell ref="BF159:BJ159"/>
    <mergeCell ref="BK159:BQ159"/>
    <mergeCell ref="CB159:CD159"/>
    <mergeCell ref="CF159:CJ159"/>
    <mergeCell ref="ED164:EF164"/>
    <mergeCell ref="EG164:EK164"/>
    <mergeCell ref="FE164:FG164"/>
    <mergeCell ref="FH164:FL164"/>
    <mergeCell ref="FI158:FM158"/>
    <mergeCell ref="FN158:FT158"/>
    <mergeCell ref="DM158:DS158"/>
    <mergeCell ref="ED158:EF158"/>
    <mergeCell ref="EH158:EL158"/>
    <mergeCell ref="EM158:ES158"/>
    <mergeCell ref="FE158:FG158"/>
    <mergeCell ref="FI157:FM157"/>
    <mergeCell ref="FN157:FT157"/>
    <mergeCell ref="DM157:DS157"/>
    <mergeCell ref="ED157:EF157"/>
    <mergeCell ref="EH157:EL157"/>
    <mergeCell ref="EM157:ES157"/>
    <mergeCell ref="CK159:CQ159"/>
    <mergeCell ref="DD159:DF159"/>
    <mergeCell ref="DH159:DL159"/>
    <mergeCell ref="DH158:DL158"/>
    <mergeCell ref="CK157:CQ157"/>
    <mergeCell ref="FN159:FT159"/>
    <mergeCell ref="CB155:CX155"/>
    <mergeCell ref="DD155:DZ155"/>
    <mergeCell ref="ED155:EZ155"/>
    <mergeCell ref="FE155:GA155"/>
    <mergeCell ref="FH156:FL156"/>
    <mergeCell ref="DD157:DF157"/>
    <mergeCell ref="DH157:DL157"/>
    <mergeCell ref="BB156:BD156"/>
    <mergeCell ref="BE156:BI156"/>
    <mergeCell ref="CB156:CD156"/>
    <mergeCell ref="CE156:CI156"/>
    <mergeCell ref="DD156:DF156"/>
    <mergeCell ref="DG156:DK156"/>
    <mergeCell ref="ED156:EF156"/>
    <mergeCell ref="EG156:EK156"/>
    <mergeCell ref="FE156:FG156"/>
    <mergeCell ref="FE157:FG157"/>
    <mergeCell ref="BB157:BD157"/>
    <mergeCell ref="BF157:BJ157"/>
    <mergeCell ref="BK157:BQ157"/>
    <mergeCell ref="CB157:CD157"/>
    <mergeCell ref="CF157:CJ157"/>
    <mergeCell ref="A146:F146"/>
    <mergeCell ref="H146:L146"/>
    <mergeCell ref="M146:Q146"/>
    <mergeCell ref="R146:U146"/>
    <mergeCell ref="V146:Y146"/>
    <mergeCell ref="Z146:AC146"/>
    <mergeCell ref="AD146:AI146"/>
    <mergeCell ref="AJ146:AP146"/>
    <mergeCell ref="AQ146:AT146"/>
    <mergeCell ref="AU146:AX146"/>
    <mergeCell ref="AY146:BB146"/>
    <mergeCell ref="B151:S152"/>
    <mergeCell ref="BB155:BX155"/>
    <mergeCell ref="AD147:AI147"/>
    <mergeCell ref="AJ147:AP147"/>
    <mergeCell ref="AQ147:AT147"/>
    <mergeCell ref="AU147:AX147"/>
    <mergeCell ref="AY147:BB147"/>
    <mergeCell ref="BC148:BD148"/>
    <mergeCell ref="A147:G147"/>
    <mergeCell ref="H147:L147"/>
    <mergeCell ref="M147:Q147"/>
    <mergeCell ref="R147:U147"/>
    <mergeCell ref="V147:Y147"/>
    <mergeCell ref="Z147:AC147"/>
    <mergeCell ref="BC149:BD149"/>
    <mergeCell ref="B150:S150"/>
    <mergeCell ref="BC150:BD150"/>
    <mergeCell ref="AM150:BB150"/>
    <mergeCell ref="AM152:BB152"/>
    <mergeCell ref="A145:G145"/>
    <mergeCell ref="H145:L145"/>
    <mergeCell ref="M145:Q145"/>
    <mergeCell ref="R145:U145"/>
    <mergeCell ref="V145:Y145"/>
    <mergeCell ref="Z145:AC145"/>
    <mergeCell ref="AD145:AI145"/>
    <mergeCell ref="AJ145:AP145"/>
    <mergeCell ref="A144:G144"/>
    <mergeCell ref="H144:L144"/>
    <mergeCell ref="M144:Q144"/>
    <mergeCell ref="AD144:AI144"/>
    <mergeCell ref="AJ144:AP144"/>
    <mergeCell ref="AQ144:AT144"/>
    <mergeCell ref="AQ145:AT145"/>
    <mergeCell ref="AU145:AX145"/>
    <mergeCell ref="AY145:BB145"/>
    <mergeCell ref="A141:G141"/>
    <mergeCell ref="H141:L141"/>
    <mergeCell ref="M141:Q141"/>
    <mergeCell ref="R141:U144"/>
    <mergeCell ref="V141:Y144"/>
    <mergeCell ref="Z141:AC144"/>
    <mergeCell ref="AD141:AI141"/>
    <mergeCell ref="AJ141:AP141"/>
    <mergeCell ref="AQ141:AT141"/>
    <mergeCell ref="AU141:AX141"/>
    <mergeCell ref="AY141:BB141"/>
    <mergeCell ref="A142:G142"/>
    <mergeCell ref="H142:L142"/>
    <mergeCell ref="M142:Q142"/>
    <mergeCell ref="AD142:AI142"/>
    <mergeCell ref="AJ142:AP142"/>
    <mergeCell ref="AQ142:AT142"/>
    <mergeCell ref="AU142:AX142"/>
    <mergeCell ref="AY142:BB142"/>
    <mergeCell ref="A143:G143"/>
    <mergeCell ref="H143:L143"/>
    <mergeCell ref="M143:Q143"/>
    <mergeCell ref="AD143:AI143"/>
    <mergeCell ref="AJ143:AP143"/>
    <mergeCell ref="AQ143:AT143"/>
    <mergeCell ref="AU143:AX143"/>
    <mergeCell ref="AY143:BB143"/>
    <mergeCell ref="AU144:AX144"/>
    <mergeCell ref="AY144:BB144"/>
    <mergeCell ref="AD138:AP138"/>
    <mergeCell ref="AQ138:AT138"/>
    <mergeCell ref="AU138:AX138"/>
    <mergeCell ref="AY138:BB138"/>
    <mergeCell ref="H139:L139"/>
    <mergeCell ref="M139:Q139"/>
    <mergeCell ref="AD139:AI139"/>
    <mergeCell ref="AJ139:AP139"/>
    <mergeCell ref="AQ139:AT139"/>
    <mergeCell ref="AU139:AX139"/>
    <mergeCell ref="H138:L138"/>
    <mergeCell ref="M138:Q138"/>
    <mergeCell ref="R138:U139"/>
    <mergeCell ref="V138:Y139"/>
    <mergeCell ref="Z138:AC139"/>
    <mergeCell ref="AY139:BB139"/>
    <mergeCell ref="A140:G140"/>
    <mergeCell ref="H140:L140"/>
    <mergeCell ref="M140:Q140"/>
    <mergeCell ref="R140:U140"/>
    <mergeCell ref="V140:Y140"/>
    <mergeCell ref="Z140:AC140"/>
    <mergeCell ref="AD140:AI140"/>
    <mergeCell ref="AJ140:AP140"/>
    <mergeCell ref="AQ140:AT140"/>
    <mergeCell ref="A138:G139"/>
    <mergeCell ref="AU140:AX140"/>
    <mergeCell ref="AY140:BB140"/>
    <mergeCell ref="A128:Z128"/>
    <mergeCell ref="AA128:AF128"/>
    <mergeCell ref="AG128:AL133"/>
    <mergeCell ref="AM128:AT133"/>
    <mergeCell ref="AU128:BB128"/>
    <mergeCell ref="A129:Z129"/>
    <mergeCell ref="AA129:AF129"/>
    <mergeCell ref="AU129:BB129"/>
    <mergeCell ref="A130:Z130"/>
    <mergeCell ref="AA130:AF130"/>
    <mergeCell ref="A133:Z133"/>
    <mergeCell ref="AA133:AF133"/>
    <mergeCell ref="AU133:BB133"/>
    <mergeCell ref="A134:Z134"/>
    <mergeCell ref="AA134:AF134"/>
    <mergeCell ref="AG134:AL134"/>
    <mergeCell ref="AM134:AT134"/>
    <mergeCell ref="AU134:BB134"/>
    <mergeCell ref="AU130:BB130"/>
    <mergeCell ref="A131:Z131"/>
    <mergeCell ref="AA131:AF131"/>
    <mergeCell ref="AU131:BB131"/>
    <mergeCell ref="A132:Z132"/>
    <mergeCell ref="AA132:AF132"/>
    <mergeCell ref="AU132:BB132"/>
    <mergeCell ref="A122:Z122"/>
    <mergeCell ref="AA122:AF122"/>
    <mergeCell ref="AG122:AL122"/>
    <mergeCell ref="AM122:AT122"/>
    <mergeCell ref="AU122:BB122"/>
    <mergeCell ref="A119:Z119"/>
    <mergeCell ref="AA119:AF119"/>
    <mergeCell ref="AU119:BB119"/>
    <mergeCell ref="A120:Z120"/>
    <mergeCell ref="AA120:AF120"/>
    <mergeCell ref="AU120:BB120"/>
    <mergeCell ref="A126:Z126"/>
    <mergeCell ref="AA126:AF126"/>
    <mergeCell ref="AG126:AL126"/>
    <mergeCell ref="AM126:AT126"/>
    <mergeCell ref="AU126:BB126"/>
    <mergeCell ref="A127:Z127"/>
    <mergeCell ref="AA127:AF127"/>
    <mergeCell ref="AG127:AL127"/>
    <mergeCell ref="AM127:AT127"/>
    <mergeCell ref="AU127:BB127"/>
    <mergeCell ref="AA112:AF112"/>
    <mergeCell ref="AU112:BB112"/>
    <mergeCell ref="A117:Z117"/>
    <mergeCell ref="AA117:AF117"/>
    <mergeCell ref="AU117:BB117"/>
    <mergeCell ref="A118:Z118"/>
    <mergeCell ref="AA118:AF118"/>
    <mergeCell ref="AU118:BB118"/>
    <mergeCell ref="A115:Z115"/>
    <mergeCell ref="AA115:AF115"/>
    <mergeCell ref="AU115:BB115"/>
    <mergeCell ref="A116:Z116"/>
    <mergeCell ref="AA116:AF116"/>
    <mergeCell ref="AU116:BB116"/>
    <mergeCell ref="A121:Z121"/>
    <mergeCell ref="AA121:AF121"/>
    <mergeCell ref="AU121:BB121"/>
    <mergeCell ref="A107:Z107"/>
    <mergeCell ref="AA107:AF107"/>
    <mergeCell ref="AU107:BB107"/>
    <mergeCell ref="A104:Z104"/>
    <mergeCell ref="AA104:AF104"/>
    <mergeCell ref="AG104:AL121"/>
    <mergeCell ref="AM104:AT121"/>
    <mergeCell ref="AU104:BB104"/>
    <mergeCell ref="A105:Z105"/>
    <mergeCell ref="AA105:AF105"/>
    <mergeCell ref="AU105:BB105"/>
    <mergeCell ref="A106:Z106"/>
    <mergeCell ref="AA106:AF106"/>
    <mergeCell ref="A109:Z109"/>
    <mergeCell ref="AA109:AF109"/>
    <mergeCell ref="AU109:BB109"/>
    <mergeCell ref="A110:Z110"/>
    <mergeCell ref="AA110:AF110"/>
    <mergeCell ref="AU110:BB110"/>
    <mergeCell ref="A108:Z108"/>
    <mergeCell ref="AA108:AF108"/>
    <mergeCell ref="AU108:BB108"/>
    <mergeCell ref="A113:Z113"/>
    <mergeCell ref="AA113:AF113"/>
    <mergeCell ref="AU113:BB113"/>
    <mergeCell ref="A114:Z114"/>
    <mergeCell ref="AA114:AF114"/>
    <mergeCell ref="AU114:BB114"/>
    <mergeCell ref="A111:Z111"/>
    <mergeCell ref="AA111:AF111"/>
    <mergeCell ref="AU111:BB111"/>
    <mergeCell ref="A112:Z112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103:Z103"/>
    <mergeCell ref="AA103:AF103"/>
    <mergeCell ref="AG103:AL103"/>
    <mergeCell ref="AM103:AT103"/>
    <mergeCell ref="AU103:BB103"/>
    <mergeCell ref="AU106:BB106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O84:AR84"/>
    <mergeCell ref="AS84:AW84"/>
    <mergeCell ref="AX84:BB84"/>
    <mergeCell ref="A86:N86"/>
    <mergeCell ref="O86:AN86"/>
    <mergeCell ref="AO86:AU86"/>
    <mergeCell ref="AV86:BB86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AX78:BB82"/>
    <mergeCell ref="H79:M79"/>
    <mergeCell ref="N79:P79"/>
    <mergeCell ref="R79:V79"/>
    <mergeCell ref="I81:K81"/>
    <mergeCell ref="M81:O81"/>
    <mergeCell ref="Q81:S81"/>
    <mergeCell ref="AS83:AW83"/>
    <mergeCell ref="AX83:BB83"/>
    <mergeCell ref="A68:G72"/>
    <mergeCell ref="AC68:AG72"/>
    <mergeCell ref="U71:W71"/>
    <mergeCell ref="Z71:AB71"/>
    <mergeCell ref="A63:G67"/>
    <mergeCell ref="AC63:AG67"/>
    <mergeCell ref="AH73:AM77"/>
    <mergeCell ref="AN73:AR77"/>
    <mergeCell ref="AS73:AW77"/>
    <mergeCell ref="AH63:AM67"/>
    <mergeCell ref="AN63:AR67"/>
    <mergeCell ref="AS63:AW67"/>
    <mergeCell ref="AX73:BB77"/>
    <mergeCell ref="H74:M74"/>
    <mergeCell ref="N74:P74"/>
    <mergeCell ref="R74:V74"/>
    <mergeCell ref="I76:K76"/>
    <mergeCell ref="AH68:AM72"/>
    <mergeCell ref="AN68:AR72"/>
    <mergeCell ref="AS68:AW72"/>
    <mergeCell ref="AX68:BB72"/>
    <mergeCell ref="H69:M69"/>
    <mergeCell ref="N69:P69"/>
    <mergeCell ref="R69:V69"/>
    <mergeCell ref="I71:K71"/>
    <mergeCell ref="M71:O71"/>
    <mergeCell ref="Q71:S71"/>
    <mergeCell ref="M76:O76"/>
    <mergeCell ref="Q76:S76"/>
    <mergeCell ref="U76:W76"/>
    <mergeCell ref="Z76:AB76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AX63:BB67"/>
    <mergeCell ref="H64:M64"/>
    <mergeCell ref="N64:P64"/>
    <mergeCell ref="R64:V64"/>
    <mergeCell ref="I66:K66"/>
    <mergeCell ref="R59:V59"/>
    <mergeCell ref="I61:K61"/>
    <mergeCell ref="M61:O61"/>
    <mergeCell ref="Q61:S61"/>
    <mergeCell ref="U61:W61"/>
    <mergeCell ref="Z61:AB61"/>
    <mergeCell ref="M66:O66"/>
    <mergeCell ref="Q66:S66"/>
    <mergeCell ref="U66:W66"/>
    <mergeCell ref="Z66:AB66"/>
    <mergeCell ref="H51:K51"/>
    <mergeCell ref="AS51:AW51"/>
    <mergeCell ref="AX51:BB51"/>
    <mergeCell ref="AO52:AR52"/>
    <mergeCell ref="AS52:AW52"/>
    <mergeCell ref="AX52:BB52"/>
    <mergeCell ref="AX37:BB39"/>
    <mergeCell ref="A40:BB4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37:G39"/>
    <mergeCell ref="H37:AB39"/>
    <mergeCell ref="AC37:AG39"/>
    <mergeCell ref="AH37:AM39"/>
    <mergeCell ref="AN37:AR39"/>
    <mergeCell ref="AS37:AW39"/>
    <mergeCell ref="A20:G22"/>
    <mergeCell ref="H20:AB22"/>
    <mergeCell ref="AC20:AG22"/>
    <mergeCell ref="AH20:AM22"/>
    <mergeCell ref="AN20:AR22"/>
    <mergeCell ref="AS20:AW22"/>
    <mergeCell ref="AX20:BB22"/>
    <mergeCell ref="H34:M34"/>
    <mergeCell ref="AS34:AW34"/>
    <mergeCell ref="AX34:BB34"/>
    <mergeCell ref="AO35:AR35"/>
    <mergeCell ref="AS35:AW35"/>
    <mergeCell ref="AX35:BB35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A12:S12"/>
    <mergeCell ref="U12:W12"/>
    <mergeCell ref="A14:S14"/>
    <mergeCell ref="U14:W14"/>
    <mergeCell ref="A16:S16"/>
    <mergeCell ref="U16:W16"/>
    <mergeCell ref="A7:BA7"/>
    <mergeCell ref="A8:BA8"/>
    <mergeCell ref="C10:E10"/>
    <mergeCell ref="G10:L10"/>
    <mergeCell ref="N10:Q10"/>
    <mergeCell ref="AJ10:AL10"/>
    <mergeCell ref="AN10:AT10"/>
    <mergeCell ref="AV10:AY10"/>
    <mergeCell ref="Y16:AA16"/>
    <mergeCell ref="U10:AI10"/>
    <mergeCell ref="AX19:BB19"/>
    <mergeCell ref="GO178:GT178"/>
    <mergeCell ref="BB179:BD179"/>
    <mergeCell ref="BF179:BJ179"/>
    <mergeCell ref="BK179:BQ179"/>
    <mergeCell ref="GI179:GL179"/>
    <mergeCell ref="GO179:GT179"/>
    <mergeCell ref="DD178:DF178"/>
    <mergeCell ref="DH178:DL178"/>
    <mergeCell ref="DM178:DS178"/>
    <mergeCell ref="ED178:EF178"/>
    <mergeCell ref="EH178:EL178"/>
    <mergeCell ref="EM178:ES178"/>
    <mergeCell ref="BB176:BX176"/>
    <mergeCell ref="DD176:DF176"/>
    <mergeCell ref="DG176:DK176"/>
    <mergeCell ref="ED176:EF176"/>
    <mergeCell ref="EG176:EK176"/>
    <mergeCell ref="BB177:BD177"/>
    <mergeCell ref="BE177:BI177"/>
    <mergeCell ref="DH177:DL177"/>
    <mergeCell ref="DM177:DS177"/>
    <mergeCell ref="EH177:EL177"/>
    <mergeCell ref="DD177:DF177"/>
    <mergeCell ref="ED177:EF177"/>
    <mergeCell ref="EM177:ES177"/>
    <mergeCell ref="DD179:DF179"/>
    <mergeCell ref="DH179:DL179"/>
    <mergeCell ref="DM179:DS179"/>
    <mergeCell ref="ED179:EF179"/>
    <mergeCell ref="EH179:EL179"/>
    <mergeCell ref="EM179:ES179"/>
    <mergeCell ref="BB184:BX184"/>
    <mergeCell ref="DD184:DF184"/>
    <mergeCell ref="DG184:DK184"/>
    <mergeCell ref="ED184:EF184"/>
    <mergeCell ref="EG184:EK184"/>
    <mergeCell ref="BB185:BD185"/>
    <mergeCell ref="BE185:BI185"/>
    <mergeCell ref="DH185:DL185"/>
    <mergeCell ref="DM185:DS185"/>
    <mergeCell ref="EH185:EL185"/>
    <mergeCell ref="BB180:BD180"/>
    <mergeCell ref="BF180:BJ180"/>
    <mergeCell ref="BK180:BQ180"/>
    <mergeCell ref="BB178:BD178"/>
    <mergeCell ref="BF178:BJ178"/>
    <mergeCell ref="BK178:BQ178"/>
    <mergeCell ref="GI178:GL178"/>
    <mergeCell ref="DD185:DF185"/>
    <mergeCell ref="ED185:EF185"/>
    <mergeCell ref="EM185:ES185"/>
    <mergeCell ref="BB188:BD188"/>
    <mergeCell ref="BF188:BJ188"/>
    <mergeCell ref="BK188:BQ188"/>
    <mergeCell ref="BB186:BD186"/>
    <mergeCell ref="BF186:BJ186"/>
    <mergeCell ref="BK186:BQ186"/>
    <mergeCell ref="GI186:GL186"/>
    <mergeCell ref="GO186:GT186"/>
    <mergeCell ref="BB187:BD187"/>
    <mergeCell ref="BF187:BJ187"/>
    <mergeCell ref="BK187:BQ187"/>
    <mergeCell ref="GI187:GL187"/>
    <mergeCell ref="GO187:GT187"/>
    <mergeCell ref="DD187:DF187"/>
    <mergeCell ref="DH187:DL187"/>
    <mergeCell ref="DM187:DS187"/>
    <mergeCell ref="ED187:EF187"/>
    <mergeCell ref="EH187:EL187"/>
    <mergeCell ref="EM187:ES187"/>
    <mergeCell ref="DD186:DF186"/>
    <mergeCell ref="DH186:DL186"/>
    <mergeCell ref="DM186:DS186"/>
    <mergeCell ref="ED186:EF186"/>
    <mergeCell ref="EH186:EL186"/>
    <mergeCell ref="EM186:ES186"/>
    <mergeCell ref="BB198:BD198"/>
    <mergeCell ref="BF198:BJ198"/>
    <mergeCell ref="BK198:BQ198"/>
    <mergeCell ref="GO196:GT196"/>
    <mergeCell ref="BB197:BD197"/>
    <mergeCell ref="BF197:BJ197"/>
    <mergeCell ref="BK197:BQ197"/>
    <mergeCell ref="DD197:DF197"/>
    <mergeCell ref="DH197:DL197"/>
    <mergeCell ref="DM197:DS197"/>
    <mergeCell ref="ED197:EF197"/>
    <mergeCell ref="EH197:EL197"/>
    <mergeCell ref="EM197:ES197"/>
    <mergeCell ref="GI197:GL197"/>
    <mergeCell ref="GO197:GT197"/>
    <mergeCell ref="BB194:BX194"/>
    <mergeCell ref="DG194:DK194"/>
    <mergeCell ref="EG194:EK194"/>
    <mergeCell ref="BB195:BD195"/>
    <mergeCell ref="BE195:BI195"/>
    <mergeCell ref="BB196:BD196"/>
    <mergeCell ref="BF196:BJ196"/>
    <mergeCell ref="BK196:BQ196"/>
    <mergeCell ref="GI196:GL196"/>
    <mergeCell ref="DD194:DF194"/>
    <mergeCell ref="ED194:EF194"/>
    <mergeCell ref="EM203:ES203"/>
    <mergeCell ref="BB204:BD204"/>
    <mergeCell ref="BF204:BJ204"/>
    <mergeCell ref="BK204:BQ204"/>
    <mergeCell ref="DD204:DF204"/>
    <mergeCell ref="DH204:DL204"/>
    <mergeCell ref="DM204:DS204"/>
    <mergeCell ref="ED204:EF204"/>
    <mergeCell ref="EH204:EL204"/>
    <mergeCell ref="EM204:ES204"/>
    <mergeCell ref="BB202:BX202"/>
    <mergeCell ref="DD202:DF202"/>
    <mergeCell ref="DG202:DK202"/>
    <mergeCell ref="ED202:EF202"/>
    <mergeCell ref="EG202:EK202"/>
    <mergeCell ref="BB203:BD203"/>
    <mergeCell ref="BE203:BI203"/>
    <mergeCell ref="DD203:DF203"/>
    <mergeCell ref="DH203:DL203"/>
    <mergeCell ref="DM203:DS203"/>
    <mergeCell ref="ED203:EF203"/>
    <mergeCell ref="EH203:EL203"/>
    <mergeCell ref="BB206:BD206"/>
    <mergeCell ref="BF206:BJ206"/>
    <mergeCell ref="BK206:BQ206"/>
    <mergeCell ref="GI204:GL204"/>
    <mergeCell ref="GO204:GT204"/>
    <mergeCell ref="BB205:BD205"/>
    <mergeCell ref="BF205:BJ205"/>
    <mergeCell ref="BK205:BQ205"/>
    <mergeCell ref="DD205:DF205"/>
    <mergeCell ref="DH205:DL205"/>
    <mergeCell ref="DM205:DS205"/>
    <mergeCell ref="ED205:EF205"/>
    <mergeCell ref="EH205:EL205"/>
    <mergeCell ref="EM205:ES205"/>
    <mergeCell ref="GI205:GL205"/>
    <mergeCell ref="GO205:GT205"/>
    <mergeCell ref="BB209:BX209"/>
    <mergeCell ref="DD209:DF209"/>
    <mergeCell ref="DG209:DK209"/>
    <mergeCell ref="ED209:EF209"/>
    <mergeCell ref="EG209:EK209"/>
    <mergeCell ref="BB220:BD220"/>
    <mergeCell ref="BF220:BJ220"/>
    <mergeCell ref="BK220:BQ220"/>
    <mergeCell ref="GI218:GL218"/>
    <mergeCell ref="GO218:GT218"/>
    <mergeCell ref="BB219:BD219"/>
    <mergeCell ref="BF219:BJ219"/>
    <mergeCell ref="BK219:BQ219"/>
    <mergeCell ref="DD219:DF219"/>
    <mergeCell ref="DH219:DL219"/>
    <mergeCell ref="DM219:DS219"/>
    <mergeCell ref="ED219:EF219"/>
    <mergeCell ref="EH219:EL219"/>
    <mergeCell ref="EM219:ES219"/>
    <mergeCell ref="GI219:GL219"/>
    <mergeCell ref="GO219:GT219"/>
    <mergeCell ref="EM217:ES217"/>
    <mergeCell ref="BB218:BD218"/>
    <mergeCell ref="BF218:BJ218"/>
    <mergeCell ref="BK218:BQ218"/>
    <mergeCell ref="DD218:DF218"/>
    <mergeCell ref="DH218:DL218"/>
    <mergeCell ref="DM218:DS218"/>
    <mergeCell ref="ED218:EF218"/>
    <mergeCell ref="EH218:EL218"/>
    <mergeCell ref="EM218:ES218"/>
    <mergeCell ref="EH217:EL217"/>
    <mergeCell ref="EM241:ES241"/>
    <mergeCell ref="GI241:GL241"/>
    <mergeCell ref="GO241:GT241"/>
    <mergeCell ref="BB233:BD233"/>
    <mergeCell ref="BE233:BI233"/>
    <mergeCell ref="DD233:DF233"/>
    <mergeCell ref="DH233:DL233"/>
    <mergeCell ref="DM233:DS233"/>
    <mergeCell ref="ED233:EF233"/>
    <mergeCell ref="EH233:EL233"/>
    <mergeCell ref="BB239:BX239"/>
    <mergeCell ref="DD239:DF239"/>
    <mergeCell ref="DG239:DK239"/>
    <mergeCell ref="ED239:EF239"/>
    <mergeCell ref="EG239:EK239"/>
    <mergeCell ref="BB240:BD240"/>
    <mergeCell ref="BE240:BI240"/>
    <mergeCell ref="DD240:DF240"/>
    <mergeCell ref="DH240:DL240"/>
    <mergeCell ref="DM240:DS240"/>
    <mergeCell ref="ED240:EF240"/>
    <mergeCell ref="EH240:EL240"/>
    <mergeCell ref="BB236:BD236"/>
    <mergeCell ref="BF236:BJ236"/>
    <mergeCell ref="BK236:BQ236"/>
    <mergeCell ref="EM242:ES242"/>
    <mergeCell ref="GI242:GL242"/>
    <mergeCell ref="GO242:GT242"/>
    <mergeCell ref="BB246:BX246"/>
    <mergeCell ref="DD246:DF246"/>
    <mergeCell ref="DG246:DK246"/>
    <mergeCell ref="ED246:EF246"/>
    <mergeCell ref="EG246:EK246"/>
    <mergeCell ref="EH247:EL247"/>
    <mergeCell ref="EM247:ES247"/>
    <mergeCell ref="GI234:GL234"/>
    <mergeCell ref="GO234:GT234"/>
    <mergeCell ref="BB235:BD235"/>
    <mergeCell ref="BF235:BJ235"/>
    <mergeCell ref="BK235:BQ235"/>
    <mergeCell ref="DD235:DF235"/>
    <mergeCell ref="DH235:DL235"/>
    <mergeCell ref="DM235:DS235"/>
    <mergeCell ref="ED235:EF235"/>
    <mergeCell ref="EH235:EL235"/>
    <mergeCell ref="EM235:ES235"/>
    <mergeCell ref="GI235:GL235"/>
    <mergeCell ref="GO235:GT235"/>
    <mergeCell ref="EM240:ES240"/>
    <mergeCell ref="BB241:BD241"/>
    <mergeCell ref="BF241:BJ241"/>
    <mergeCell ref="BK241:BQ241"/>
    <mergeCell ref="DD241:DF241"/>
    <mergeCell ref="DH241:DL241"/>
    <mergeCell ref="DM241:DS241"/>
    <mergeCell ref="ED241:EF241"/>
    <mergeCell ref="EH241:EL241"/>
    <mergeCell ref="BB247:BD247"/>
    <mergeCell ref="BE247:BI247"/>
    <mergeCell ref="BB243:BD243"/>
    <mergeCell ref="BF243:BJ243"/>
    <mergeCell ref="BK243:BQ243"/>
    <mergeCell ref="DD247:DF247"/>
    <mergeCell ref="DH247:DL247"/>
    <mergeCell ref="DM247:DS247"/>
    <mergeCell ref="ED247:EF247"/>
    <mergeCell ref="BB242:BD242"/>
    <mergeCell ref="BF242:BJ242"/>
    <mergeCell ref="BK242:BQ242"/>
    <mergeCell ref="DD242:DF242"/>
    <mergeCell ref="DH242:DL242"/>
    <mergeCell ref="DM242:DS242"/>
    <mergeCell ref="ED242:EF242"/>
    <mergeCell ref="EH242:EL242"/>
    <mergeCell ref="GO248:GT248"/>
    <mergeCell ref="BB249:BD249"/>
    <mergeCell ref="BF249:BJ249"/>
    <mergeCell ref="BK249:BQ249"/>
    <mergeCell ref="DD249:DF249"/>
    <mergeCell ref="DH249:DL249"/>
    <mergeCell ref="DM249:DS249"/>
    <mergeCell ref="ED249:EF249"/>
    <mergeCell ref="EH249:EL249"/>
    <mergeCell ref="EM249:ES249"/>
    <mergeCell ref="GI249:GL249"/>
    <mergeCell ref="GO249:GT249"/>
    <mergeCell ref="EM261:ES261"/>
    <mergeCell ref="BB262:BD262"/>
    <mergeCell ref="BF262:BJ262"/>
    <mergeCell ref="BK262:BQ262"/>
    <mergeCell ref="DD262:DF262"/>
    <mergeCell ref="DH262:DL262"/>
    <mergeCell ref="DM262:DS262"/>
    <mergeCell ref="ED262:EF262"/>
    <mergeCell ref="EH262:EL262"/>
    <mergeCell ref="EM262:ES262"/>
    <mergeCell ref="BB250:BD250"/>
    <mergeCell ref="BF250:BJ250"/>
    <mergeCell ref="BK250:BQ250"/>
    <mergeCell ref="BB253:BX253"/>
    <mergeCell ref="DD253:DF253"/>
    <mergeCell ref="DG253:DK253"/>
    <mergeCell ref="ED253:EF253"/>
    <mergeCell ref="EG253:EK253"/>
    <mergeCell ref="BB254:BD254"/>
    <mergeCell ref="BB248:BD248"/>
    <mergeCell ref="BB264:BD264"/>
    <mergeCell ref="BF264:BJ264"/>
    <mergeCell ref="BK264:BQ264"/>
    <mergeCell ref="BB263:BD263"/>
    <mergeCell ref="BF263:BJ263"/>
    <mergeCell ref="BK263:BQ263"/>
    <mergeCell ref="DD263:DF263"/>
    <mergeCell ref="DH263:DL263"/>
    <mergeCell ref="DM263:DS263"/>
    <mergeCell ref="ED263:EF263"/>
    <mergeCell ref="EH263:EL263"/>
    <mergeCell ref="EM263:ES263"/>
    <mergeCell ref="BE269:BF269"/>
    <mergeCell ref="BK269:BN269"/>
    <mergeCell ref="BB275:BD275"/>
    <mergeCell ref="BF275:BJ275"/>
    <mergeCell ref="GI248:GL248"/>
    <mergeCell ref="BF248:BJ248"/>
    <mergeCell ref="BK248:BQ248"/>
    <mergeCell ref="DD248:DF248"/>
    <mergeCell ref="DH248:DL248"/>
    <mergeCell ref="DM248:DS248"/>
    <mergeCell ref="ED248:EF248"/>
    <mergeCell ref="EH248:EL248"/>
    <mergeCell ref="EM248:ES248"/>
    <mergeCell ref="BB261:BD261"/>
    <mergeCell ref="BE261:BI261"/>
    <mergeCell ref="DD261:DF261"/>
    <mergeCell ref="DH261:DL261"/>
    <mergeCell ref="DM261:DS261"/>
    <mergeCell ref="ED261:EF261"/>
    <mergeCell ref="EH261:EL261"/>
    <mergeCell ref="BB279:BX279"/>
    <mergeCell ref="DD279:DF279"/>
    <mergeCell ref="DG279:DK279"/>
    <mergeCell ref="ED279:EF279"/>
    <mergeCell ref="EG279:EK279"/>
    <mergeCell ref="BB280:BD280"/>
    <mergeCell ref="BE280:BI280"/>
    <mergeCell ref="DD280:DF280"/>
    <mergeCell ref="DH280:DL280"/>
    <mergeCell ref="DM280:DS280"/>
    <mergeCell ref="ED280:EF280"/>
    <mergeCell ref="EH280:EL280"/>
    <mergeCell ref="EM280:ES280"/>
    <mergeCell ref="BB281:BD281"/>
    <mergeCell ref="BF281:BJ281"/>
    <mergeCell ref="BK281:BQ281"/>
    <mergeCell ref="DM254:DS254"/>
    <mergeCell ref="ED254:EF254"/>
    <mergeCell ref="EH254:EL254"/>
    <mergeCell ref="ED260:EF260"/>
    <mergeCell ref="EG260:EK260"/>
    <mergeCell ref="BB257:BD257"/>
    <mergeCell ref="BF257:BJ257"/>
    <mergeCell ref="BK257:BQ257"/>
    <mergeCell ref="BB256:BD256"/>
    <mergeCell ref="BF256:BJ256"/>
    <mergeCell ref="DD281:DF281"/>
    <mergeCell ref="DH281:DL281"/>
    <mergeCell ref="DM281:DS281"/>
    <mergeCell ref="ED281:EF281"/>
    <mergeCell ref="EH281:EL281"/>
    <mergeCell ref="EM281:ES281"/>
    <mergeCell ref="DD298:DF298"/>
    <mergeCell ref="DH298:DL298"/>
    <mergeCell ref="DM298:DS298"/>
    <mergeCell ref="ED298:EF298"/>
    <mergeCell ref="EH298:EL298"/>
    <mergeCell ref="EM298:ES298"/>
    <mergeCell ref="GI281:GL281"/>
    <mergeCell ref="GO281:GT281"/>
    <mergeCell ref="BB282:BD282"/>
    <mergeCell ref="BF282:BJ282"/>
    <mergeCell ref="BK282:BQ282"/>
    <mergeCell ref="DD282:DF282"/>
    <mergeCell ref="DH282:DL282"/>
    <mergeCell ref="DM282:DS282"/>
    <mergeCell ref="ED282:EF282"/>
    <mergeCell ref="EH282:EL282"/>
    <mergeCell ref="EM282:ES282"/>
    <mergeCell ref="GI282:GL282"/>
    <mergeCell ref="GO282:GT282"/>
    <mergeCell ref="BB283:BD283"/>
    <mergeCell ref="BF283:BJ283"/>
    <mergeCell ref="BK283:BQ283"/>
    <mergeCell ref="DD289:DF289"/>
    <mergeCell ref="DH289:DL289"/>
    <mergeCell ref="DM289:DS289"/>
    <mergeCell ref="ED289:EF289"/>
    <mergeCell ref="EH289:EL289"/>
    <mergeCell ref="EM289:ES289"/>
    <mergeCell ref="GI289:GL289"/>
    <mergeCell ref="GO289:GT289"/>
    <mergeCell ref="BB290:BD290"/>
    <mergeCell ref="BF290:BJ290"/>
    <mergeCell ref="GI298:GL298"/>
    <mergeCell ref="GO298:GT298"/>
    <mergeCell ref="BB299:BD299"/>
    <mergeCell ref="BF299:BJ299"/>
    <mergeCell ref="BK299:BQ299"/>
    <mergeCell ref="DD299:DF299"/>
    <mergeCell ref="DH299:DL299"/>
    <mergeCell ref="DM299:DS299"/>
    <mergeCell ref="ED299:EF299"/>
    <mergeCell ref="EH299:EL299"/>
    <mergeCell ref="EM299:ES299"/>
    <mergeCell ref="GI299:GL299"/>
    <mergeCell ref="GO299:GT299"/>
    <mergeCell ref="BB300:BD300"/>
    <mergeCell ref="BF300:BJ300"/>
    <mergeCell ref="BK300:BQ300"/>
    <mergeCell ref="BB296:BX296"/>
    <mergeCell ref="DD296:DF296"/>
    <mergeCell ref="DG296:DK296"/>
    <mergeCell ref="ED296:EF296"/>
    <mergeCell ref="EG296:EK296"/>
    <mergeCell ref="BB297:BD297"/>
    <mergeCell ref="BE297:BI297"/>
    <mergeCell ref="DD297:DF297"/>
    <mergeCell ref="DH297:DL297"/>
    <mergeCell ref="DM297:DS297"/>
    <mergeCell ref="ED297:EF297"/>
    <mergeCell ref="EH297:EL297"/>
    <mergeCell ref="EM297:ES297"/>
    <mergeCell ref="BB298:BD298"/>
    <mergeCell ref="BF298:BJ298"/>
    <mergeCell ref="BK298:BQ298"/>
  </mergeCells>
  <pageMargins left="0" right="0" top="0" bottom="0" header="0.31496062992125984" footer="0.31496062992125984"/>
  <pageSetup paperSize="9" scale="76" fitToHeight="0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S370"/>
  <sheetViews>
    <sheetView topLeftCell="A43" zoomScaleNormal="100" workbookViewId="0">
      <selection activeCell="AZ395" sqref="AZ395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1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5" width="1.85546875" style="117"/>
    <col min="26" max="26" width="9.85546875" style="117" bestFit="1" customWidth="1"/>
    <col min="27" max="27" width="4.28515625" style="117" customWidth="1"/>
    <col min="28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5.28515625" style="117" customWidth="1"/>
    <col min="49" max="51" width="1.85546875" style="117"/>
    <col min="52" max="52" width="2.28515625" style="117" customWidth="1"/>
    <col min="53" max="53" width="1.85546875" style="117"/>
    <col min="54" max="54" width="4.7109375" style="117" customWidth="1"/>
    <col min="55" max="55" width="4.5703125" style="117" customWidth="1"/>
    <col min="56" max="56" width="4.7109375" style="117" customWidth="1"/>
    <col min="57" max="57" width="17.42578125" style="117" customWidth="1"/>
    <col min="58" max="58" width="9.7109375" style="117" customWidth="1"/>
    <col min="59" max="59" width="10.140625" style="117" customWidth="1"/>
    <col min="60" max="60" width="10.42578125" style="117" customWidth="1"/>
    <col min="61" max="61" width="8.140625" style="117" customWidth="1"/>
    <col min="62" max="83" width="1.85546875" style="117" customWidth="1"/>
    <col min="84" max="16384" width="1.85546875" style="117"/>
  </cols>
  <sheetData>
    <row r="1" spans="1:55" s="100" customFormat="1" ht="15" customHeight="1" x14ac:dyDescent="0.25">
      <c r="AW1" s="100" t="s">
        <v>83</v>
      </c>
    </row>
    <row r="2" spans="1:55" s="100" customFormat="1" ht="15" x14ac:dyDescent="0.25">
      <c r="AQ2" s="1323" t="s">
        <v>217</v>
      </c>
      <c r="AR2" s="1323"/>
      <c r="AS2" s="1323"/>
      <c r="AT2" s="1300"/>
      <c r="AU2" s="1300"/>
      <c r="AV2" s="1" t="s">
        <v>218</v>
      </c>
      <c r="AW2" s="1300"/>
      <c r="AX2" s="1300"/>
      <c r="AY2" s="1300"/>
      <c r="AZ2" s="1300"/>
      <c r="BA2" s="1300"/>
      <c r="BB2" s="1300"/>
    </row>
    <row r="3" spans="1:55" s="100" customFormat="1" ht="15" customHeight="1" x14ac:dyDescent="0.25">
      <c r="AQ3" s="100" t="s">
        <v>91</v>
      </c>
    </row>
    <row r="4" spans="1:55" s="100" customFormat="1" ht="5.0999999999999996" customHeight="1" x14ac:dyDescent="0.25"/>
    <row r="5" spans="1:55" s="100" customFormat="1" ht="15" customHeight="1" x14ac:dyDescent="0.25">
      <c r="AM5" s="157"/>
      <c r="AN5" s="157"/>
      <c r="AO5" s="157"/>
      <c r="AP5" s="157"/>
      <c r="AQ5" s="156"/>
      <c r="AR5" s="156"/>
      <c r="AS5" s="156"/>
      <c r="AT5" s="156"/>
      <c r="AU5" s="156"/>
      <c r="AV5" s="156"/>
      <c r="AW5" s="1324" t="s">
        <v>515</v>
      </c>
      <c r="AX5" s="441"/>
      <c r="AY5" s="441"/>
      <c r="AZ5" s="441"/>
      <c r="BA5" s="441"/>
      <c r="BB5" s="441"/>
      <c r="BC5" s="441"/>
    </row>
    <row r="6" spans="1:55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5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5" s="100" customFormat="1" ht="15" customHeight="1" x14ac:dyDescent="0.25">
      <c r="A8" s="756" t="s">
        <v>317</v>
      </c>
      <c r="B8" s="756"/>
      <c r="C8" s="756"/>
      <c r="D8" s="756"/>
      <c r="E8" s="756"/>
      <c r="F8" s="756"/>
      <c r="G8" s="756"/>
      <c r="H8" s="756"/>
      <c r="I8" s="756"/>
      <c r="J8" s="756"/>
      <c r="K8" s="756"/>
      <c r="L8" s="756"/>
      <c r="M8" s="756"/>
      <c r="N8" s="756"/>
      <c r="O8" s="756"/>
      <c r="P8" s="756"/>
      <c r="Q8" s="756"/>
      <c r="R8" s="756"/>
      <c r="S8" s="756"/>
      <c r="T8" s="756"/>
      <c r="U8" s="756"/>
      <c r="V8" s="756"/>
      <c r="W8" s="756"/>
      <c r="X8" s="756"/>
      <c r="Y8" s="756"/>
      <c r="Z8" s="756"/>
      <c r="AA8" s="756"/>
      <c r="AB8" s="756"/>
      <c r="AC8" s="756"/>
      <c r="AD8" s="756"/>
      <c r="AE8" s="756"/>
      <c r="AF8" s="756"/>
      <c r="AG8" s="756"/>
      <c r="AH8" s="756"/>
      <c r="AI8" s="756"/>
      <c r="AJ8" s="756"/>
      <c r="AK8" s="756"/>
      <c r="AL8" s="756"/>
      <c r="AM8" s="756"/>
      <c r="AN8" s="756"/>
      <c r="AO8" s="756"/>
      <c r="AP8" s="756"/>
      <c r="AQ8" s="756"/>
      <c r="AR8" s="756"/>
      <c r="AS8" s="756"/>
      <c r="AT8" s="756"/>
      <c r="AU8" s="756"/>
      <c r="AV8" s="756"/>
      <c r="AW8" s="756"/>
      <c r="AX8" s="756"/>
      <c r="AY8" s="756"/>
      <c r="AZ8" s="756"/>
      <c r="BA8" s="756"/>
    </row>
    <row r="9" spans="1:55" s="100" customFormat="1" ht="26.25" customHeight="1" x14ac:dyDescent="0.25">
      <c r="A9" s="158"/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158"/>
      <c r="AJ9" s="158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58"/>
    </row>
    <row r="10" spans="1:55" s="100" customFormat="1" ht="15" customHeight="1" x14ac:dyDescent="0.25">
      <c r="A10" s="158"/>
      <c r="B10" s="158" t="s">
        <v>113</v>
      </c>
      <c r="C10" s="757">
        <v>1</v>
      </c>
      <c r="D10" s="757"/>
      <c r="E10" s="757"/>
      <c r="F10" s="158"/>
      <c r="G10" s="757" t="s">
        <v>675</v>
      </c>
      <c r="H10" s="757"/>
      <c r="I10" s="757"/>
      <c r="J10" s="757"/>
      <c r="K10" s="757"/>
      <c r="L10" s="757"/>
      <c r="M10" s="158"/>
      <c r="N10" s="756">
        <v>2021</v>
      </c>
      <c r="O10" s="756"/>
      <c r="P10" s="756"/>
      <c r="Q10" s="756"/>
      <c r="R10" s="158"/>
      <c r="S10" s="158" t="s">
        <v>114</v>
      </c>
      <c r="T10" s="158"/>
      <c r="U10" s="756" t="s">
        <v>115</v>
      </c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758"/>
      <c r="AI10" s="758"/>
      <c r="AJ10" s="757">
        <v>31</v>
      </c>
      <c r="AK10" s="757"/>
      <c r="AL10" s="757"/>
      <c r="AM10" s="158"/>
      <c r="AN10" s="757" t="s">
        <v>116</v>
      </c>
      <c r="AO10" s="757"/>
      <c r="AP10" s="757"/>
      <c r="AQ10" s="757"/>
      <c r="AR10" s="757"/>
      <c r="AS10" s="757"/>
      <c r="AT10" s="757"/>
      <c r="AU10" s="158"/>
      <c r="AV10" s="756">
        <v>2021</v>
      </c>
      <c r="AW10" s="756"/>
      <c r="AX10" s="756"/>
      <c r="AY10" s="756"/>
      <c r="AZ10" s="158"/>
      <c r="BA10" s="158" t="s">
        <v>114</v>
      </c>
    </row>
    <row r="11" spans="1:55" s="82" customFormat="1" ht="6" customHeight="1" x14ac:dyDescent="0.2"/>
    <row r="12" spans="1:55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36</v>
      </c>
      <c r="V12" s="761"/>
      <c r="W12" s="761"/>
    </row>
    <row r="13" spans="1:55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5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2">
        <v>36</v>
      </c>
      <c r="V14" s="762"/>
      <c r="W14" s="762"/>
    </row>
    <row r="15" spans="1:55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5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3</v>
      </c>
      <c r="V16" s="761"/>
      <c r="W16" s="761"/>
      <c r="X16" s="83" t="s">
        <v>4</v>
      </c>
      <c r="Y16" s="761">
        <v>12</v>
      </c>
      <c r="Z16" s="761"/>
      <c r="AA16" s="761"/>
    </row>
    <row r="17" spans="1:54" ht="13.5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531</v>
      </c>
      <c r="AR19" s="162"/>
      <c r="AS19" s="164"/>
      <c r="AX19" s="708">
        <v>15600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419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4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customHeight="1" x14ac:dyDescent="0.2">
      <c r="A24" s="764" t="s">
        <v>417</v>
      </c>
      <c r="B24" s="765"/>
      <c r="C24" s="765"/>
      <c r="D24" s="765"/>
      <c r="E24" s="765"/>
      <c r="F24" s="765"/>
      <c r="G24" s="766"/>
      <c r="H24" s="714" t="s">
        <v>16</v>
      </c>
      <c r="I24" s="704"/>
      <c r="J24" s="704"/>
      <c r="K24" s="704"/>
      <c r="L24" s="704"/>
      <c r="M24" s="704"/>
      <c r="N24" s="704"/>
      <c r="O24" s="704"/>
      <c r="P24" s="704"/>
      <c r="Q24" s="704"/>
      <c r="R24" s="704"/>
      <c r="S24" s="704"/>
      <c r="T24" s="704"/>
      <c r="U24" s="704"/>
      <c r="V24" s="704"/>
      <c r="W24" s="704"/>
      <c r="X24" s="704"/>
      <c r="Y24" s="704"/>
      <c r="Z24" s="723">
        <v>0.2</v>
      </c>
      <c r="AA24" s="723"/>
      <c r="AB24" s="723"/>
      <c r="AC24" s="781">
        <f>(AX51+AX67)*Z24*AH24</f>
        <v>8923.2000000000007</v>
      </c>
      <c r="AD24" s="781"/>
      <c r="AE24" s="781"/>
      <c r="AF24" s="781"/>
      <c r="AG24" s="781"/>
      <c r="AH24" s="668">
        <v>2</v>
      </c>
      <c r="AI24" s="668"/>
      <c r="AJ24" s="668"/>
      <c r="AK24" s="668"/>
      <c r="AL24" s="668"/>
      <c r="AM24" s="668"/>
      <c r="AN24" s="781">
        <f>AC24/U12</f>
        <v>247.86666666666667</v>
      </c>
      <c r="AO24" s="781"/>
      <c r="AP24" s="781"/>
      <c r="AQ24" s="781"/>
      <c r="AR24" s="781"/>
      <c r="AS24" s="668" t="s">
        <v>17</v>
      </c>
      <c r="AT24" s="668"/>
      <c r="AU24" s="668"/>
      <c r="AV24" s="668"/>
      <c r="AW24" s="668"/>
      <c r="AX24" s="781" t="s">
        <v>17</v>
      </c>
      <c r="AY24" s="781"/>
      <c r="AZ24" s="781"/>
      <c r="BA24" s="781"/>
      <c r="BB24" s="782"/>
    </row>
    <row r="25" spans="1:54" s="165" customFormat="1" ht="26.25" customHeight="1" x14ac:dyDescent="0.2">
      <c r="A25" s="767"/>
      <c r="B25" s="768"/>
      <c r="C25" s="768"/>
      <c r="D25" s="768"/>
      <c r="E25" s="768"/>
      <c r="F25" s="768"/>
      <c r="G25" s="769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771" t="s">
        <v>89</v>
      </c>
      <c r="B26" s="772"/>
      <c r="C26" s="772"/>
      <c r="D26" s="772"/>
      <c r="E26" s="772"/>
      <c r="F26" s="772"/>
      <c r="G26" s="773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11.25" customHeight="1" x14ac:dyDescent="0.2">
      <c r="A27" s="750"/>
      <c r="B27" s="751"/>
      <c r="C27" s="751"/>
      <c r="D27" s="751"/>
      <c r="E27" s="751"/>
      <c r="F27" s="751"/>
      <c r="G27" s="7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750"/>
      <c r="B28" s="751"/>
      <c r="C28" s="751"/>
      <c r="D28" s="751"/>
      <c r="E28" s="751"/>
      <c r="F28" s="751"/>
      <c r="G28" s="7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750"/>
      <c r="B29" s="751"/>
      <c r="C29" s="751"/>
      <c r="D29" s="751"/>
      <c r="E29" s="751"/>
      <c r="F29" s="751"/>
      <c r="G29" s="7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750"/>
      <c r="B30" s="751"/>
      <c r="C30" s="751"/>
      <c r="D30" s="751"/>
      <c r="E30" s="751"/>
      <c r="F30" s="751"/>
      <c r="G30" s="7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750"/>
      <c r="B31" s="751"/>
      <c r="C31" s="751"/>
      <c r="D31" s="751"/>
      <c r="E31" s="751"/>
      <c r="F31" s="751"/>
      <c r="G31" s="7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750"/>
      <c r="B32" s="751"/>
      <c r="C32" s="751"/>
      <c r="D32" s="751"/>
      <c r="E32" s="751"/>
      <c r="F32" s="751"/>
      <c r="G32" s="7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17.25" customHeight="1" thickBot="1" x14ac:dyDescent="0.25">
      <c r="A33" s="753"/>
      <c r="B33" s="754"/>
      <c r="C33" s="754"/>
      <c r="D33" s="754"/>
      <c r="E33" s="754"/>
      <c r="F33" s="754"/>
      <c r="G33" s="775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9"/>
      <c r="AA33" s="729"/>
      <c r="AB33" s="729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95"/>
      <c r="R34" s="169" t="s">
        <v>18</v>
      </c>
      <c r="S34" s="170"/>
      <c r="T34" s="170"/>
      <c r="U34" s="171"/>
      <c r="V34" s="171"/>
      <c r="W34" s="171"/>
      <c r="X34" s="171"/>
      <c r="Y34" s="171"/>
      <c r="Z34" s="162"/>
      <c r="AA34" s="162"/>
      <c r="AB34" s="162"/>
      <c r="AC34" s="171"/>
      <c r="AD34" s="171" t="s">
        <v>19</v>
      </c>
      <c r="AE34" s="171" t="s">
        <v>20</v>
      </c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2"/>
      <c r="AS34" s="453">
        <f>AN24</f>
        <v>247.86666666666667</v>
      </c>
      <c r="AT34" s="453"/>
      <c r="AU34" s="453"/>
      <c r="AV34" s="453"/>
      <c r="AW34" s="453"/>
      <c r="AX34" s="453">
        <f>AC24</f>
        <v>8923.2000000000007</v>
      </c>
      <c r="AY34" s="453"/>
      <c r="AZ34" s="453"/>
      <c r="BA34" s="453"/>
      <c r="BB34" s="454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173"/>
      <c r="I35" s="173"/>
      <c r="J35" s="173"/>
      <c r="K35" s="173"/>
      <c r="L35" s="173"/>
      <c r="M35" s="173"/>
      <c r="P35" s="168"/>
      <c r="Q35" s="174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74.855733333333333</v>
      </c>
      <c r="AT35" s="463"/>
      <c r="AU35" s="463"/>
      <c r="AV35" s="463"/>
      <c r="AW35" s="463"/>
      <c r="AX35" s="463">
        <f>AX34*AO35</f>
        <v>2694.8063999999999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173"/>
      <c r="I36" s="173"/>
      <c r="J36" s="173"/>
      <c r="K36" s="173"/>
      <c r="L36" s="173"/>
      <c r="M36" s="173"/>
      <c r="P36" s="168"/>
      <c r="Q36" s="174"/>
      <c r="R36" s="174"/>
      <c r="S36" s="174"/>
      <c r="U36" s="174"/>
      <c r="V36" s="174"/>
      <c r="W36" s="174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8"/>
      <c r="AT36" s="179"/>
      <c r="AU36" s="179"/>
      <c r="AV36" s="179"/>
      <c r="AW36" s="179"/>
      <c r="AX36" s="178"/>
      <c r="AY36" s="179"/>
      <c r="AZ36" s="179"/>
      <c r="BA36" s="179"/>
      <c r="BB36" s="179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420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842"/>
      <c r="B41" s="843"/>
      <c r="C41" s="843"/>
      <c r="D41" s="843"/>
      <c r="E41" s="843"/>
      <c r="F41" s="843"/>
      <c r="G41" s="843"/>
      <c r="H41" s="848" t="s">
        <v>16</v>
      </c>
      <c r="I41" s="848"/>
      <c r="J41" s="848"/>
      <c r="K41" s="848"/>
      <c r="L41" s="848"/>
      <c r="M41" s="848"/>
      <c r="N41" s="848"/>
      <c r="O41" s="848"/>
      <c r="P41" s="848"/>
      <c r="Q41" s="848"/>
      <c r="R41" s="848"/>
      <c r="S41" s="848"/>
      <c r="T41" s="848"/>
      <c r="U41" s="848"/>
      <c r="V41" s="848"/>
      <c r="W41" s="848"/>
      <c r="X41" s="848"/>
      <c r="Y41" s="848"/>
      <c r="Z41" s="723">
        <v>0</v>
      </c>
      <c r="AA41" s="723"/>
      <c r="AB41" s="723"/>
      <c r="AC41" s="848">
        <f>AX67*Z41*AH41</f>
        <v>0</v>
      </c>
      <c r="AD41" s="848"/>
      <c r="AE41" s="848"/>
      <c r="AF41" s="848"/>
      <c r="AG41" s="848"/>
      <c r="AH41" s="1327">
        <v>1</v>
      </c>
      <c r="AI41" s="1327"/>
      <c r="AJ41" s="1327"/>
      <c r="AK41" s="1327"/>
      <c r="AL41" s="1327"/>
      <c r="AM41" s="1327"/>
      <c r="AN41" s="711">
        <f>AC41/U12</f>
        <v>0</v>
      </c>
      <c r="AO41" s="712"/>
      <c r="AP41" s="712"/>
      <c r="AQ41" s="712"/>
      <c r="AR41" s="734"/>
      <c r="AS41" s="508" t="s">
        <v>17</v>
      </c>
      <c r="AT41" s="509"/>
      <c r="AU41" s="509"/>
      <c r="AV41" s="509"/>
      <c r="AW41" s="510"/>
      <c r="AX41" s="711" t="s">
        <v>17</v>
      </c>
      <c r="AY41" s="712"/>
      <c r="AZ41" s="712"/>
      <c r="BA41" s="712"/>
      <c r="BB41" s="713"/>
    </row>
    <row r="42" spans="1:54" s="165" customFormat="1" ht="0.75" hidden="1" customHeight="1" x14ac:dyDescent="0.2">
      <c r="A42" s="844"/>
      <c r="B42" s="845"/>
      <c r="C42" s="845"/>
      <c r="D42" s="845"/>
      <c r="E42" s="845"/>
      <c r="F42" s="845"/>
      <c r="G42" s="845"/>
      <c r="H42" s="849"/>
      <c r="I42" s="849"/>
      <c r="J42" s="849"/>
      <c r="K42" s="849"/>
      <c r="L42" s="849"/>
      <c r="M42" s="849"/>
      <c r="N42" s="849"/>
      <c r="O42" s="849"/>
      <c r="P42" s="849"/>
      <c r="Q42" s="849"/>
      <c r="R42" s="849"/>
      <c r="S42" s="849"/>
      <c r="T42" s="849"/>
      <c r="U42" s="849"/>
      <c r="V42" s="849"/>
      <c r="W42" s="849"/>
      <c r="X42" s="849"/>
      <c r="Y42" s="849"/>
      <c r="Z42" s="726"/>
      <c r="AA42" s="726"/>
      <c r="AB42" s="726"/>
      <c r="AC42" s="849"/>
      <c r="AD42" s="849"/>
      <c r="AE42" s="849"/>
      <c r="AF42" s="849"/>
      <c r="AG42" s="849"/>
      <c r="AH42" s="1328"/>
      <c r="AI42" s="1328"/>
      <c r="AJ42" s="1328"/>
      <c r="AK42" s="1328"/>
      <c r="AL42" s="1328"/>
      <c r="AM42" s="1328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714"/>
      <c r="AY42" s="704"/>
      <c r="AZ42" s="704"/>
      <c r="BA42" s="704"/>
      <c r="BB42" s="715"/>
    </row>
    <row r="43" spans="1:54" ht="18" customHeight="1" thickBot="1" x14ac:dyDescent="0.25">
      <c r="A43" s="844"/>
      <c r="B43" s="845"/>
      <c r="C43" s="845"/>
      <c r="D43" s="845"/>
      <c r="E43" s="845"/>
      <c r="F43" s="845"/>
      <c r="G43" s="845"/>
      <c r="H43" s="849"/>
      <c r="I43" s="849"/>
      <c r="J43" s="849"/>
      <c r="K43" s="849"/>
      <c r="L43" s="849"/>
      <c r="M43" s="849"/>
      <c r="N43" s="849"/>
      <c r="O43" s="849"/>
      <c r="P43" s="849"/>
      <c r="Q43" s="849"/>
      <c r="R43" s="849"/>
      <c r="S43" s="849"/>
      <c r="T43" s="849"/>
      <c r="U43" s="849"/>
      <c r="V43" s="849"/>
      <c r="W43" s="849"/>
      <c r="X43" s="849"/>
      <c r="Y43" s="849"/>
      <c r="Z43" s="726"/>
      <c r="AA43" s="726"/>
      <c r="AB43" s="726"/>
      <c r="AC43" s="850"/>
      <c r="AD43" s="850"/>
      <c r="AE43" s="850"/>
      <c r="AF43" s="850"/>
      <c r="AG43" s="850"/>
      <c r="AH43" s="1329"/>
      <c r="AI43" s="1329"/>
      <c r="AJ43" s="1329"/>
      <c r="AK43" s="1329"/>
      <c r="AL43" s="1329"/>
      <c r="AM43" s="1329"/>
      <c r="AN43" s="770"/>
      <c r="AO43" s="721"/>
      <c r="AP43" s="721"/>
      <c r="AQ43" s="721"/>
      <c r="AR43" s="851"/>
      <c r="AS43" s="514"/>
      <c r="AT43" s="515"/>
      <c r="AU43" s="515"/>
      <c r="AV43" s="515"/>
      <c r="AW43" s="516"/>
      <c r="AX43" s="770"/>
      <c r="AY43" s="721"/>
      <c r="AZ43" s="721"/>
      <c r="BA43" s="721"/>
      <c r="BB43" s="908"/>
    </row>
    <row r="44" spans="1:54" s="165" customFormat="1" ht="21" hidden="1" customHeight="1" x14ac:dyDescent="0.2">
      <c r="A44" s="844"/>
      <c r="B44" s="845"/>
      <c r="C44" s="845"/>
      <c r="D44" s="845"/>
      <c r="E44" s="845"/>
      <c r="F44" s="845"/>
      <c r="G44" s="845"/>
      <c r="H44" s="849"/>
      <c r="I44" s="849"/>
      <c r="J44" s="849"/>
      <c r="K44" s="849"/>
      <c r="L44" s="849"/>
      <c r="M44" s="849"/>
      <c r="N44" s="849"/>
      <c r="O44" s="849"/>
      <c r="P44" s="849"/>
      <c r="Q44" s="849"/>
      <c r="R44" s="849"/>
      <c r="S44" s="849"/>
      <c r="T44" s="849"/>
      <c r="U44" s="849"/>
      <c r="V44" s="849"/>
      <c r="W44" s="849"/>
      <c r="X44" s="849"/>
      <c r="Y44" s="849"/>
      <c r="Z44" s="726"/>
      <c r="AA44" s="726"/>
      <c r="AB44" s="726"/>
      <c r="AC44" s="277"/>
      <c r="AD44" s="277"/>
      <c r="AE44" s="277"/>
      <c r="AF44" s="277"/>
      <c r="AG44" s="277"/>
      <c r="AH44" s="281"/>
      <c r="AI44" s="281"/>
      <c r="AJ44" s="281"/>
      <c r="AK44" s="281"/>
      <c r="AL44" s="281"/>
      <c r="AM44" s="281"/>
      <c r="AN44" s="86"/>
      <c r="AO44" s="84"/>
      <c r="AP44" s="84"/>
      <c r="AQ44" s="84"/>
      <c r="AR44" s="85"/>
      <c r="AS44" s="180"/>
      <c r="AT44" s="181"/>
      <c r="AU44" s="181"/>
      <c r="AV44" s="181"/>
      <c r="AW44" s="182"/>
      <c r="AX44" s="86"/>
      <c r="AY44" s="84"/>
      <c r="AZ44" s="84"/>
      <c r="BA44" s="84"/>
      <c r="BB44" s="255"/>
    </row>
    <row r="45" spans="1:54" s="165" customFormat="1" ht="21.75" hidden="1" customHeight="1" x14ac:dyDescent="0.2">
      <c r="A45" s="844"/>
      <c r="B45" s="845"/>
      <c r="C45" s="845"/>
      <c r="D45" s="845"/>
      <c r="E45" s="845"/>
      <c r="F45" s="845"/>
      <c r="G45" s="845"/>
      <c r="H45" s="849"/>
      <c r="I45" s="849"/>
      <c r="J45" s="849"/>
      <c r="K45" s="849"/>
      <c r="L45" s="849"/>
      <c r="M45" s="849"/>
      <c r="N45" s="849"/>
      <c r="O45" s="849"/>
      <c r="P45" s="849"/>
      <c r="Q45" s="849"/>
      <c r="R45" s="849"/>
      <c r="S45" s="849"/>
      <c r="T45" s="849"/>
      <c r="U45" s="849"/>
      <c r="V45" s="849"/>
      <c r="W45" s="849"/>
      <c r="X45" s="849"/>
      <c r="Y45" s="849"/>
      <c r="Z45" s="726"/>
      <c r="AA45" s="726"/>
      <c r="AB45" s="726"/>
      <c r="AC45" s="277"/>
      <c r="AD45" s="277"/>
      <c r="AE45" s="277"/>
      <c r="AF45" s="277"/>
      <c r="AG45" s="277"/>
      <c r="AH45" s="281"/>
      <c r="AI45" s="281"/>
      <c r="AJ45" s="281"/>
      <c r="AK45" s="281"/>
      <c r="AL45" s="281"/>
      <c r="AM45" s="281"/>
      <c r="AN45" s="86"/>
      <c r="AO45" s="84"/>
      <c r="AP45" s="84"/>
      <c r="AQ45" s="84"/>
      <c r="AR45" s="85"/>
      <c r="AS45" s="180"/>
      <c r="AT45" s="181"/>
      <c r="AU45" s="181"/>
      <c r="AV45" s="181"/>
      <c r="AW45" s="182"/>
      <c r="AX45" s="86"/>
      <c r="AY45" s="84"/>
      <c r="AZ45" s="84"/>
      <c r="BA45" s="84"/>
      <c r="BB45" s="255"/>
    </row>
    <row r="46" spans="1:54" s="165" customFormat="1" ht="24" hidden="1" customHeight="1" x14ac:dyDescent="0.2">
      <c r="A46" s="844"/>
      <c r="B46" s="845"/>
      <c r="C46" s="845"/>
      <c r="D46" s="845"/>
      <c r="E46" s="845"/>
      <c r="F46" s="845"/>
      <c r="G46" s="845"/>
      <c r="H46" s="849"/>
      <c r="I46" s="849"/>
      <c r="J46" s="849"/>
      <c r="K46" s="849"/>
      <c r="L46" s="849"/>
      <c r="M46" s="849"/>
      <c r="N46" s="849"/>
      <c r="O46" s="849"/>
      <c r="P46" s="849"/>
      <c r="Q46" s="849"/>
      <c r="R46" s="849"/>
      <c r="S46" s="849"/>
      <c r="T46" s="849"/>
      <c r="U46" s="849"/>
      <c r="V46" s="849"/>
      <c r="W46" s="849"/>
      <c r="X46" s="849"/>
      <c r="Y46" s="849"/>
      <c r="Z46" s="726"/>
      <c r="AA46" s="726"/>
      <c r="AB46" s="726"/>
      <c r="AC46" s="277"/>
      <c r="AD46" s="277"/>
      <c r="AE46" s="277"/>
      <c r="AF46" s="277"/>
      <c r="AG46" s="277"/>
      <c r="AH46" s="281"/>
      <c r="AI46" s="281"/>
      <c r="AJ46" s="281"/>
      <c r="AK46" s="281"/>
      <c r="AL46" s="281"/>
      <c r="AM46" s="281"/>
      <c r="AN46" s="86"/>
      <c r="AO46" s="84"/>
      <c r="AP46" s="84"/>
      <c r="AQ46" s="84"/>
      <c r="AR46" s="85"/>
      <c r="AS46" s="180"/>
      <c r="AT46" s="181"/>
      <c r="AU46" s="181"/>
      <c r="AV46" s="181"/>
      <c r="AW46" s="182"/>
      <c r="AX46" s="86"/>
      <c r="AY46" s="84"/>
      <c r="AZ46" s="84"/>
      <c r="BA46" s="84"/>
      <c r="BB46" s="255"/>
    </row>
    <row r="47" spans="1:54" s="165" customFormat="1" ht="18" hidden="1" customHeight="1" x14ac:dyDescent="0.2">
      <c r="A47" s="844"/>
      <c r="B47" s="845"/>
      <c r="C47" s="845"/>
      <c r="D47" s="845"/>
      <c r="E47" s="845"/>
      <c r="F47" s="845"/>
      <c r="G47" s="845"/>
      <c r="H47" s="849"/>
      <c r="I47" s="849"/>
      <c r="J47" s="849"/>
      <c r="K47" s="849"/>
      <c r="L47" s="849"/>
      <c r="M47" s="849"/>
      <c r="N47" s="849"/>
      <c r="O47" s="849"/>
      <c r="P47" s="849"/>
      <c r="Q47" s="849"/>
      <c r="R47" s="849"/>
      <c r="S47" s="849"/>
      <c r="T47" s="849"/>
      <c r="U47" s="849"/>
      <c r="V47" s="849"/>
      <c r="W47" s="849"/>
      <c r="X47" s="849"/>
      <c r="Y47" s="849"/>
      <c r="Z47" s="726"/>
      <c r="AA47" s="726"/>
      <c r="AB47" s="726"/>
      <c r="AC47" s="277"/>
      <c r="AD47" s="277"/>
      <c r="AE47" s="277"/>
      <c r="AF47" s="277"/>
      <c r="AG47" s="277"/>
      <c r="AH47" s="281"/>
      <c r="AI47" s="281"/>
      <c r="AJ47" s="281"/>
      <c r="AK47" s="281"/>
      <c r="AL47" s="281"/>
      <c r="AM47" s="281"/>
      <c r="AN47" s="86"/>
      <c r="AO47" s="84"/>
      <c r="AP47" s="84"/>
      <c r="AQ47" s="84"/>
      <c r="AR47" s="85"/>
      <c r="AS47" s="180"/>
      <c r="AT47" s="181"/>
      <c r="AU47" s="181"/>
      <c r="AV47" s="181"/>
      <c r="AW47" s="182"/>
      <c r="AX47" s="86"/>
      <c r="AY47" s="84"/>
      <c r="AZ47" s="84"/>
      <c r="BA47" s="84"/>
      <c r="BB47" s="255"/>
    </row>
    <row r="48" spans="1:54" s="165" customFormat="1" ht="17.25" hidden="1" customHeight="1" x14ac:dyDescent="0.2">
      <c r="A48" s="844"/>
      <c r="B48" s="845"/>
      <c r="C48" s="845"/>
      <c r="D48" s="845"/>
      <c r="E48" s="845"/>
      <c r="F48" s="845"/>
      <c r="G48" s="845"/>
      <c r="H48" s="849"/>
      <c r="I48" s="849"/>
      <c r="J48" s="849"/>
      <c r="K48" s="849"/>
      <c r="L48" s="849"/>
      <c r="M48" s="849"/>
      <c r="N48" s="849"/>
      <c r="O48" s="849"/>
      <c r="P48" s="849"/>
      <c r="Q48" s="849"/>
      <c r="R48" s="849"/>
      <c r="S48" s="849"/>
      <c r="T48" s="849"/>
      <c r="U48" s="849"/>
      <c r="V48" s="849"/>
      <c r="W48" s="849"/>
      <c r="X48" s="849"/>
      <c r="Y48" s="849"/>
      <c r="Z48" s="726"/>
      <c r="AA48" s="726"/>
      <c r="AB48" s="726"/>
      <c r="AC48" s="277"/>
      <c r="AD48" s="277"/>
      <c r="AE48" s="277"/>
      <c r="AF48" s="277"/>
      <c r="AG48" s="277"/>
      <c r="AH48" s="281"/>
      <c r="AI48" s="281"/>
      <c r="AJ48" s="281"/>
      <c r="AK48" s="281"/>
      <c r="AL48" s="281"/>
      <c r="AM48" s="281"/>
      <c r="AN48" s="86"/>
      <c r="AO48" s="84"/>
      <c r="AP48" s="84"/>
      <c r="AQ48" s="84"/>
      <c r="AR48" s="85"/>
      <c r="AS48" s="180"/>
      <c r="AT48" s="181"/>
      <c r="AU48" s="181"/>
      <c r="AV48" s="181"/>
      <c r="AW48" s="182"/>
      <c r="AX48" s="86"/>
      <c r="AY48" s="84"/>
      <c r="AZ48" s="84"/>
      <c r="BA48" s="84"/>
      <c r="BB48" s="255"/>
    </row>
    <row r="49" spans="1:54" s="165" customFormat="1" ht="14.25" hidden="1" customHeight="1" x14ac:dyDescent="0.2">
      <c r="A49" s="844"/>
      <c r="B49" s="845"/>
      <c r="C49" s="845"/>
      <c r="D49" s="845"/>
      <c r="E49" s="845"/>
      <c r="F49" s="845"/>
      <c r="G49" s="845"/>
      <c r="H49" s="849"/>
      <c r="I49" s="849"/>
      <c r="J49" s="849"/>
      <c r="K49" s="849"/>
      <c r="L49" s="849"/>
      <c r="M49" s="849"/>
      <c r="N49" s="849"/>
      <c r="O49" s="849"/>
      <c r="P49" s="849"/>
      <c r="Q49" s="849"/>
      <c r="R49" s="849"/>
      <c r="S49" s="849"/>
      <c r="T49" s="849"/>
      <c r="U49" s="849"/>
      <c r="V49" s="849"/>
      <c r="W49" s="849"/>
      <c r="X49" s="849"/>
      <c r="Y49" s="849"/>
      <c r="Z49" s="726"/>
      <c r="AA49" s="726"/>
      <c r="AB49" s="726"/>
      <c r="AC49" s="277"/>
      <c r="AD49" s="277"/>
      <c r="AE49" s="277"/>
      <c r="AF49" s="277"/>
      <c r="AG49" s="277"/>
      <c r="AH49" s="281"/>
      <c r="AI49" s="281"/>
      <c r="AJ49" s="281"/>
      <c r="AK49" s="281"/>
      <c r="AL49" s="281"/>
      <c r="AM49" s="281"/>
      <c r="AN49" s="86"/>
      <c r="AO49" s="84"/>
      <c r="AP49" s="84"/>
      <c r="AQ49" s="84"/>
      <c r="AR49" s="85"/>
      <c r="AS49" s="180"/>
      <c r="AT49" s="181"/>
      <c r="AU49" s="181"/>
      <c r="AV49" s="181"/>
      <c r="AW49" s="182"/>
      <c r="AX49" s="86"/>
      <c r="AY49" s="84"/>
      <c r="AZ49" s="84"/>
      <c r="BA49" s="84"/>
      <c r="BB49" s="255"/>
    </row>
    <row r="50" spans="1:54" ht="0.75" customHeight="1" thickBot="1" x14ac:dyDescent="0.25">
      <c r="A50" s="846"/>
      <c r="B50" s="847"/>
      <c r="C50" s="847"/>
      <c r="D50" s="847"/>
      <c r="E50" s="847"/>
      <c r="F50" s="847"/>
      <c r="G50" s="847"/>
      <c r="H50" s="850"/>
      <c r="I50" s="850"/>
      <c r="J50" s="850"/>
      <c r="K50" s="850"/>
      <c r="L50" s="850"/>
      <c r="M50" s="850"/>
      <c r="N50" s="850"/>
      <c r="O50" s="850"/>
      <c r="P50" s="850"/>
      <c r="Q50" s="850"/>
      <c r="R50" s="850"/>
      <c r="S50" s="850"/>
      <c r="T50" s="850"/>
      <c r="U50" s="850"/>
      <c r="V50" s="850"/>
      <c r="W50" s="850"/>
      <c r="X50" s="850"/>
      <c r="Y50" s="850"/>
      <c r="Z50" s="729"/>
      <c r="AA50" s="729"/>
      <c r="AB50" s="729"/>
      <c r="AC50" s="278"/>
      <c r="AD50" s="278"/>
      <c r="AE50" s="278"/>
      <c r="AF50" s="278"/>
      <c r="AG50" s="278"/>
      <c r="AH50" s="282"/>
      <c r="AI50" s="282"/>
      <c r="AJ50" s="282"/>
      <c r="AK50" s="282"/>
      <c r="AL50" s="282"/>
      <c r="AM50" s="282"/>
      <c r="AN50" s="256"/>
      <c r="AO50" s="257"/>
      <c r="AP50" s="257"/>
      <c r="AQ50" s="257"/>
      <c r="AR50" s="258"/>
      <c r="AS50" s="259"/>
      <c r="AT50" s="260"/>
      <c r="AU50" s="260"/>
      <c r="AV50" s="260"/>
      <c r="AW50" s="261"/>
      <c r="AX50" s="256"/>
      <c r="AY50" s="257"/>
      <c r="AZ50" s="257"/>
      <c r="BA50" s="257"/>
      <c r="BB50" s="262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189"/>
      <c r="I52" s="189"/>
      <c r="J52" s="189"/>
      <c r="K52" s="189"/>
      <c r="L52" s="164"/>
      <c r="M52" s="164"/>
      <c r="N52" s="164"/>
      <c r="O52" s="164"/>
      <c r="P52" s="164"/>
      <c r="Q52" s="190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660" t="s">
        <v>106</v>
      </c>
      <c r="B58" s="661"/>
      <c r="C58" s="661"/>
      <c r="D58" s="661"/>
      <c r="E58" s="661"/>
      <c r="F58" s="661"/>
      <c r="G58" s="661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275"/>
      <c r="AC58" s="606">
        <f>((R59+(R59*U61)+(R59*Q61)+(R59*M61)+(R59*I61))*Z61)</f>
        <v>40560</v>
      </c>
      <c r="AD58" s="662"/>
      <c r="AE58" s="662"/>
      <c r="AF58" s="662"/>
      <c r="AG58" s="662"/>
      <c r="AH58" s="711">
        <v>120</v>
      </c>
      <c r="AI58" s="712"/>
      <c r="AJ58" s="712"/>
      <c r="AK58" s="712"/>
      <c r="AL58" s="712"/>
      <c r="AM58" s="734"/>
      <c r="AN58" s="662">
        <f>AC58/AH58</f>
        <v>338</v>
      </c>
      <c r="AO58" s="662"/>
      <c r="AP58" s="662"/>
      <c r="AQ58" s="662"/>
      <c r="AR58" s="662"/>
      <c r="AS58" s="663">
        <f>U12</f>
        <v>36</v>
      </c>
      <c r="AT58" s="663"/>
      <c r="AU58" s="663"/>
      <c r="AV58" s="663"/>
      <c r="AW58" s="663"/>
      <c r="AX58" s="662">
        <f>AN58*AS58</f>
        <v>12168</v>
      </c>
      <c r="AY58" s="662"/>
      <c r="AZ58" s="662"/>
      <c r="BA58" s="662"/>
      <c r="BB58" s="684"/>
    </row>
    <row r="59" spans="1:54" s="165" customFormat="1" ht="24.6" customHeight="1" x14ac:dyDescent="0.2">
      <c r="A59" s="652"/>
      <c r="B59" s="653"/>
      <c r="C59" s="653"/>
      <c r="D59" s="653"/>
      <c r="E59" s="653"/>
      <c r="F59" s="653"/>
      <c r="G59" s="653"/>
      <c r="H59" s="685" t="s">
        <v>530</v>
      </c>
      <c r="I59" s="686"/>
      <c r="J59" s="686"/>
      <c r="K59" s="686"/>
      <c r="L59" s="686"/>
      <c r="M59" s="686"/>
      <c r="N59" s="669"/>
      <c r="O59" s="669"/>
      <c r="P59" s="669"/>
      <c r="Q59" s="84" t="s">
        <v>27</v>
      </c>
      <c r="R59" s="669">
        <v>15600</v>
      </c>
      <c r="S59" s="669"/>
      <c r="T59" s="669"/>
      <c r="U59" s="669"/>
      <c r="V59" s="669"/>
      <c r="W59" s="84" t="s">
        <v>28</v>
      </c>
      <c r="X59" s="84"/>
      <c r="Y59" s="84"/>
      <c r="Z59" s="84"/>
      <c r="AA59" s="84"/>
      <c r="AB59" s="85"/>
      <c r="AC59" s="598"/>
      <c r="AD59" s="601"/>
      <c r="AE59" s="601"/>
      <c r="AF59" s="601"/>
      <c r="AG59" s="601"/>
      <c r="AH59" s="714"/>
      <c r="AI59" s="704"/>
      <c r="AJ59" s="704"/>
      <c r="AK59" s="704"/>
      <c r="AL59" s="704"/>
      <c r="AM59" s="735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652"/>
      <c r="B60" s="653"/>
      <c r="C60" s="653"/>
      <c r="D60" s="653"/>
      <c r="E60" s="653"/>
      <c r="F60" s="653"/>
      <c r="G60" s="653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598"/>
      <c r="AD60" s="601"/>
      <c r="AE60" s="601"/>
      <c r="AF60" s="601"/>
      <c r="AG60" s="601"/>
      <c r="AH60" s="714"/>
      <c r="AI60" s="704"/>
      <c r="AJ60" s="704"/>
      <c r="AK60" s="704"/>
      <c r="AL60" s="704"/>
      <c r="AM60" s="735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1.25" customHeight="1" x14ac:dyDescent="0.2">
      <c r="A61" s="652"/>
      <c r="B61" s="653"/>
      <c r="C61" s="653"/>
      <c r="D61" s="653"/>
      <c r="E61" s="653"/>
      <c r="F61" s="653"/>
      <c r="G61" s="653"/>
      <c r="H61" s="706" t="s">
        <v>656</v>
      </c>
      <c r="I61" s="1326"/>
      <c r="J61" s="1326"/>
      <c r="K61" s="1326"/>
      <c r="L61" s="1326"/>
      <c r="M61" s="1326"/>
      <c r="N61" s="1326"/>
      <c r="O61" s="1326"/>
      <c r="P61" s="1326"/>
      <c r="Q61" s="1326"/>
      <c r="R61" s="1326"/>
      <c r="S61" s="1326"/>
      <c r="T61" s="1326"/>
      <c r="U61" s="1326"/>
      <c r="V61" s="1326"/>
      <c r="W61" s="1326"/>
      <c r="X61" s="1326"/>
      <c r="Y61" s="391" t="s">
        <v>28</v>
      </c>
      <c r="Z61" s="669">
        <v>2.6</v>
      </c>
      <c r="AA61" s="669"/>
      <c r="AB61" s="670"/>
      <c r="AC61" s="598"/>
      <c r="AD61" s="601"/>
      <c r="AE61" s="601"/>
      <c r="AF61" s="601"/>
      <c r="AG61" s="601"/>
      <c r="AH61" s="714"/>
      <c r="AI61" s="704"/>
      <c r="AJ61" s="704"/>
      <c r="AK61" s="704"/>
      <c r="AL61" s="704"/>
      <c r="AM61" s="735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" customHeight="1" thickBot="1" x14ac:dyDescent="0.25">
      <c r="A62" s="681"/>
      <c r="B62" s="682"/>
      <c r="C62" s="682"/>
      <c r="D62" s="682"/>
      <c r="E62" s="682"/>
      <c r="F62" s="682"/>
      <c r="G62" s="682"/>
      <c r="H62" s="256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393"/>
      <c r="AC62" s="907"/>
      <c r="AD62" s="656"/>
      <c r="AE62" s="656"/>
      <c r="AF62" s="656"/>
      <c r="AG62" s="656"/>
      <c r="AH62" s="770"/>
      <c r="AI62" s="721"/>
      <c r="AJ62" s="721"/>
      <c r="AK62" s="721"/>
      <c r="AL62" s="721"/>
      <c r="AM62" s="851"/>
      <c r="AN62" s="656"/>
      <c r="AO62" s="656"/>
      <c r="AP62" s="656"/>
      <c r="AQ62" s="656"/>
      <c r="AR62" s="656"/>
      <c r="AS62" s="683"/>
      <c r="AT62" s="683"/>
      <c r="AU62" s="683"/>
      <c r="AV62" s="683"/>
      <c r="AW62" s="683"/>
      <c r="AX62" s="656"/>
      <c r="AY62" s="656"/>
      <c r="AZ62" s="656"/>
      <c r="BA62" s="656"/>
      <c r="BB62" s="657"/>
    </row>
    <row r="63" spans="1:54" s="165" customFormat="1" ht="12" x14ac:dyDescent="0.2">
      <c r="A63" s="666" t="s">
        <v>86</v>
      </c>
      <c r="B63" s="667"/>
      <c r="C63" s="667"/>
      <c r="D63" s="667"/>
      <c r="E63" s="667"/>
      <c r="F63" s="667"/>
      <c r="G63" s="667"/>
      <c r="H63" s="686" t="s">
        <v>530</v>
      </c>
      <c r="I63" s="686"/>
      <c r="J63" s="686"/>
      <c r="K63" s="686"/>
      <c r="L63" s="686"/>
      <c r="M63" s="686"/>
      <c r="N63" s="669"/>
      <c r="O63" s="669"/>
      <c r="P63" s="669"/>
      <c r="Q63" s="84" t="s">
        <v>27</v>
      </c>
      <c r="R63" s="669">
        <v>15600</v>
      </c>
      <c r="S63" s="669"/>
      <c r="T63" s="669"/>
      <c r="U63" s="669"/>
      <c r="V63" s="669"/>
      <c r="W63" s="84" t="s">
        <v>28</v>
      </c>
      <c r="X63" s="84"/>
      <c r="Y63" s="84"/>
      <c r="Z63" s="84"/>
      <c r="AA63" s="84"/>
      <c r="AB63" s="85"/>
      <c r="AC63" s="670">
        <f>R63*Z65</f>
        <v>40560</v>
      </c>
      <c r="AD63" s="781"/>
      <c r="AE63" s="781"/>
      <c r="AF63" s="781"/>
      <c r="AG63" s="781"/>
      <c r="AH63" s="781">
        <v>144</v>
      </c>
      <c r="AI63" s="781"/>
      <c r="AJ63" s="781"/>
      <c r="AK63" s="781"/>
      <c r="AL63" s="781"/>
      <c r="AM63" s="781"/>
      <c r="AN63" s="781">
        <f>AC63/AH63</f>
        <v>281.66666666666669</v>
      </c>
      <c r="AO63" s="781"/>
      <c r="AP63" s="781"/>
      <c r="AQ63" s="781"/>
      <c r="AR63" s="781"/>
      <c r="AS63" s="668">
        <v>36</v>
      </c>
      <c r="AT63" s="668"/>
      <c r="AU63" s="668"/>
      <c r="AV63" s="668"/>
      <c r="AW63" s="668"/>
      <c r="AX63" s="781">
        <f>AN63*AS63</f>
        <v>10140</v>
      </c>
      <c r="AY63" s="781"/>
      <c r="AZ63" s="781"/>
      <c r="BA63" s="781"/>
      <c r="BB63" s="782"/>
    </row>
    <row r="64" spans="1:54" s="165" customFormat="1" ht="12" x14ac:dyDescent="0.2">
      <c r="A64" s="652"/>
      <c r="B64" s="653"/>
      <c r="C64" s="653"/>
      <c r="D64" s="653"/>
      <c r="E64" s="653"/>
      <c r="F64" s="653"/>
      <c r="G64" s="653"/>
      <c r="H64" s="1326"/>
      <c r="I64" s="1326"/>
      <c r="J64" s="1326"/>
      <c r="K64" s="1326"/>
      <c r="L64" s="1326"/>
      <c r="M64" s="1326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5"/>
      <c r="AC64" s="598"/>
      <c r="AD64" s="601"/>
      <c r="AE64" s="601"/>
      <c r="AF64" s="601"/>
      <c r="AG64" s="601"/>
      <c r="AH64" s="601"/>
      <c r="AI64" s="601"/>
      <c r="AJ64" s="601"/>
      <c r="AK64" s="601"/>
      <c r="AL64" s="601"/>
      <c r="AM64" s="601"/>
      <c r="AN64" s="601"/>
      <c r="AO64" s="601"/>
      <c r="AP64" s="601"/>
      <c r="AQ64" s="601"/>
      <c r="AR64" s="601"/>
      <c r="AS64" s="664"/>
      <c r="AT64" s="664"/>
      <c r="AU64" s="664"/>
      <c r="AV64" s="664"/>
      <c r="AW64" s="664"/>
      <c r="AX64" s="601"/>
      <c r="AY64" s="601"/>
      <c r="AZ64" s="601"/>
      <c r="BA64" s="601"/>
      <c r="BB64" s="655"/>
    </row>
    <row r="65" spans="1:54" s="165" customFormat="1" ht="15" x14ac:dyDescent="0.2">
      <c r="A65" s="652"/>
      <c r="B65" s="653"/>
      <c r="C65" s="653"/>
      <c r="D65" s="653"/>
      <c r="E65" s="653"/>
      <c r="F65" s="653"/>
      <c r="G65" s="653"/>
      <c r="H65" s="1325" t="s">
        <v>656</v>
      </c>
      <c r="I65" s="1326"/>
      <c r="J65" s="1326"/>
      <c r="K65" s="1326"/>
      <c r="L65" s="1326"/>
      <c r="M65" s="1326"/>
      <c r="N65" s="1326"/>
      <c r="O65" s="1326"/>
      <c r="P65" s="1326"/>
      <c r="Q65" s="1326"/>
      <c r="R65" s="1326"/>
      <c r="S65" s="1326"/>
      <c r="T65" s="1326"/>
      <c r="U65" s="1326"/>
      <c r="V65" s="1326"/>
      <c r="W65" s="1326"/>
      <c r="X65" s="1326"/>
      <c r="Y65" s="391" t="s">
        <v>28</v>
      </c>
      <c r="Z65" s="704">
        <v>2.6</v>
      </c>
      <c r="AA65" s="704"/>
      <c r="AB65" s="735"/>
      <c r="AC65" s="598"/>
      <c r="AD65" s="601"/>
      <c r="AE65" s="601"/>
      <c r="AF65" s="601"/>
      <c r="AG65" s="601"/>
      <c r="AH65" s="601"/>
      <c r="AI65" s="601"/>
      <c r="AJ65" s="601"/>
      <c r="AK65" s="601"/>
      <c r="AL65" s="601"/>
      <c r="AM65" s="601"/>
      <c r="AN65" s="601"/>
      <c r="AO65" s="601"/>
      <c r="AP65" s="601"/>
      <c r="AQ65" s="601"/>
      <c r="AR65" s="601"/>
      <c r="AS65" s="664"/>
      <c r="AT65" s="664"/>
      <c r="AU65" s="664"/>
      <c r="AV65" s="664"/>
      <c r="AW65" s="664"/>
      <c r="AX65" s="601"/>
      <c r="AY65" s="601"/>
      <c r="AZ65" s="601"/>
      <c r="BA65" s="601"/>
      <c r="BB65" s="655"/>
    </row>
    <row r="66" spans="1:54" ht="12" customHeight="1" thickBot="1" x14ac:dyDescent="0.25">
      <c r="A66" s="681"/>
      <c r="B66" s="682"/>
      <c r="C66" s="682"/>
      <c r="D66" s="682"/>
      <c r="E66" s="682"/>
      <c r="F66" s="682"/>
      <c r="G66" s="682"/>
      <c r="H66" s="257"/>
      <c r="I66" s="257"/>
      <c r="J66" s="257"/>
      <c r="K66" s="257"/>
      <c r="L66" s="257"/>
      <c r="M66" s="257"/>
      <c r="N66" s="257"/>
      <c r="O66" s="257"/>
      <c r="P66" s="257"/>
      <c r="Q66" s="257"/>
      <c r="R66" s="257"/>
      <c r="S66" s="257"/>
      <c r="T66" s="257"/>
      <c r="U66" s="257"/>
      <c r="V66" s="257"/>
      <c r="W66" s="257"/>
      <c r="X66" s="257"/>
      <c r="Y66" s="257"/>
      <c r="Z66" s="257"/>
      <c r="AA66" s="257"/>
      <c r="AB66" s="258"/>
      <c r="AC66" s="907"/>
      <c r="AD66" s="656"/>
      <c r="AE66" s="656"/>
      <c r="AF66" s="656"/>
      <c r="AG66" s="656"/>
      <c r="AH66" s="656"/>
      <c r="AI66" s="656"/>
      <c r="AJ66" s="656"/>
      <c r="AK66" s="656"/>
      <c r="AL66" s="656"/>
      <c r="AM66" s="656"/>
      <c r="AN66" s="656"/>
      <c r="AO66" s="656"/>
      <c r="AP66" s="656"/>
      <c r="AQ66" s="656"/>
      <c r="AR66" s="656"/>
      <c r="AS66" s="683"/>
      <c r="AT66" s="683"/>
      <c r="AU66" s="683"/>
      <c r="AV66" s="683"/>
      <c r="AW66" s="683"/>
      <c r="AX66" s="656"/>
      <c r="AY66" s="656"/>
      <c r="AZ66" s="656"/>
      <c r="BA66" s="656"/>
      <c r="BB66" s="657"/>
    </row>
    <row r="67" spans="1:54" ht="11.25" customHeight="1" x14ac:dyDescent="0.2">
      <c r="R67" s="187" t="s">
        <v>18</v>
      </c>
      <c r="S67" s="163"/>
      <c r="T67" s="163"/>
      <c r="U67" s="162"/>
      <c r="V67" s="162"/>
      <c r="W67" s="162"/>
      <c r="X67" s="162"/>
      <c r="Y67" s="162"/>
      <c r="Z67" s="162"/>
      <c r="AA67" s="162"/>
      <c r="AB67" s="162"/>
      <c r="AC67" s="162"/>
      <c r="AD67" s="162" t="s">
        <v>19</v>
      </c>
      <c r="AE67" s="162" t="s">
        <v>20</v>
      </c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88"/>
      <c r="AS67" s="702">
        <f>AX67/U12</f>
        <v>619.66666666666663</v>
      </c>
      <c r="AT67" s="702"/>
      <c r="AU67" s="702"/>
      <c r="AV67" s="702"/>
      <c r="AW67" s="702"/>
      <c r="AX67" s="702">
        <f>SUM(AX58:BB66)</f>
        <v>22308</v>
      </c>
      <c r="AY67" s="702"/>
      <c r="AZ67" s="702"/>
      <c r="BA67" s="702"/>
      <c r="BB67" s="703"/>
    </row>
    <row r="68" spans="1:54" ht="11.25" customHeight="1" thickBot="1" x14ac:dyDescent="0.25">
      <c r="R68" s="175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 t="s">
        <v>19</v>
      </c>
      <c r="AE68" s="176" t="s">
        <v>21</v>
      </c>
      <c r="AF68" s="176"/>
      <c r="AG68" s="176"/>
      <c r="AH68" s="176"/>
      <c r="AI68" s="176"/>
      <c r="AJ68" s="176"/>
      <c r="AK68" s="176"/>
      <c r="AL68" s="176"/>
      <c r="AM68" s="176"/>
      <c r="AN68" s="176"/>
      <c r="AO68" s="630">
        <v>0.30199999999999999</v>
      </c>
      <c r="AP68" s="631"/>
      <c r="AQ68" s="631"/>
      <c r="AR68" s="632"/>
      <c r="AS68" s="463">
        <f>AX68/U12</f>
        <v>187.13933333333333</v>
      </c>
      <c r="AT68" s="463"/>
      <c r="AU68" s="463"/>
      <c r="AV68" s="463"/>
      <c r="AW68" s="463"/>
      <c r="AX68" s="463">
        <f>AX67*AO68</f>
        <v>6737.0159999999996</v>
      </c>
      <c r="AY68" s="463"/>
      <c r="AZ68" s="463"/>
      <c r="BA68" s="463"/>
      <c r="BB68" s="633"/>
    </row>
    <row r="69" spans="1:54" ht="11.25" customHeight="1" thickBot="1" x14ac:dyDescent="0.25">
      <c r="M69" s="164"/>
      <c r="R69" s="163"/>
      <c r="S69" s="163"/>
      <c r="T69" s="163"/>
      <c r="U69" s="163"/>
      <c r="V69" s="163"/>
      <c r="W69" s="163"/>
      <c r="X69" s="163"/>
      <c r="Y69" s="163"/>
      <c r="Z69" s="163"/>
      <c r="AA69" s="163"/>
      <c r="AB69" s="163"/>
      <c r="AC69" s="163"/>
      <c r="AD69" s="163"/>
      <c r="AE69" s="163"/>
      <c r="AF69" s="163"/>
      <c r="AG69" s="163"/>
      <c r="AH69" s="163"/>
      <c r="AI69" s="163"/>
      <c r="AJ69" s="163"/>
      <c r="AK69" s="163"/>
      <c r="AL69" s="163"/>
      <c r="AM69" s="163"/>
      <c r="AN69" s="163"/>
      <c r="AO69" s="206"/>
      <c r="AP69" s="179"/>
      <c r="AQ69" s="179"/>
      <c r="AR69" s="179"/>
      <c r="AS69" s="207"/>
      <c r="AT69" s="207"/>
      <c r="AU69" s="207"/>
      <c r="AV69" s="207"/>
      <c r="AW69" s="207"/>
      <c r="AX69" s="207"/>
      <c r="AY69" s="207"/>
      <c r="AZ69" s="207"/>
      <c r="BA69" s="207"/>
      <c r="BB69" s="207"/>
    </row>
    <row r="70" spans="1:54" ht="12" customHeight="1" x14ac:dyDescent="0.2">
      <c r="A70" s="634" t="s">
        <v>32</v>
      </c>
      <c r="B70" s="634"/>
      <c r="C70" s="634"/>
      <c r="D70" s="634"/>
      <c r="E70" s="634"/>
      <c r="F70" s="634"/>
      <c r="G70" s="634"/>
      <c r="H70" s="634"/>
      <c r="I70" s="634"/>
      <c r="J70" s="634"/>
      <c r="K70" s="634"/>
      <c r="L70" s="634"/>
      <c r="M70" s="634"/>
      <c r="N70" s="634"/>
      <c r="O70" s="635" t="s">
        <v>33</v>
      </c>
      <c r="P70" s="636"/>
      <c r="Q70" s="636"/>
      <c r="R70" s="636"/>
      <c r="S70" s="636"/>
      <c r="T70" s="636"/>
      <c r="U70" s="636"/>
      <c r="V70" s="636"/>
      <c r="W70" s="636"/>
      <c r="X70" s="636"/>
      <c r="Y70" s="636"/>
      <c r="Z70" s="636"/>
      <c r="AA70" s="636"/>
      <c r="AB70" s="636"/>
      <c r="AC70" s="636"/>
      <c r="AD70" s="636"/>
      <c r="AE70" s="636"/>
      <c r="AF70" s="636"/>
      <c r="AG70" s="636"/>
      <c r="AH70" s="636"/>
      <c r="AI70" s="636"/>
      <c r="AJ70" s="636"/>
      <c r="AK70" s="636"/>
      <c r="AL70" s="636"/>
      <c r="AM70" s="636"/>
      <c r="AN70" s="636"/>
      <c r="AO70" s="637">
        <f>AS34+AS51+AS67</f>
        <v>867.5333333333333</v>
      </c>
      <c r="AP70" s="637"/>
      <c r="AQ70" s="637"/>
      <c r="AR70" s="637"/>
      <c r="AS70" s="637"/>
      <c r="AT70" s="637"/>
      <c r="AU70" s="637"/>
      <c r="AV70" s="637">
        <f>AX34+AX51+AX67</f>
        <v>31231.200000000001</v>
      </c>
      <c r="AW70" s="637"/>
      <c r="AX70" s="637"/>
      <c r="AY70" s="637"/>
      <c r="AZ70" s="637"/>
      <c r="BA70" s="637"/>
      <c r="BB70" s="638"/>
    </row>
    <row r="71" spans="1:54" ht="12" customHeight="1" thickBot="1" x14ac:dyDescent="0.25">
      <c r="M71" s="163"/>
      <c r="O71" s="643" t="s">
        <v>34</v>
      </c>
      <c r="P71" s="644"/>
      <c r="Q71" s="644"/>
      <c r="R71" s="644"/>
      <c r="S71" s="644"/>
      <c r="T71" s="644"/>
      <c r="U71" s="644"/>
      <c r="V71" s="644"/>
      <c r="W71" s="644"/>
      <c r="X71" s="644"/>
      <c r="Y71" s="644"/>
      <c r="Z71" s="644"/>
      <c r="AA71" s="644"/>
      <c r="AB71" s="644"/>
      <c r="AC71" s="644"/>
      <c r="AD71" s="644"/>
      <c r="AE71" s="644"/>
      <c r="AF71" s="644"/>
      <c r="AG71" s="644"/>
      <c r="AH71" s="644"/>
      <c r="AI71" s="644"/>
      <c r="AJ71" s="644"/>
      <c r="AK71" s="644"/>
      <c r="AL71" s="644"/>
      <c r="AM71" s="644"/>
      <c r="AN71" s="644"/>
      <c r="AO71" s="645">
        <f>AS35+AS52+AS68</f>
        <v>261.99506666666667</v>
      </c>
      <c r="AP71" s="645"/>
      <c r="AQ71" s="645"/>
      <c r="AR71" s="645"/>
      <c r="AS71" s="645"/>
      <c r="AT71" s="645"/>
      <c r="AU71" s="645"/>
      <c r="AV71" s="645">
        <f>AX35+AX52+AX68</f>
        <v>9431.8223999999991</v>
      </c>
      <c r="AW71" s="645"/>
      <c r="AX71" s="645"/>
      <c r="AY71" s="645"/>
      <c r="AZ71" s="645"/>
      <c r="BA71" s="645"/>
      <c r="BB71" s="646"/>
    </row>
    <row r="72" spans="1:54" ht="12" customHeight="1" thickBot="1" x14ac:dyDescent="0.25">
      <c r="M72" s="208" t="s">
        <v>35</v>
      </c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  <c r="AJ72" s="209"/>
      <c r="AK72" s="209"/>
      <c r="AL72" s="209"/>
      <c r="AM72" s="209"/>
      <c r="AN72" s="210"/>
      <c r="AO72" s="647">
        <f>AO71+AO70</f>
        <v>1129.5283999999999</v>
      </c>
      <c r="AP72" s="648"/>
      <c r="AQ72" s="648"/>
      <c r="AR72" s="648"/>
      <c r="AS72" s="648"/>
      <c r="AT72" s="648"/>
      <c r="AU72" s="648"/>
      <c r="AV72" s="648">
        <f>AV70+AV71</f>
        <v>40663.022400000002</v>
      </c>
      <c r="AW72" s="648"/>
      <c r="AX72" s="648"/>
      <c r="AY72" s="648"/>
      <c r="AZ72" s="648"/>
      <c r="BA72" s="648"/>
      <c r="BB72" s="649"/>
    </row>
    <row r="73" spans="1:54" ht="18" customHeight="1" x14ac:dyDescent="0.2"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  <c r="AA73" s="211"/>
      <c r="AB73" s="211"/>
      <c r="AC73" s="211"/>
      <c r="AD73" s="211"/>
      <c r="AE73" s="211"/>
      <c r="AF73" s="211"/>
      <c r="AG73" s="211"/>
      <c r="AH73" s="211"/>
      <c r="AI73" s="211"/>
      <c r="AJ73" s="211"/>
      <c r="AK73" s="211"/>
      <c r="AL73" s="211"/>
      <c r="AM73" s="211"/>
      <c r="AN73" s="211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</row>
    <row r="74" spans="1:54" s="159" customFormat="1" ht="15" customHeight="1" x14ac:dyDescent="0.2">
      <c r="A74" s="159" t="s">
        <v>36</v>
      </c>
      <c r="C74" s="159" t="s">
        <v>37</v>
      </c>
      <c r="AX74" s="160"/>
      <c r="AY74" s="160"/>
      <c r="AZ74" s="160"/>
      <c r="BA74" s="160"/>
      <c r="BB74" s="160"/>
    </row>
    <row r="75" spans="1:54" ht="21.75" customHeight="1" thickBot="1" x14ac:dyDescent="0.25"/>
    <row r="76" spans="1:54" s="163" customFormat="1" ht="39" customHeight="1" x14ac:dyDescent="0.2">
      <c r="A76" s="499" t="s">
        <v>38</v>
      </c>
      <c r="B76" s="500"/>
      <c r="C76" s="500"/>
      <c r="D76" s="500"/>
      <c r="E76" s="500"/>
      <c r="F76" s="500"/>
      <c r="G76" s="500"/>
      <c r="H76" s="500"/>
      <c r="I76" s="500"/>
      <c r="J76" s="500"/>
      <c r="K76" s="500"/>
      <c r="L76" s="500"/>
      <c r="M76" s="500"/>
      <c r="N76" s="500"/>
      <c r="O76" s="500"/>
      <c r="P76" s="500"/>
      <c r="Q76" s="535" t="s">
        <v>39</v>
      </c>
      <c r="R76" s="535"/>
      <c r="S76" s="535"/>
      <c r="T76" s="535"/>
      <c r="U76" s="535"/>
      <c r="V76" s="535"/>
      <c r="W76" s="535"/>
      <c r="X76" s="535" t="s">
        <v>40</v>
      </c>
      <c r="Y76" s="535"/>
      <c r="Z76" s="535"/>
      <c r="AA76" s="535"/>
      <c r="AB76" s="535"/>
      <c r="AC76" s="535"/>
      <c r="AD76" s="535"/>
      <c r="AE76" s="535" t="s">
        <v>41</v>
      </c>
      <c r="AF76" s="535"/>
      <c r="AG76" s="535"/>
      <c r="AH76" s="535"/>
      <c r="AI76" s="535"/>
      <c r="AJ76" s="535"/>
      <c r="AK76" s="535"/>
      <c r="AL76" s="535"/>
      <c r="AM76" s="500" t="s">
        <v>42</v>
      </c>
      <c r="AN76" s="500"/>
      <c r="AO76" s="500"/>
      <c r="AP76" s="500"/>
      <c r="AQ76" s="500"/>
      <c r="AR76" s="500"/>
      <c r="AS76" s="500"/>
      <c r="AT76" s="500"/>
      <c r="AU76" s="500"/>
      <c r="AV76" s="500" t="s">
        <v>43</v>
      </c>
      <c r="AW76" s="500"/>
      <c r="AX76" s="500"/>
      <c r="AY76" s="500"/>
      <c r="AZ76" s="500"/>
      <c r="BA76" s="500"/>
      <c r="BB76" s="639"/>
    </row>
    <row r="77" spans="1:54" s="163" customFormat="1" ht="12" customHeight="1" thickBot="1" x14ac:dyDescent="0.25">
      <c r="A77" s="640">
        <v>1</v>
      </c>
      <c r="B77" s="641"/>
      <c r="C77" s="641"/>
      <c r="D77" s="641"/>
      <c r="E77" s="641"/>
      <c r="F77" s="641"/>
      <c r="G77" s="641"/>
      <c r="H77" s="641"/>
      <c r="I77" s="641"/>
      <c r="J77" s="641"/>
      <c r="K77" s="641"/>
      <c r="L77" s="641"/>
      <c r="M77" s="641"/>
      <c r="N77" s="641"/>
      <c r="O77" s="641"/>
      <c r="P77" s="641"/>
      <c r="Q77" s="641">
        <v>2</v>
      </c>
      <c r="R77" s="641"/>
      <c r="S77" s="641"/>
      <c r="T77" s="641"/>
      <c r="U77" s="641"/>
      <c r="V77" s="641"/>
      <c r="W77" s="641"/>
      <c r="X77" s="641">
        <v>3</v>
      </c>
      <c r="Y77" s="641"/>
      <c r="Z77" s="641"/>
      <c r="AA77" s="641"/>
      <c r="AB77" s="641"/>
      <c r="AC77" s="641"/>
      <c r="AD77" s="641"/>
      <c r="AE77" s="641">
        <v>4</v>
      </c>
      <c r="AF77" s="641"/>
      <c r="AG77" s="641"/>
      <c r="AH77" s="641"/>
      <c r="AI77" s="641"/>
      <c r="AJ77" s="641"/>
      <c r="AK77" s="641"/>
      <c r="AL77" s="641"/>
      <c r="AM77" s="641">
        <v>5</v>
      </c>
      <c r="AN77" s="641"/>
      <c r="AO77" s="641"/>
      <c r="AP77" s="641"/>
      <c r="AQ77" s="641"/>
      <c r="AR77" s="641"/>
      <c r="AS77" s="641"/>
      <c r="AT77" s="641"/>
      <c r="AU77" s="641"/>
      <c r="AV77" s="641">
        <v>6</v>
      </c>
      <c r="AW77" s="641"/>
      <c r="AX77" s="641"/>
      <c r="AY77" s="641"/>
      <c r="AZ77" s="641"/>
      <c r="BA77" s="641"/>
      <c r="BB77" s="642"/>
    </row>
    <row r="78" spans="1:54" ht="15" customHeight="1" x14ac:dyDescent="0.2">
      <c r="A78" s="618" t="s">
        <v>44</v>
      </c>
      <c r="B78" s="619"/>
      <c r="C78" s="619"/>
      <c r="D78" s="619"/>
      <c r="E78" s="619"/>
      <c r="F78" s="619"/>
      <c r="G78" s="619"/>
      <c r="H78" s="619"/>
      <c r="I78" s="619"/>
      <c r="J78" s="619"/>
      <c r="K78" s="619"/>
      <c r="L78" s="619"/>
      <c r="M78" s="619"/>
      <c r="N78" s="619"/>
      <c r="O78" s="619"/>
      <c r="P78" s="619"/>
      <c r="Q78" s="572">
        <v>5014.7</v>
      </c>
      <c r="R78" s="573"/>
      <c r="S78" s="573"/>
      <c r="T78" s="573"/>
      <c r="U78" s="573"/>
      <c r="V78" s="573"/>
      <c r="W78" s="574"/>
      <c r="X78" s="572">
        <v>153</v>
      </c>
      <c r="Y78" s="573"/>
      <c r="Z78" s="573"/>
      <c r="AA78" s="573"/>
      <c r="AB78" s="573"/>
      <c r="AC78" s="573"/>
      <c r="AD78" s="574"/>
      <c r="AE78" s="477">
        <v>1543273.99</v>
      </c>
      <c r="AF78" s="477"/>
      <c r="AG78" s="477"/>
      <c r="AH78" s="477"/>
      <c r="AI78" s="477"/>
      <c r="AJ78" s="477"/>
      <c r="AK78" s="477"/>
      <c r="AL78" s="477"/>
      <c r="AM78" s="620" t="s">
        <v>45</v>
      </c>
      <c r="AN78" s="621"/>
      <c r="AO78" s="621"/>
      <c r="AP78" s="621"/>
      <c r="AQ78" s="621"/>
      <c r="AR78" s="621"/>
      <c r="AS78" s="621"/>
      <c r="AT78" s="621"/>
      <c r="AU78" s="622"/>
      <c r="AV78" s="615">
        <f>AE78/$Q$78*$X$78/($AN$79*$AN$80)</f>
        <v>15.885881235887139</v>
      </c>
      <c r="AW78" s="615"/>
      <c r="AX78" s="615"/>
      <c r="AY78" s="615"/>
      <c r="AZ78" s="615"/>
      <c r="BA78" s="615"/>
      <c r="BB78" s="616"/>
    </row>
    <row r="79" spans="1:54" ht="15" customHeight="1" x14ac:dyDescent="0.2">
      <c r="A79" s="618" t="s">
        <v>46</v>
      </c>
      <c r="B79" s="619"/>
      <c r="C79" s="619"/>
      <c r="D79" s="619"/>
      <c r="E79" s="619"/>
      <c r="F79" s="619"/>
      <c r="G79" s="619"/>
      <c r="H79" s="619"/>
      <c r="I79" s="619"/>
      <c r="J79" s="619"/>
      <c r="K79" s="619"/>
      <c r="L79" s="619"/>
      <c r="M79" s="619"/>
      <c r="N79" s="619"/>
      <c r="O79" s="619"/>
      <c r="P79" s="619"/>
      <c r="Q79" s="572"/>
      <c r="R79" s="573"/>
      <c r="S79" s="573"/>
      <c r="T79" s="573"/>
      <c r="U79" s="573"/>
      <c r="V79" s="573"/>
      <c r="W79" s="574"/>
      <c r="X79" s="572"/>
      <c r="Y79" s="573"/>
      <c r="Z79" s="573"/>
      <c r="AA79" s="573"/>
      <c r="AB79" s="573"/>
      <c r="AC79" s="573"/>
      <c r="AD79" s="574"/>
      <c r="AE79" s="529">
        <v>2640483.81</v>
      </c>
      <c r="AF79" s="529"/>
      <c r="AG79" s="529"/>
      <c r="AH79" s="529"/>
      <c r="AI79" s="529"/>
      <c r="AJ79" s="529"/>
      <c r="AK79" s="529"/>
      <c r="AL79" s="529"/>
      <c r="AM79" s="213"/>
      <c r="AN79" s="623">
        <v>247</v>
      </c>
      <c r="AO79" s="623"/>
      <c r="AP79" s="623"/>
      <c r="AQ79" s="617" t="s">
        <v>47</v>
      </c>
      <c r="AR79" s="617"/>
      <c r="AS79" s="617"/>
      <c r="AT79" s="617"/>
      <c r="AU79" s="214"/>
      <c r="AV79" s="615">
        <f>AE79/$Q$78*$X$78/($AN$79*$AN$80)</f>
        <v>27.180145899395864</v>
      </c>
      <c r="AW79" s="615"/>
      <c r="AX79" s="615"/>
      <c r="AY79" s="615"/>
      <c r="AZ79" s="615"/>
      <c r="BA79" s="615"/>
      <c r="BB79" s="616"/>
    </row>
    <row r="80" spans="1:54" ht="15" customHeight="1" x14ac:dyDescent="0.2">
      <c r="A80" s="449" t="s">
        <v>48</v>
      </c>
      <c r="B80" s="450"/>
      <c r="C80" s="450"/>
      <c r="D80" s="450"/>
      <c r="E80" s="450"/>
      <c r="F80" s="450"/>
      <c r="G80" s="450"/>
      <c r="H80" s="450"/>
      <c r="I80" s="450"/>
      <c r="J80" s="450"/>
      <c r="K80" s="450"/>
      <c r="L80" s="450"/>
      <c r="M80" s="450"/>
      <c r="N80" s="450"/>
      <c r="O80" s="450"/>
      <c r="P80" s="451"/>
      <c r="Q80" s="572"/>
      <c r="R80" s="573"/>
      <c r="S80" s="573"/>
      <c r="T80" s="573"/>
      <c r="U80" s="573"/>
      <c r="V80" s="573"/>
      <c r="W80" s="574"/>
      <c r="X80" s="572"/>
      <c r="Y80" s="573"/>
      <c r="Z80" s="573"/>
      <c r="AA80" s="573"/>
      <c r="AB80" s="573"/>
      <c r="AC80" s="573"/>
      <c r="AD80" s="574"/>
      <c r="AE80" s="529">
        <v>4214618.8899999997</v>
      </c>
      <c r="AF80" s="529"/>
      <c r="AG80" s="529"/>
      <c r="AH80" s="529"/>
      <c r="AI80" s="529"/>
      <c r="AJ80" s="529"/>
      <c r="AK80" s="529"/>
      <c r="AL80" s="529"/>
      <c r="AM80" s="213"/>
      <c r="AN80" s="562">
        <v>12</v>
      </c>
      <c r="AO80" s="562"/>
      <c r="AP80" s="562"/>
      <c r="AQ80" s="617" t="s">
        <v>49</v>
      </c>
      <c r="AR80" s="617"/>
      <c r="AS80" s="617"/>
      <c r="AT80" s="617"/>
      <c r="AU80" s="214"/>
      <c r="AV80" s="615">
        <f>AE80/$Q$78*$X$78/($AN$79*$AN$80)</f>
        <v>43.383699573052795</v>
      </c>
      <c r="AW80" s="615"/>
      <c r="AX80" s="615"/>
      <c r="AY80" s="615"/>
      <c r="AZ80" s="615"/>
      <c r="BA80" s="615"/>
      <c r="BB80" s="616"/>
    </row>
    <row r="81" spans="1:57" ht="15" customHeight="1" thickBot="1" x14ac:dyDescent="0.25">
      <c r="A81" s="624" t="s">
        <v>50</v>
      </c>
      <c r="B81" s="625"/>
      <c r="C81" s="625"/>
      <c r="D81" s="625"/>
      <c r="E81" s="625"/>
      <c r="F81" s="625"/>
      <c r="G81" s="625"/>
      <c r="H81" s="625"/>
      <c r="I81" s="625"/>
      <c r="J81" s="625"/>
      <c r="K81" s="625"/>
      <c r="L81" s="625"/>
      <c r="M81" s="625"/>
      <c r="N81" s="625"/>
      <c r="O81" s="625"/>
      <c r="P81" s="626"/>
      <c r="Q81" s="572"/>
      <c r="R81" s="573"/>
      <c r="S81" s="573"/>
      <c r="T81" s="573"/>
      <c r="U81" s="573"/>
      <c r="V81" s="573"/>
      <c r="W81" s="574"/>
      <c r="X81" s="572"/>
      <c r="Y81" s="573"/>
      <c r="Z81" s="573"/>
      <c r="AA81" s="573"/>
      <c r="AB81" s="573"/>
      <c r="AC81" s="573"/>
      <c r="AD81" s="574"/>
      <c r="AE81" s="627">
        <v>1852856.09</v>
      </c>
      <c r="AF81" s="627"/>
      <c r="AG81" s="627"/>
      <c r="AH81" s="627"/>
      <c r="AI81" s="627"/>
      <c r="AJ81" s="627"/>
      <c r="AK81" s="627"/>
      <c r="AL81" s="627"/>
      <c r="AM81" s="213"/>
      <c r="AN81" s="186"/>
      <c r="AO81" s="186"/>
      <c r="AP81" s="186"/>
      <c r="AQ81" s="186"/>
      <c r="AR81" s="186"/>
      <c r="AS81" s="186"/>
      <c r="AT81" s="186"/>
      <c r="AU81" s="214"/>
      <c r="AV81" s="628">
        <f>AE81/$Q$78*$X$78/($AN$79*$AN$80)</f>
        <v>19.072602780618507</v>
      </c>
      <c r="AW81" s="628"/>
      <c r="AX81" s="628"/>
      <c r="AY81" s="628"/>
      <c r="AZ81" s="628"/>
      <c r="BA81" s="628"/>
      <c r="BB81" s="629"/>
    </row>
    <row r="82" spans="1:57" s="161" customFormat="1" ht="15" customHeight="1" thickBot="1" x14ac:dyDescent="0.25">
      <c r="A82" s="610" t="s">
        <v>51</v>
      </c>
      <c r="B82" s="611"/>
      <c r="C82" s="611"/>
      <c r="D82" s="611"/>
      <c r="E82" s="611"/>
      <c r="F82" s="611"/>
      <c r="G82" s="611"/>
      <c r="H82" s="611"/>
      <c r="I82" s="611"/>
      <c r="J82" s="611"/>
      <c r="K82" s="611"/>
      <c r="L82" s="611"/>
      <c r="M82" s="611"/>
      <c r="N82" s="611"/>
      <c r="O82" s="611"/>
      <c r="P82" s="611"/>
      <c r="Q82" s="531">
        <f>Q78</f>
        <v>5014.7</v>
      </c>
      <c r="R82" s="533"/>
      <c r="S82" s="533"/>
      <c r="T82" s="533"/>
      <c r="U82" s="533"/>
      <c r="V82" s="533"/>
      <c r="W82" s="534"/>
      <c r="X82" s="531">
        <f>X78</f>
        <v>153</v>
      </c>
      <c r="Y82" s="533"/>
      <c r="Z82" s="533"/>
      <c r="AA82" s="533"/>
      <c r="AB82" s="533"/>
      <c r="AC82" s="533"/>
      <c r="AD82" s="534"/>
      <c r="AE82" s="612">
        <f>SUM(AE78:AL81)</f>
        <v>10251232.779999999</v>
      </c>
      <c r="AF82" s="612"/>
      <c r="AG82" s="612"/>
      <c r="AH82" s="612"/>
      <c r="AI82" s="612"/>
      <c r="AJ82" s="612"/>
      <c r="AK82" s="612"/>
      <c r="AL82" s="612"/>
      <c r="AM82" s="531" t="s">
        <v>17</v>
      </c>
      <c r="AN82" s="533"/>
      <c r="AO82" s="533"/>
      <c r="AP82" s="533"/>
      <c r="AQ82" s="533"/>
      <c r="AR82" s="533"/>
      <c r="AS82" s="533"/>
      <c r="AT82" s="533"/>
      <c r="AU82" s="534"/>
      <c r="AV82" s="613">
        <f>SUM(AV78:BB81)</f>
        <v>105.5223294889543</v>
      </c>
      <c r="AW82" s="613"/>
      <c r="AX82" s="613"/>
      <c r="AY82" s="613"/>
      <c r="AZ82" s="613"/>
      <c r="BA82" s="613"/>
      <c r="BB82" s="614"/>
    </row>
    <row r="83" spans="1:57" ht="31.5" customHeight="1" x14ac:dyDescent="0.2"/>
    <row r="84" spans="1:57" s="159" customFormat="1" ht="15" customHeight="1" x14ac:dyDescent="0.2">
      <c r="A84" s="159" t="s">
        <v>52</v>
      </c>
      <c r="C84" s="159" t="s">
        <v>53</v>
      </c>
      <c r="AX84" s="160"/>
      <c r="AY84" s="160"/>
      <c r="AZ84" s="160"/>
      <c r="BA84" s="160"/>
      <c r="BB84" s="160"/>
    </row>
    <row r="85" spans="1:57" ht="12" customHeight="1" thickBot="1" x14ac:dyDescent="0.25"/>
    <row r="86" spans="1:57" ht="39" customHeight="1" x14ac:dyDescent="0.2">
      <c r="A86" s="585" t="s">
        <v>54</v>
      </c>
      <c r="B86" s="586"/>
      <c r="C86" s="586"/>
      <c r="D86" s="586"/>
      <c r="E86" s="586"/>
      <c r="F86" s="586"/>
      <c r="G86" s="586"/>
      <c r="H86" s="586"/>
      <c r="I86" s="586"/>
      <c r="J86" s="586"/>
      <c r="K86" s="586"/>
      <c r="L86" s="586"/>
      <c r="M86" s="586"/>
      <c r="N86" s="586"/>
      <c r="O86" s="586"/>
      <c r="P86" s="586"/>
      <c r="Q86" s="586"/>
      <c r="R86" s="586"/>
      <c r="S86" s="586"/>
      <c r="T86" s="586"/>
      <c r="U86" s="586"/>
      <c r="V86" s="586"/>
      <c r="W86" s="586"/>
      <c r="X86" s="586"/>
      <c r="Y86" s="586"/>
      <c r="Z86" s="587"/>
      <c r="AA86" s="536" t="s">
        <v>55</v>
      </c>
      <c r="AB86" s="537"/>
      <c r="AC86" s="537"/>
      <c r="AD86" s="537"/>
      <c r="AE86" s="537"/>
      <c r="AF86" s="538"/>
      <c r="AG86" s="536" t="s">
        <v>56</v>
      </c>
      <c r="AH86" s="537"/>
      <c r="AI86" s="537"/>
      <c r="AJ86" s="537"/>
      <c r="AK86" s="537"/>
      <c r="AL86" s="538"/>
      <c r="AM86" s="588" t="s">
        <v>57</v>
      </c>
      <c r="AN86" s="586"/>
      <c r="AO86" s="586"/>
      <c r="AP86" s="586"/>
      <c r="AQ86" s="586"/>
      <c r="AR86" s="586"/>
      <c r="AS86" s="586"/>
      <c r="AT86" s="587"/>
      <c r="AU86" s="588" t="s">
        <v>43</v>
      </c>
      <c r="AV86" s="586"/>
      <c r="AW86" s="586"/>
      <c r="AX86" s="586"/>
      <c r="AY86" s="586"/>
      <c r="AZ86" s="586"/>
      <c r="BA86" s="586"/>
      <c r="BB86" s="589"/>
    </row>
    <row r="87" spans="1:57" ht="15.75" customHeight="1" thickBot="1" x14ac:dyDescent="0.25">
      <c r="A87" s="564">
        <v>1</v>
      </c>
      <c r="B87" s="475"/>
      <c r="C87" s="475"/>
      <c r="D87" s="475"/>
      <c r="E87" s="475"/>
      <c r="F87" s="475"/>
      <c r="G87" s="475"/>
      <c r="H87" s="475"/>
      <c r="I87" s="475"/>
      <c r="J87" s="475"/>
      <c r="K87" s="475"/>
      <c r="L87" s="475"/>
      <c r="M87" s="475"/>
      <c r="N87" s="475"/>
      <c r="O87" s="475"/>
      <c r="P87" s="475"/>
      <c r="Q87" s="475"/>
      <c r="R87" s="475"/>
      <c r="S87" s="475"/>
      <c r="T87" s="475"/>
      <c r="U87" s="475"/>
      <c r="V87" s="475"/>
      <c r="W87" s="475"/>
      <c r="X87" s="475"/>
      <c r="Y87" s="475"/>
      <c r="Z87" s="476"/>
      <c r="AA87" s="474">
        <v>2</v>
      </c>
      <c r="AB87" s="475"/>
      <c r="AC87" s="475"/>
      <c r="AD87" s="475"/>
      <c r="AE87" s="475"/>
      <c r="AF87" s="476"/>
      <c r="AG87" s="474">
        <v>3</v>
      </c>
      <c r="AH87" s="475"/>
      <c r="AI87" s="475"/>
      <c r="AJ87" s="475"/>
      <c r="AK87" s="475"/>
      <c r="AL87" s="476"/>
      <c r="AM87" s="474">
        <v>4</v>
      </c>
      <c r="AN87" s="475"/>
      <c r="AO87" s="475"/>
      <c r="AP87" s="475"/>
      <c r="AQ87" s="475"/>
      <c r="AR87" s="475"/>
      <c r="AS87" s="475"/>
      <c r="AT87" s="476"/>
      <c r="AU87" s="474">
        <v>5</v>
      </c>
      <c r="AV87" s="475"/>
      <c r="AW87" s="475"/>
      <c r="AX87" s="475"/>
      <c r="AY87" s="475"/>
      <c r="AZ87" s="475"/>
      <c r="BA87" s="475"/>
      <c r="BB87" s="565"/>
    </row>
    <row r="88" spans="1:57" ht="1.5" hidden="1" customHeight="1" x14ac:dyDescent="0.2">
      <c r="A88" s="566" t="s">
        <v>77</v>
      </c>
      <c r="B88" s="567"/>
      <c r="C88" s="567"/>
      <c r="D88" s="567"/>
      <c r="E88" s="567"/>
      <c r="F88" s="567"/>
      <c r="G88" s="567"/>
      <c r="H88" s="567"/>
      <c r="I88" s="567"/>
      <c r="J88" s="567"/>
      <c r="K88" s="567"/>
      <c r="L88" s="567"/>
      <c r="M88" s="567"/>
      <c r="N88" s="567"/>
      <c r="O88" s="567"/>
      <c r="P88" s="567"/>
      <c r="Q88" s="567"/>
      <c r="R88" s="567"/>
      <c r="S88" s="567"/>
      <c r="T88" s="567"/>
      <c r="U88" s="567"/>
      <c r="V88" s="567"/>
      <c r="W88" s="567"/>
      <c r="X88" s="567"/>
      <c r="Y88" s="567"/>
      <c r="Z88" s="568"/>
      <c r="AA88" s="604"/>
      <c r="AB88" s="605"/>
      <c r="AC88" s="605"/>
      <c r="AD88" s="605"/>
      <c r="AE88" s="605"/>
      <c r="AF88" s="606"/>
      <c r="AG88" s="569">
        <f>U12</f>
        <v>36</v>
      </c>
      <c r="AH88" s="570"/>
      <c r="AI88" s="570"/>
      <c r="AJ88" s="570"/>
      <c r="AK88" s="570"/>
      <c r="AL88" s="571"/>
      <c r="AM88" s="569" t="s">
        <v>58</v>
      </c>
      <c r="AN88" s="570"/>
      <c r="AO88" s="570"/>
      <c r="AP88" s="570"/>
      <c r="AQ88" s="570"/>
      <c r="AR88" s="570"/>
      <c r="AS88" s="570"/>
      <c r="AT88" s="571"/>
      <c r="AU88" s="607">
        <f>AA88/AG88</f>
        <v>0</v>
      </c>
      <c r="AV88" s="608"/>
      <c r="AW88" s="608"/>
      <c r="AX88" s="608"/>
      <c r="AY88" s="608"/>
      <c r="AZ88" s="608"/>
      <c r="BA88" s="608"/>
      <c r="BB88" s="609"/>
    </row>
    <row r="89" spans="1:57" ht="16.5" customHeight="1" x14ac:dyDescent="0.2">
      <c r="A89" s="449" t="s">
        <v>145</v>
      </c>
      <c r="B89" s="450"/>
      <c r="C89" s="450"/>
      <c r="D89" s="450"/>
      <c r="E89" s="450"/>
      <c r="F89" s="450"/>
      <c r="G89" s="450"/>
      <c r="H89" s="450"/>
      <c r="I89" s="450"/>
      <c r="J89" s="450"/>
      <c r="K89" s="450"/>
      <c r="L89" s="450"/>
      <c r="M89" s="450"/>
      <c r="N89" s="450"/>
      <c r="O89" s="450"/>
      <c r="P89" s="450"/>
      <c r="Q89" s="450"/>
      <c r="R89" s="450"/>
      <c r="S89" s="450"/>
      <c r="T89" s="450"/>
      <c r="U89" s="450"/>
      <c r="V89" s="450"/>
      <c r="W89" s="450"/>
      <c r="X89" s="450"/>
      <c r="Y89" s="450"/>
      <c r="Z89" s="451"/>
      <c r="AA89" s="596">
        <v>150</v>
      </c>
      <c r="AB89" s="597"/>
      <c r="AC89" s="597"/>
      <c r="AD89" s="597"/>
      <c r="AE89" s="597"/>
      <c r="AF89" s="598"/>
      <c r="AG89" s="572"/>
      <c r="AH89" s="573"/>
      <c r="AI89" s="573"/>
      <c r="AJ89" s="573"/>
      <c r="AK89" s="573"/>
      <c r="AL89" s="574"/>
      <c r="AM89" s="572"/>
      <c r="AN89" s="573"/>
      <c r="AO89" s="573"/>
      <c r="AP89" s="573"/>
      <c r="AQ89" s="573"/>
      <c r="AR89" s="573"/>
      <c r="AS89" s="573"/>
      <c r="AT89" s="574"/>
      <c r="AU89" s="590">
        <f>AA89/AG88</f>
        <v>4.166666666666667</v>
      </c>
      <c r="AV89" s="591"/>
      <c r="AW89" s="591"/>
      <c r="AX89" s="591"/>
      <c r="AY89" s="591"/>
      <c r="AZ89" s="591"/>
      <c r="BA89" s="591"/>
      <c r="BB89" s="592"/>
    </row>
    <row r="90" spans="1:57" ht="17.25" customHeight="1" x14ac:dyDescent="0.2">
      <c r="A90" s="593" t="s">
        <v>146</v>
      </c>
      <c r="B90" s="594"/>
      <c r="C90" s="594"/>
      <c r="D90" s="594"/>
      <c r="E90" s="594"/>
      <c r="F90" s="594"/>
      <c r="G90" s="594"/>
      <c r="H90" s="594"/>
      <c r="I90" s="594"/>
      <c r="J90" s="594"/>
      <c r="K90" s="594"/>
      <c r="L90" s="594"/>
      <c r="M90" s="594"/>
      <c r="N90" s="594"/>
      <c r="O90" s="594"/>
      <c r="P90" s="594"/>
      <c r="Q90" s="594"/>
      <c r="R90" s="594"/>
      <c r="S90" s="594"/>
      <c r="T90" s="594"/>
      <c r="U90" s="594"/>
      <c r="V90" s="594"/>
      <c r="W90" s="594"/>
      <c r="X90" s="594"/>
      <c r="Y90" s="594"/>
      <c r="Z90" s="595"/>
      <c r="AA90" s="596">
        <v>284.92</v>
      </c>
      <c r="AB90" s="597"/>
      <c r="AC90" s="597"/>
      <c r="AD90" s="597"/>
      <c r="AE90" s="597"/>
      <c r="AF90" s="598"/>
      <c r="AG90" s="572"/>
      <c r="AH90" s="573"/>
      <c r="AI90" s="573"/>
      <c r="AJ90" s="573"/>
      <c r="AK90" s="573"/>
      <c r="AL90" s="574"/>
      <c r="AM90" s="572"/>
      <c r="AN90" s="573"/>
      <c r="AO90" s="573"/>
      <c r="AP90" s="573"/>
      <c r="AQ90" s="573"/>
      <c r="AR90" s="573"/>
      <c r="AS90" s="573"/>
      <c r="AT90" s="574"/>
      <c r="AU90" s="590">
        <f>AA90/AG88</f>
        <v>7.9144444444444453</v>
      </c>
      <c r="AV90" s="591"/>
      <c r="AW90" s="591"/>
      <c r="AX90" s="591"/>
      <c r="AY90" s="591"/>
      <c r="AZ90" s="591"/>
      <c r="BA90" s="591"/>
      <c r="BB90" s="592"/>
    </row>
    <row r="91" spans="1:57" ht="25.5" hidden="1" customHeight="1" x14ac:dyDescent="0.2">
      <c r="A91" s="593"/>
      <c r="B91" s="594"/>
      <c r="C91" s="594"/>
      <c r="D91" s="594"/>
      <c r="E91" s="594"/>
      <c r="F91" s="594"/>
      <c r="G91" s="594"/>
      <c r="H91" s="594"/>
      <c r="I91" s="594"/>
      <c r="J91" s="594"/>
      <c r="K91" s="594"/>
      <c r="L91" s="594"/>
      <c r="M91" s="594"/>
      <c r="N91" s="594"/>
      <c r="O91" s="594"/>
      <c r="P91" s="594"/>
      <c r="Q91" s="594"/>
      <c r="R91" s="594"/>
      <c r="S91" s="594"/>
      <c r="T91" s="594"/>
      <c r="U91" s="594"/>
      <c r="V91" s="594"/>
      <c r="W91" s="594"/>
      <c r="X91" s="594"/>
      <c r="Y91" s="594"/>
      <c r="Z91" s="595"/>
      <c r="AA91" s="596">
        <v>0</v>
      </c>
      <c r="AB91" s="597"/>
      <c r="AC91" s="597"/>
      <c r="AD91" s="597"/>
      <c r="AE91" s="597"/>
      <c r="AF91" s="598"/>
      <c r="AG91" s="572"/>
      <c r="AH91" s="573"/>
      <c r="AI91" s="573"/>
      <c r="AJ91" s="573"/>
      <c r="AK91" s="573"/>
      <c r="AL91" s="574"/>
      <c r="AM91" s="572"/>
      <c r="AN91" s="573"/>
      <c r="AO91" s="573"/>
      <c r="AP91" s="573"/>
      <c r="AQ91" s="573"/>
      <c r="AR91" s="573"/>
      <c r="AS91" s="573"/>
      <c r="AT91" s="574"/>
      <c r="AU91" s="590">
        <f>AA91/AG88</f>
        <v>0</v>
      </c>
      <c r="AV91" s="591"/>
      <c r="AW91" s="591"/>
      <c r="AX91" s="591"/>
      <c r="AY91" s="591"/>
      <c r="AZ91" s="591"/>
      <c r="BA91" s="591"/>
      <c r="BB91" s="592"/>
      <c r="BE91" s="117">
        <f>AU91*12*4</f>
        <v>0</v>
      </c>
    </row>
    <row r="92" spans="1:57" ht="25.5" hidden="1" customHeight="1" x14ac:dyDescent="0.2">
      <c r="A92" s="593"/>
      <c r="B92" s="594"/>
      <c r="C92" s="594"/>
      <c r="D92" s="594"/>
      <c r="E92" s="594"/>
      <c r="F92" s="594"/>
      <c r="G92" s="594"/>
      <c r="H92" s="594"/>
      <c r="I92" s="594"/>
      <c r="J92" s="594"/>
      <c r="K92" s="594"/>
      <c r="L92" s="594"/>
      <c r="M92" s="594"/>
      <c r="N92" s="594"/>
      <c r="O92" s="594"/>
      <c r="P92" s="594"/>
      <c r="Q92" s="594"/>
      <c r="R92" s="594"/>
      <c r="S92" s="594"/>
      <c r="T92" s="594"/>
      <c r="U92" s="594"/>
      <c r="V92" s="594"/>
      <c r="W92" s="594"/>
      <c r="X92" s="594"/>
      <c r="Y92" s="594"/>
      <c r="Z92" s="595"/>
      <c r="AA92" s="596"/>
      <c r="AB92" s="597"/>
      <c r="AC92" s="597"/>
      <c r="AD92" s="597"/>
      <c r="AE92" s="597"/>
      <c r="AF92" s="598"/>
      <c r="AG92" s="572"/>
      <c r="AH92" s="573"/>
      <c r="AI92" s="573"/>
      <c r="AJ92" s="573"/>
      <c r="AK92" s="573"/>
      <c r="AL92" s="574"/>
      <c r="AM92" s="572"/>
      <c r="AN92" s="573"/>
      <c r="AO92" s="573"/>
      <c r="AP92" s="573"/>
      <c r="AQ92" s="573"/>
      <c r="AR92" s="573"/>
      <c r="AS92" s="573"/>
      <c r="AT92" s="574"/>
      <c r="AU92" s="590">
        <f>AA92/AG88</f>
        <v>0</v>
      </c>
      <c r="AV92" s="591"/>
      <c r="AW92" s="591"/>
      <c r="AX92" s="591"/>
      <c r="AY92" s="591"/>
      <c r="AZ92" s="591"/>
      <c r="BA92" s="591"/>
      <c r="BB92" s="592"/>
    </row>
    <row r="93" spans="1:57" ht="26.25" hidden="1" customHeight="1" x14ac:dyDescent="0.2">
      <c r="A93" s="449"/>
      <c r="B93" s="450"/>
      <c r="C93" s="450"/>
      <c r="D93" s="450"/>
      <c r="E93" s="450"/>
      <c r="F93" s="450"/>
      <c r="G93" s="450"/>
      <c r="H93" s="450"/>
      <c r="I93" s="450"/>
      <c r="J93" s="450"/>
      <c r="K93" s="450"/>
      <c r="L93" s="450"/>
      <c r="M93" s="450"/>
      <c r="N93" s="450"/>
      <c r="O93" s="450"/>
      <c r="P93" s="450"/>
      <c r="Q93" s="450"/>
      <c r="R93" s="450"/>
      <c r="S93" s="450"/>
      <c r="T93" s="450"/>
      <c r="U93" s="450"/>
      <c r="V93" s="450"/>
      <c r="W93" s="450"/>
      <c r="X93" s="450"/>
      <c r="Y93" s="450"/>
      <c r="Z93" s="451"/>
      <c r="AA93" s="596"/>
      <c r="AB93" s="597"/>
      <c r="AC93" s="597"/>
      <c r="AD93" s="597"/>
      <c r="AE93" s="597"/>
      <c r="AF93" s="598"/>
      <c r="AG93" s="572"/>
      <c r="AH93" s="573"/>
      <c r="AI93" s="573"/>
      <c r="AJ93" s="573"/>
      <c r="AK93" s="573"/>
      <c r="AL93" s="574"/>
      <c r="AM93" s="572"/>
      <c r="AN93" s="573"/>
      <c r="AO93" s="573"/>
      <c r="AP93" s="573"/>
      <c r="AQ93" s="573"/>
      <c r="AR93" s="573"/>
      <c r="AS93" s="573"/>
      <c r="AT93" s="574"/>
      <c r="AU93" s="590">
        <f>AA93/AG88</f>
        <v>0</v>
      </c>
      <c r="AV93" s="591"/>
      <c r="AW93" s="591"/>
      <c r="AX93" s="591"/>
      <c r="AY93" s="591"/>
      <c r="AZ93" s="591"/>
      <c r="BA93" s="591"/>
      <c r="BB93" s="592"/>
    </row>
    <row r="94" spans="1:57" ht="19.5" hidden="1" customHeight="1" x14ac:dyDescent="0.2">
      <c r="A94" s="593"/>
      <c r="B94" s="594"/>
      <c r="C94" s="594"/>
      <c r="D94" s="594"/>
      <c r="E94" s="594"/>
      <c r="F94" s="594"/>
      <c r="G94" s="594"/>
      <c r="H94" s="594"/>
      <c r="I94" s="594"/>
      <c r="J94" s="594"/>
      <c r="K94" s="594"/>
      <c r="L94" s="594"/>
      <c r="M94" s="594"/>
      <c r="N94" s="594"/>
      <c r="O94" s="594"/>
      <c r="P94" s="594"/>
      <c r="Q94" s="594"/>
      <c r="R94" s="594"/>
      <c r="S94" s="594"/>
      <c r="T94" s="594"/>
      <c r="U94" s="594"/>
      <c r="V94" s="594"/>
      <c r="W94" s="594"/>
      <c r="X94" s="594"/>
      <c r="Y94" s="594"/>
      <c r="Z94" s="595"/>
      <c r="AA94" s="596"/>
      <c r="AB94" s="597"/>
      <c r="AC94" s="597"/>
      <c r="AD94" s="597"/>
      <c r="AE94" s="597"/>
      <c r="AF94" s="598"/>
      <c r="AG94" s="572"/>
      <c r="AH94" s="573"/>
      <c r="AI94" s="573"/>
      <c r="AJ94" s="573"/>
      <c r="AK94" s="573"/>
      <c r="AL94" s="574"/>
      <c r="AM94" s="572"/>
      <c r="AN94" s="573"/>
      <c r="AO94" s="573"/>
      <c r="AP94" s="573"/>
      <c r="AQ94" s="573"/>
      <c r="AR94" s="573"/>
      <c r="AS94" s="573"/>
      <c r="AT94" s="574"/>
      <c r="AU94" s="590">
        <f>AA94/AG88</f>
        <v>0</v>
      </c>
      <c r="AV94" s="591"/>
      <c r="AW94" s="591"/>
      <c r="AX94" s="591"/>
      <c r="AY94" s="591"/>
      <c r="AZ94" s="591"/>
      <c r="BA94" s="591"/>
      <c r="BB94" s="592"/>
    </row>
    <row r="95" spans="1:57" ht="0.75" hidden="1" customHeight="1" x14ac:dyDescent="0.2">
      <c r="A95" s="593"/>
      <c r="B95" s="594"/>
      <c r="C95" s="594"/>
      <c r="D95" s="594"/>
      <c r="E95" s="594"/>
      <c r="F95" s="594"/>
      <c r="G95" s="594"/>
      <c r="H95" s="594"/>
      <c r="I95" s="594"/>
      <c r="J95" s="594"/>
      <c r="K95" s="594"/>
      <c r="L95" s="594"/>
      <c r="M95" s="594"/>
      <c r="N95" s="594"/>
      <c r="O95" s="594"/>
      <c r="P95" s="594"/>
      <c r="Q95" s="594"/>
      <c r="R95" s="594"/>
      <c r="S95" s="594"/>
      <c r="T95" s="594"/>
      <c r="U95" s="594"/>
      <c r="V95" s="594"/>
      <c r="W95" s="594"/>
      <c r="X95" s="594"/>
      <c r="Y95" s="594"/>
      <c r="Z95" s="595"/>
      <c r="AA95" s="596"/>
      <c r="AB95" s="597"/>
      <c r="AC95" s="597"/>
      <c r="AD95" s="597"/>
      <c r="AE95" s="597"/>
      <c r="AF95" s="598"/>
      <c r="AG95" s="572"/>
      <c r="AH95" s="573"/>
      <c r="AI95" s="573"/>
      <c r="AJ95" s="573"/>
      <c r="AK95" s="573"/>
      <c r="AL95" s="574"/>
      <c r="AM95" s="572"/>
      <c r="AN95" s="573"/>
      <c r="AO95" s="573"/>
      <c r="AP95" s="573"/>
      <c r="AQ95" s="573"/>
      <c r="AR95" s="573"/>
      <c r="AS95" s="573"/>
      <c r="AT95" s="574"/>
      <c r="AU95" s="590">
        <f>AA95/AG88</f>
        <v>0</v>
      </c>
      <c r="AV95" s="591"/>
      <c r="AW95" s="591"/>
      <c r="AX95" s="591"/>
      <c r="AY95" s="591"/>
      <c r="AZ95" s="591"/>
      <c r="BA95" s="591"/>
      <c r="BB95" s="592"/>
    </row>
    <row r="96" spans="1:57" ht="19.5" hidden="1" customHeight="1" x14ac:dyDescent="0.2">
      <c r="A96" s="593"/>
      <c r="B96" s="594"/>
      <c r="C96" s="594"/>
      <c r="D96" s="594"/>
      <c r="E96" s="594"/>
      <c r="F96" s="594"/>
      <c r="G96" s="594"/>
      <c r="H96" s="594"/>
      <c r="I96" s="594"/>
      <c r="J96" s="594"/>
      <c r="K96" s="594"/>
      <c r="L96" s="594"/>
      <c r="M96" s="594"/>
      <c r="N96" s="594"/>
      <c r="O96" s="594"/>
      <c r="P96" s="594"/>
      <c r="Q96" s="594"/>
      <c r="R96" s="594"/>
      <c r="S96" s="594"/>
      <c r="T96" s="594"/>
      <c r="U96" s="594"/>
      <c r="V96" s="594"/>
      <c r="W96" s="594"/>
      <c r="X96" s="594"/>
      <c r="Y96" s="594"/>
      <c r="Z96" s="595"/>
      <c r="AA96" s="596"/>
      <c r="AB96" s="597"/>
      <c r="AC96" s="597"/>
      <c r="AD96" s="597"/>
      <c r="AE96" s="597"/>
      <c r="AF96" s="598"/>
      <c r="AG96" s="572"/>
      <c r="AH96" s="573"/>
      <c r="AI96" s="573"/>
      <c r="AJ96" s="573"/>
      <c r="AK96" s="573"/>
      <c r="AL96" s="574"/>
      <c r="AM96" s="572"/>
      <c r="AN96" s="573"/>
      <c r="AO96" s="573"/>
      <c r="AP96" s="573"/>
      <c r="AQ96" s="573"/>
      <c r="AR96" s="573"/>
      <c r="AS96" s="573"/>
      <c r="AT96" s="574"/>
      <c r="AU96" s="590">
        <f>AA96/AG88</f>
        <v>0</v>
      </c>
      <c r="AV96" s="591"/>
      <c r="AW96" s="591"/>
      <c r="AX96" s="591"/>
      <c r="AY96" s="591"/>
      <c r="AZ96" s="591"/>
      <c r="BA96" s="591"/>
      <c r="BB96" s="592"/>
    </row>
    <row r="97" spans="1:54" ht="20.25" hidden="1" customHeight="1" x14ac:dyDescent="0.2">
      <c r="A97" s="593"/>
      <c r="B97" s="594"/>
      <c r="C97" s="594"/>
      <c r="D97" s="594"/>
      <c r="E97" s="594"/>
      <c r="F97" s="594"/>
      <c r="G97" s="594"/>
      <c r="H97" s="594"/>
      <c r="I97" s="594"/>
      <c r="J97" s="594"/>
      <c r="K97" s="594"/>
      <c r="L97" s="594"/>
      <c r="M97" s="594"/>
      <c r="N97" s="594"/>
      <c r="O97" s="594"/>
      <c r="P97" s="594"/>
      <c r="Q97" s="594"/>
      <c r="R97" s="594"/>
      <c r="S97" s="594"/>
      <c r="T97" s="594"/>
      <c r="U97" s="594"/>
      <c r="V97" s="594"/>
      <c r="W97" s="594"/>
      <c r="X97" s="594"/>
      <c r="Y97" s="594"/>
      <c r="Z97" s="595"/>
      <c r="AA97" s="596"/>
      <c r="AB97" s="597"/>
      <c r="AC97" s="597"/>
      <c r="AD97" s="597"/>
      <c r="AE97" s="597"/>
      <c r="AF97" s="598"/>
      <c r="AG97" s="572"/>
      <c r="AH97" s="573"/>
      <c r="AI97" s="573"/>
      <c r="AJ97" s="573"/>
      <c r="AK97" s="573"/>
      <c r="AL97" s="574"/>
      <c r="AM97" s="572"/>
      <c r="AN97" s="573"/>
      <c r="AO97" s="573"/>
      <c r="AP97" s="573"/>
      <c r="AQ97" s="573"/>
      <c r="AR97" s="573"/>
      <c r="AS97" s="573"/>
      <c r="AT97" s="574"/>
      <c r="AU97" s="590">
        <f>AA97/AG88</f>
        <v>0</v>
      </c>
      <c r="AV97" s="591"/>
      <c r="AW97" s="591"/>
      <c r="AX97" s="591"/>
      <c r="AY97" s="591"/>
      <c r="AZ97" s="591"/>
      <c r="BA97" s="591"/>
      <c r="BB97" s="592"/>
    </row>
    <row r="98" spans="1:54" ht="16.5" hidden="1" customHeight="1" x14ac:dyDescent="0.2">
      <c r="A98" s="593"/>
      <c r="B98" s="594"/>
      <c r="C98" s="594"/>
      <c r="D98" s="594"/>
      <c r="E98" s="594"/>
      <c r="F98" s="594"/>
      <c r="G98" s="594"/>
      <c r="H98" s="594"/>
      <c r="I98" s="594"/>
      <c r="J98" s="594"/>
      <c r="K98" s="594"/>
      <c r="L98" s="594"/>
      <c r="M98" s="594"/>
      <c r="N98" s="594"/>
      <c r="O98" s="594"/>
      <c r="P98" s="594"/>
      <c r="Q98" s="594"/>
      <c r="R98" s="594"/>
      <c r="S98" s="594"/>
      <c r="T98" s="594"/>
      <c r="U98" s="594"/>
      <c r="V98" s="594"/>
      <c r="W98" s="594"/>
      <c r="X98" s="594"/>
      <c r="Y98" s="594"/>
      <c r="Z98" s="595"/>
      <c r="AA98" s="596"/>
      <c r="AB98" s="597"/>
      <c r="AC98" s="597"/>
      <c r="AD98" s="597"/>
      <c r="AE98" s="597"/>
      <c r="AF98" s="598"/>
      <c r="AG98" s="572"/>
      <c r="AH98" s="573"/>
      <c r="AI98" s="573"/>
      <c r="AJ98" s="573"/>
      <c r="AK98" s="573"/>
      <c r="AL98" s="574"/>
      <c r="AM98" s="572"/>
      <c r="AN98" s="573"/>
      <c r="AO98" s="573"/>
      <c r="AP98" s="573"/>
      <c r="AQ98" s="573"/>
      <c r="AR98" s="573"/>
      <c r="AS98" s="573"/>
      <c r="AT98" s="574"/>
      <c r="AU98" s="590">
        <f>AA98/AG88</f>
        <v>0</v>
      </c>
      <c r="AV98" s="591"/>
      <c r="AW98" s="591"/>
      <c r="AX98" s="591"/>
      <c r="AY98" s="591"/>
      <c r="AZ98" s="591"/>
      <c r="BA98" s="591"/>
      <c r="BB98" s="592"/>
    </row>
    <row r="99" spans="1:54" s="161" customFormat="1" ht="19.5" hidden="1" customHeight="1" x14ac:dyDescent="0.2">
      <c r="A99" s="593"/>
      <c r="B99" s="594"/>
      <c r="C99" s="594"/>
      <c r="D99" s="594"/>
      <c r="E99" s="594"/>
      <c r="F99" s="594"/>
      <c r="G99" s="594"/>
      <c r="H99" s="594"/>
      <c r="I99" s="594"/>
      <c r="J99" s="594"/>
      <c r="K99" s="594"/>
      <c r="L99" s="594"/>
      <c r="M99" s="594"/>
      <c r="N99" s="594"/>
      <c r="O99" s="594"/>
      <c r="P99" s="594"/>
      <c r="Q99" s="594"/>
      <c r="R99" s="594"/>
      <c r="S99" s="594"/>
      <c r="T99" s="594"/>
      <c r="U99" s="594"/>
      <c r="V99" s="594"/>
      <c r="W99" s="594"/>
      <c r="X99" s="594"/>
      <c r="Y99" s="594"/>
      <c r="Z99" s="595"/>
      <c r="AA99" s="596"/>
      <c r="AB99" s="597"/>
      <c r="AC99" s="597"/>
      <c r="AD99" s="597"/>
      <c r="AE99" s="597"/>
      <c r="AF99" s="598"/>
      <c r="AG99" s="572"/>
      <c r="AH99" s="573"/>
      <c r="AI99" s="573"/>
      <c r="AJ99" s="573"/>
      <c r="AK99" s="573"/>
      <c r="AL99" s="574"/>
      <c r="AM99" s="572"/>
      <c r="AN99" s="573"/>
      <c r="AO99" s="573"/>
      <c r="AP99" s="573"/>
      <c r="AQ99" s="573"/>
      <c r="AR99" s="573"/>
      <c r="AS99" s="573"/>
      <c r="AT99" s="574"/>
      <c r="AU99" s="590">
        <f>AA99/AG88</f>
        <v>0</v>
      </c>
      <c r="AV99" s="591"/>
      <c r="AW99" s="591"/>
      <c r="AX99" s="591"/>
      <c r="AY99" s="591"/>
      <c r="AZ99" s="591"/>
      <c r="BA99" s="591"/>
      <c r="BB99" s="592"/>
    </row>
    <row r="100" spans="1:54" ht="1.5" hidden="1" customHeight="1" x14ac:dyDescent="0.2">
      <c r="A100" s="593"/>
      <c r="B100" s="594"/>
      <c r="C100" s="594"/>
      <c r="D100" s="594"/>
      <c r="E100" s="594"/>
      <c r="F100" s="594"/>
      <c r="G100" s="594"/>
      <c r="H100" s="594"/>
      <c r="I100" s="594"/>
      <c r="J100" s="594"/>
      <c r="K100" s="594"/>
      <c r="L100" s="594"/>
      <c r="M100" s="594"/>
      <c r="N100" s="594"/>
      <c r="O100" s="594"/>
      <c r="P100" s="594"/>
      <c r="Q100" s="594"/>
      <c r="R100" s="594"/>
      <c r="S100" s="594"/>
      <c r="T100" s="594"/>
      <c r="U100" s="594"/>
      <c r="V100" s="594"/>
      <c r="W100" s="594"/>
      <c r="X100" s="594"/>
      <c r="Y100" s="594"/>
      <c r="Z100" s="595"/>
      <c r="AA100" s="596"/>
      <c r="AB100" s="597"/>
      <c r="AC100" s="597"/>
      <c r="AD100" s="597"/>
      <c r="AE100" s="597"/>
      <c r="AF100" s="598"/>
      <c r="AG100" s="572"/>
      <c r="AH100" s="573"/>
      <c r="AI100" s="573"/>
      <c r="AJ100" s="573"/>
      <c r="AK100" s="573"/>
      <c r="AL100" s="574"/>
      <c r="AM100" s="572"/>
      <c r="AN100" s="573"/>
      <c r="AO100" s="573"/>
      <c r="AP100" s="573"/>
      <c r="AQ100" s="573"/>
      <c r="AR100" s="573"/>
      <c r="AS100" s="573"/>
      <c r="AT100" s="574"/>
      <c r="AU100" s="590">
        <f>AA100/AG88</f>
        <v>0</v>
      </c>
      <c r="AV100" s="591"/>
      <c r="AW100" s="591"/>
      <c r="AX100" s="591"/>
      <c r="AY100" s="591"/>
      <c r="AZ100" s="591"/>
      <c r="BA100" s="591"/>
      <c r="BB100" s="592"/>
    </row>
    <row r="101" spans="1:54" s="159" customFormat="1" ht="17.25" hidden="1" customHeight="1" x14ac:dyDescent="0.2">
      <c r="A101" s="593"/>
      <c r="B101" s="594"/>
      <c r="C101" s="594"/>
      <c r="D101" s="594"/>
      <c r="E101" s="594"/>
      <c r="F101" s="594"/>
      <c r="G101" s="594"/>
      <c r="H101" s="594"/>
      <c r="I101" s="594"/>
      <c r="J101" s="594"/>
      <c r="K101" s="594"/>
      <c r="L101" s="594"/>
      <c r="M101" s="594"/>
      <c r="N101" s="594"/>
      <c r="O101" s="594"/>
      <c r="P101" s="594"/>
      <c r="Q101" s="594"/>
      <c r="R101" s="594"/>
      <c r="S101" s="594"/>
      <c r="T101" s="594"/>
      <c r="U101" s="594"/>
      <c r="V101" s="594"/>
      <c r="W101" s="594"/>
      <c r="X101" s="594"/>
      <c r="Y101" s="594"/>
      <c r="Z101" s="595"/>
      <c r="AA101" s="596"/>
      <c r="AB101" s="597"/>
      <c r="AC101" s="597"/>
      <c r="AD101" s="597"/>
      <c r="AE101" s="597"/>
      <c r="AF101" s="598"/>
      <c r="AG101" s="572"/>
      <c r="AH101" s="573"/>
      <c r="AI101" s="573"/>
      <c r="AJ101" s="573"/>
      <c r="AK101" s="573"/>
      <c r="AL101" s="574"/>
      <c r="AM101" s="572"/>
      <c r="AN101" s="573"/>
      <c r="AO101" s="573"/>
      <c r="AP101" s="573"/>
      <c r="AQ101" s="573"/>
      <c r="AR101" s="573"/>
      <c r="AS101" s="573"/>
      <c r="AT101" s="574"/>
      <c r="AU101" s="590">
        <f>AA101/AG88</f>
        <v>0</v>
      </c>
      <c r="AV101" s="591"/>
      <c r="AW101" s="591"/>
      <c r="AX101" s="591"/>
      <c r="AY101" s="591"/>
      <c r="AZ101" s="591"/>
      <c r="BA101" s="591"/>
      <c r="BB101" s="592"/>
    </row>
    <row r="102" spans="1:54" ht="17.25" customHeight="1" x14ac:dyDescent="0.2">
      <c r="A102" s="593" t="s">
        <v>149</v>
      </c>
      <c r="B102" s="594"/>
      <c r="C102" s="594"/>
      <c r="D102" s="594"/>
      <c r="E102" s="594"/>
      <c r="F102" s="594"/>
      <c r="G102" s="594"/>
      <c r="H102" s="594"/>
      <c r="I102" s="594"/>
      <c r="J102" s="594"/>
      <c r="K102" s="594"/>
      <c r="L102" s="594"/>
      <c r="M102" s="594"/>
      <c r="N102" s="594"/>
      <c r="O102" s="594"/>
      <c r="P102" s="594"/>
      <c r="Q102" s="594"/>
      <c r="R102" s="594"/>
      <c r="S102" s="594"/>
      <c r="T102" s="594"/>
      <c r="U102" s="594"/>
      <c r="V102" s="594"/>
      <c r="W102" s="594"/>
      <c r="X102" s="594"/>
      <c r="Y102" s="594"/>
      <c r="Z102" s="595"/>
      <c r="AA102" s="596">
        <v>350</v>
      </c>
      <c r="AB102" s="597"/>
      <c r="AC102" s="597"/>
      <c r="AD102" s="597"/>
      <c r="AE102" s="597"/>
      <c r="AF102" s="598"/>
      <c r="AG102" s="572"/>
      <c r="AH102" s="573"/>
      <c r="AI102" s="573"/>
      <c r="AJ102" s="573"/>
      <c r="AK102" s="573"/>
      <c r="AL102" s="574"/>
      <c r="AM102" s="572"/>
      <c r="AN102" s="573"/>
      <c r="AO102" s="573"/>
      <c r="AP102" s="573"/>
      <c r="AQ102" s="573"/>
      <c r="AR102" s="573"/>
      <c r="AS102" s="573"/>
      <c r="AT102" s="574"/>
      <c r="AU102" s="590">
        <f>AA102/AG88</f>
        <v>9.7222222222222214</v>
      </c>
      <c r="AV102" s="591"/>
      <c r="AW102" s="591"/>
      <c r="AX102" s="591"/>
      <c r="AY102" s="591"/>
      <c r="AZ102" s="591"/>
      <c r="BA102" s="591"/>
      <c r="BB102" s="592"/>
    </row>
    <row r="103" spans="1:54" ht="14.25" customHeight="1" x14ac:dyDescent="0.2">
      <c r="A103" s="593" t="s">
        <v>150</v>
      </c>
      <c r="B103" s="594"/>
      <c r="C103" s="594"/>
      <c r="D103" s="594"/>
      <c r="E103" s="594"/>
      <c r="F103" s="594"/>
      <c r="G103" s="594"/>
      <c r="H103" s="594"/>
      <c r="I103" s="594"/>
      <c r="J103" s="594"/>
      <c r="K103" s="594"/>
      <c r="L103" s="594"/>
      <c r="M103" s="594"/>
      <c r="N103" s="594"/>
      <c r="O103" s="594"/>
      <c r="P103" s="594"/>
      <c r="Q103" s="594"/>
      <c r="R103" s="594"/>
      <c r="S103" s="594"/>
      <c r="T103" s="594"/>
      <c r="U103" s="594"/>
      <c r="V103" s="594"/>
      <c r="W103" s="594"/>
      <c r="X103" s="594"/>
      <c r="Y103" s="594"/>
      <c r="Z103" s="595"/>
      <c r="AA103" s="596">
        <v>370</v>
      </c>
      <c r="AB103" s="597"/>
      <c r="AC103" s="597"/>
      <c r="AD103" s="597"/>
      <c r="AE103" s="597"/>
      <c r="AF103" s="598"/>
      <c r="AG103" s="572"/>
      <c r="AH103" s="573"/>
      <c r="AI103" s="573"/>
      <c r="AJ103" s="573"/>
      <c r="AK103" s="573"/>
      <c r="AL103" s="574"/>
      <c r="AM103" s="572"/>
      <c r="AN103" s="573"/>
      <c r="AO103" s="573"/>
      <c r="AP103" s="573"/>
      <c r="AQ103" s="573"/>
      <c r="AR103" s="573"/>
      <c r="AS103" s="573"/>
      <c r="AT103" s="574"/>
      <c r="AU103" s="590">
        <f>AA103/AG88</f>
        <v>10.277777777777779</v>
      </c>
      <c r="AV103" s="591"/>
      <c r="AW103" s="591"/>
      <c r="AX103" s="591"/>
      <c r="AY103" s="591"/>
      <c r="AZ103" s="591"/>
      <c r="BA103" s="591"/>
      <c r="BB103" s="592"/>
    </row>
    <row r="104" spans="1:54" ht="19.5" hidden="1" customHeight="1" x14ac:dyDescent="0.2">
      <c r="A104" s="593"/>
      <c r="B104" s="594"/>
      <c r="C104" s="594"/>
      <c r="D104" s="594"/>
      <c r="E104" s="594"/>
      <c r="F104" s="594"/>
      <c r="G104" s="594"/>
      <c r="H104" s="594"/>
      <c r="I104" s="594"/>
      <c r="J104" s="594"/>
      <c r="K104" s="594"/>
      <c r="L104" s="594"/>
      <c r="M104" s="594"/>
      <c r="N104" s="594"/>
      <c r="O104" s="594"/>
      <c r="P104" s="594"/>
      <c r="Q104" s="594"/>
      <c r="R104" s="594"/>
      <c r="S104" s="594"/>
      <c r="T104" s="594"/>
      <c r="U104" s="594"/>
      <c r="V104" s="594"/>
      <c r="W104" s="594"/>
      <c r="X104" s="594"/>
      <c r="Y104" s="594"/>
      <c r="Z104" s="595"/>
      <c r="AA104" s="596"/>
      <c r="AB104" s="597"/>
      <c r="AC104" s="597"/>
      <c r="AD104" s="597"/>
      <c r="AE104" s="597"/>
      <c r="AF104" s="598"/>
      <c r="AG104" s="572"/>
      <c r="AH104" s="573"/>
      <c r="AI104" s="573"/>
      <c r="AJ104" s="573"/>
      <c r="AK104" s="573"/>
      <c r="AL104" s="574"/>
      <c r="AM104" s="572"/>
      <c r="AN104" s="573"/>
      <c r="AO104" s="573"/>
      <c r="AP104" s="573"/>
      <c r="AQ104" s="573"/>
      <c r="AR104" s="573"/>
      <c r="AS104" s="573"/>
      <c r="AT104" s="574"/>
      <c r="AU104" s="590">
        <f>AA104/AG88</f>
        <v>0</v>
      </c>
      <c r="AV104" s="591"/>
      <c r="AW104" s="591"/>
      <c r="AX104" s="591"/>
      <c r="AY104" s="591"/>
      <c r="AZ104" s="591"/>
      <c r="BA104" s="591"/>
      <c r="BB104" s="592"/>
    </row>
    <row r="105" spans="1:54" ht="14.25" customHeight="1" x14ac:dyDescent="0.2">
      <c r="A105" s="593" t="s">
        <v>516</v>
      </c>
      <c r="B105" s="594"/>
      <c r="C105" s="594"/>
      <c r="D105" s="594"/>
      <c r="E105" s="594"/>
      <c r="F105" s="594"/>
      <c r="G105" s="594"/>
      <c r="H105" s="594"/>
      <c r="I105" s="594"/>
      <c r="J105" s="594"/>
      <c r="K105" s="594"/>
      <c r="L105" s="594"/>
      <c r="M105" s="594"/>
      <c r="N105" s="594"/>
      <c r="O105" s="594"/>
      <c r="P105" s="594"/>
      <c r="Q105" s="594"/>
      <c r="R105" s="594"/>
      <c r="S105" s="594"/>
      <c r="T105" s="594"/>
      <c r="U105" s="594"/>
      <c r="V105" s="594"/>
      <c r="W105" s="594"/>
      <c r="X105" s="594"/>
      <c r="Y105" s="594"/>
      <c r="Z105" s="595"/>
      <c r="AA105" s="596">
        <v>450</v>
      </c>
      <c r="AB105" s="597"/>
      <c r="AC105" s="597"/>
      <c r="AD105" s="597"/>
      <c r="AE105" s="597"/>
      <c r="AF105" s="59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590">
        <f>AA105/AG88</f>
        <v>12.5</v>
      </c>
      <c r="AV105" s="591"/>
      <c r="AW105" s="591"/>
      <c r="AX105" s="591"/>
      <c r="AY105" s="591"/>
      <c r="AZ105" s="591"/>
      <c r="BA105" s="591"/>
      <c r="BB105" s="592"/>
    </row>
    <row r="106" spans="1:54" ht="15.75" customHeight="1" x14ac:dyDescent="0.2">
      <c r="A106" s="593" t="s">
        <v>147</v>
      </c>
      <c r="B106" s="594"/>
      <c r="C106" s="594"/>
      <c r="D106" s="594"/>
      <c r="E106" s="594"/>
      <c r="F106" s="594"/>
      <c r="G106" s="594"/>
      <c r="H106" s="594"/>
      <c r="I106" s="594"/>
      <c r="J106" s="594"/>
      <c r="K106" s="594"/>
      <c r="L106" s="594"/>
      <c r="M106" s="594"/>
      <c r="N106" s="594"/>
      <c r="O106" s="594"/>
      <c r="P106" s="594"/>
      <c r="Q106" s="594"/>
      <c r="R106" s="594"/>
      <c r="S106" s="594"/>
      <c r="T106" s="594"/>
      <c r="U106" s="594"/>
      <c r="V106" s="594"/>
      <c r="W106" s="594"/>
      <c r="X106" s="594"/>
      <c r="Y106" s="594"/>
      <c r="Z106" s="595"/>
      <c r="AA106" s="596">
        <v>550</v>
      </c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AA106/AG88</f>
        <v>15.277777777777779</v>
      </c>
      <c r="AV106" s="591"/>
      <c r="AW106" s="591"/>
      <c r="AX106" s="591"/>
      <c r="AY106" s="591"/>
      <c r="AZ106" s="591"/>
      <c r="BA106" s="591"/>
      <c r="BB106" s="592"/>
    </row>
    <row r="107" spans="1:54" ht="13.5" customHeight="1" thickBot="1" x14ac:dyDescent="0.25">
      <c r="A107" s="593" t="s">
        <v>148</v>
      </c>
      <c r="B107" s="594"/>
      <c r="C107" s="594"/>
      <c r="D107" s="594"/>
      <c r="E107" s="594"/>
      <c r="F107" s="594"/>
      <c r="G107" s="594"/>
      <c r="H107" s="594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4"/>
      <c r="Z107" s="595"/>
      <c r="AA107" s="596">
        <v>350</v>
      </c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AA107/AG88</f>
        <v>9.7222222222222214</v>
      </c>
      <c r="AV107" s="591"/>
      <c r="AW107" s="591"/>
      <c r="AX107" s="591"/>
      <c r="AY107" s="591"/>
      <c r="AZ107" s="591"/>
      <c r="BA107" s="591"/>
      <c r="BB107" s="592"/>
    </row>
    <row r="108" spans="1:54" ht="13.5" hidden="1" customHeight="1" x14ac:dyDescent="0.2">
      <c r="A108" s="599"/>
      <c r="B108" s="600"/>
      <c r="C108" s="600"/>
      <c r="D108" s="600"/>
      <c r="E108" s="600"/>
      <c r="F108" s="600"/>
      <c r="G108" s="600"/>
      <c r="H108" s="600"/>
      <c r="I108" s="600"/>
      <c r="J108" s="600"/>
      <c r="K108" s="600"/>
      <c r="L108" s="600"/>
      <c r="M108" s="600"/>
      <c r="N108" s="600"/>
      <c r="O108" s="600"/>
      <c r="P108" s="600"/>
      <c r="Q108" s="600"/>
      <c r="R108" s="600"/>
      <c r="S108" s="600"/>
      <c r="T108" s="600"/>
      <c r="U108" s="600"/>
      <c r="V108" s="600"/>
      <c r="W108" s="600"/>
      <c r="X108" s="600"/>
      <c r="Y108" s="600"/>
      <c r="Z108" s="600"/>
      <c r="AA108" s="601"/>
      <c r="AB108" s="601"/>
      <c r="AC108" s="601"/>
      <c r="AD108" s="601"/>
      <c r="AE108" s="601"/>
      <c r="AF108" s="601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602">
        <f>AA108/AG88</f>
        <v>0</v>
      </c>
      <c r="AV108" s="602"/>
      <c r="AW108" s="602"/>
      <c r="AX108" s="602"/>
      <c r="AY108" s="602"/>
      <c r="AZ108" s="602"/>
      <c r="BA108" s="602"/>
      <c r="BB108" s="603"/>
    </row>
    <row r="109" spans="1:54" ht="13.5" hidden="1" customHeight="1" thickBot="1" x14ac:dyDescent="0.25">
      <c r="A109" s="864"/>
      <c r="B109" s="865"/>
      <c r="C109" s="865"/>
      <c r="D109" s="865"/>
      <c r="E109" s="865"/>
      <c r="F109" s="865"/>
      <c r="G109" s="865"/>
      <c r="H109" s="865"/>
      <c r="I109" s="865"/>
      <c r="J109" s="865"/>
      <c r="K109" s="865"/>
      <c r="L109" s="865"/>
      <c r="M109" s="865"/>
      <c r="N109" s="865"/>
      <c r="O109" s="865"/>
      <c r="P109" s="865"/>
      <c r="Q109" s="865"/>
      <c r="R109" s="865"/>
      <c r="S109" s="865"/>
      <c r="T109" s="865"/>
      <c r="U109" s="865"/>
      <c r="V109" s="865"/>
      <c r="W109" s="865"/>
      <c r="X109" s="865"/>
      <c r="Y109" s="865"/>
      <c r="Z109" s="865"/>
      <c r="AA109" s="656"/>
      <c r="AB109" s="656"/>
      <c r="AC109" s="656"/>
      <c r="AD109" s="656"/>
      <c r="AE109" s="656"/>
      <c r="AF109" s="656"/>
      <c r="AG109" s="859"/>
      <c r="AH109" s="860"/>
      <c r="AI109" s="860"/>
      <c r="AJ109" s="860"/>
      <c r="AK109" s="860"/>
      <c r="AL109" s="861"/>
      <c r="AM109" s="859"/>
      <c r="AN109" s="860"/>
      <c r="AO109" s="860"/>
      <c r="AP109" s="860"/>
      <c r="AQ109" s="860"/>
      <c r="AR109" s="860"/>
      <c r="AS109" s="860"/>
      <c r="AT109" s="861"/>
      <c r="AU109" s="866">
        <f>AA109/AG88</f>
        <v>0</v>
      </c>
      <c r="AV109" s="866"/>
      <c r="AW109" s="866"/>
      <c r="AX109" s="866"/>
      <c r="AY109" s="866"/>
      <c r="AZ109" s="866"/>
      <c r="BA109" s="866"/>
      <c r="BB109" s="867"/>
    </row>
    <row r="110" spans="1:54" ht="16.5" customHeight="1" thickBot="1" x14ac:dyDescent="0.25">
      <c r="A110" s="545" t="s">
        <v>51</v>
      </c>
      <c r="B110" s="546"/>
      <c r="C110" s="546"/>
      <c r="D110" s="546"/>
      <c r="E110" s="546"/>
      <c r="F110" s="546"/>
      <c r="G110" s="546"/>
      <c r="H110" s="546"/>
      <c r="I110" s="546"/>
      <c r="J110" s="546"/>
      <c r="K110" s="546"/>
      <c r="L110" s="546"/>
      <c r="M110" s="546"/>
      <c r="N110" s="546"/>
      <c r="O110" s="546"/>
      <c r="P110" s="546"/>
      <c r="Q110" s="546"/>
      <c r="R110" s="546"/>
      <c r="S110" s="546"/>
      <c r="T110" s="546"/>
      <c r="U110" s="546"/>
      <c r="V110" s="546"/>
      <c r="W110" s="546"/>
      <c r="X110" s="546"/>
      <c r="Y110" s="546"/>
      <c r="Z110" s="547"/>
      <c r="AA110" s="582">
        <f>SUM(AA88:AF109)</f>
        <v>2504.92</v>
      </c>
      <c r="AB110" s="583"/>
      <c r="AC110" s="583"/>
      <c r="AD110" s="583"/>
      <c r="AE110" s="583"/>
      <c r="AF110" s="583"/>
      <c r="AG110" s="532">
        <f>AG88</f>
        <v>36</v>
      </c>
      <c r="AH110" s="533"/>
      <c r="AI110" s="533"/>
      <c r="AJ110" s="533"/>
      <c r="AK110" s="533"/>
      <c r="AL110" s="534"/>
      <c r="AM110" s="551" t="s">
        <v>17</v>
      </c>
      <c r="AN110" s="552"/>
      <c r="AO110" s="552"/>
      <c r="AP110" s="552"/>
      <c r="AQ110" s="552"/>
      <c r="AR110" s="552"/>
      <c r="AS110" s="552"/>
      <c r="AT110" s="584"/>
      <c r="AU110" s="555">
        <f>SUM(AU88:BB109)</f>
        <v>69.581111111111113</v>
      </c>
      <c r="AV110" s="555"/>
      <c r="AW110" s="555"/>
      <c r="AX110" s="555"/>
      <c r="AY110" s="555"/>
      <c r="AZ110" s="555"/>
      <c r="BA110" s="555"/>
      <c r="BB110" s="556"/>
    </row>
    <row r="111" spans="1:54" ht="45" customHeight="1" x14ac:dyDescent="0.2"/>
    <row r="112" spans="1:54" s="161" customFormat="1" ht="42.75" customHeight="1" x14ac:dyDescent="0.2">
      <c r="A112" s="159" t="s">
        <v>59</v>
      </c>
      <c r="B112" s="159"/>
      <c r="C112" s="159" t="s">
        <v>60</v>
      </c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  <c r="Y112" s="159"/>
      <c r="Z112" s="159"/>
      <c r="AA112" s="159"/>
      <c r="AB112" s="159"/>
      <c r="AC112" s="159"/>
      <c r="AD112" s="159"/>
      <c r="AE112" s="159"/>
      <c r="AF112" s="159"/>
      <c r="AG112" s="159"/>
      <c r="AH112" s="159"/>
      <c r="AI112" s="159"/>
      <c r="AJ112" s="159"/>
      <c r="AK112" s="159"/>
      <c r="AL112" s="159"/>
      <c r="AM112" s="159"/>
      <c r="AN112" s="159"/>
      <c r="AO112" s="159"/>
      <c r="AP112" s="159"/>
      <c r="AQ112" s="159"/>
      <c r="AR112" s="159"/>
      <c r="AS112" s="159"/>
      <c r="AT112" s="159"/>
      <c r="AU112" s="159"/>
      <c r="AV112" s="159"/>
      <c r="AW112" s="159"/>
      <c r="AX112" s="160"/>
      <c r="AY112" s="160"/>
      <c r="AZ112" s="160"/>
      <c r="BA112" s="160"/>
      <c r="BB112" s="160"/>
    </row>
    <row r="113" spans="1:54" ht="12" customHeight="1" thickBot="1" x14ac:dyDescent="0.25"/>
    <row r="114" spans="1:54" s="159" customFormat="1" ht="12" customHeight="1" x14ac:dyDescent="0.2">
      <c r="A114" s="585" t="s">
        <v>54</v>
      </c>
      <c r="B114" s="586"/>
      <c r="C114" s="586"/>
      <c r="D114" s="586"/>
      <c r="E114" s="586"/>
      <c r="F114" s="586"/>
      <c r="G114" s="586"/>
      <c r="H114" s="586"/>
      <c r="I114" s="586"/>
      <c r="J114" s="586"/>
      <c r="K114" s="586"/>
      <c r="L114" s="586"/>
      <c r="M114" s="586"/>
      <c r="N114" s="586"/>
      <c r="O114" s="586"/>
      <c r="P114" s="586"/>
      <c r="Q114" s="586"/>
      <c r="R114" s="586"/>
      <c r="S114" s="586"/>
      <c r="T114" s="586"/>
      <c r="U114" s="586"/>
      <c r="V114" s="586"/>
      <c r="W114" s="586"/>
      <c r="X114" s="586"/>
      <c r="Y114" s="586"/>
      <c r="Z114" s="587"/>
      <c r="AA114" s="536" t="s">
        <v>55</v>
      </c>
      <c r="AB114" s="537"/>
      <c r="AC114" s="537"/>
      <c r="AD114" s="537"/>
      <c r="AE114" s="537"/>
      <c r="AF114" s="538"/>
      <c r="AG114" s="536" t="s">
        <v>56</v>
      </c>
      <c r="AH114" s="537"/>
      <c r="AI114" s="537"/>
      <c r="AJ114" s="537"/>
      <c r="AK114" s="537"/>
      <c r="AL114" s="538"/>
      <c r="AM114" s="588" t="s">
        <v>57</v>
      </c>
      <c r="AN114" s="586"/>
      <c r="AO114" s="586"/>
      <c r="AP114" s="586"/>
      <c r="AQ114" s="586"/>
      <c r="AR114" s="586"/>
      <c r="AS114" s="586"/>
      <c r="AT114" s="587"/>
      <c r="AU114" s="588" t="s">
        <v>43</v>
      </c>
      <c r="AV114" s="586"/>
      <c r="AW114" s="586"/>
      <c r="AX114" s="586"/>
      <c r="AY114" s="586"/>
      <c r="AZ114" s="586"/>
      <c r="BA114" s="586"/>
      <c r="BB114" s="589"/>
    </row>
    <row r="115" spans="1:54" ht="11.25" customHeight="1" thickBot="1" x14ac:dyDescent="0.25">
      <c r="A115" s="564">
        <v>1</v>
      </c>
      <c r="B115" s="475"/>
      <c r="C115" s="475"/>
      <c r="D115" s="475"/>
      <c r="E115" s="475"/>
      <c r="F115" s="475"/>
      <c r="G115" s="475"/>
      <c r="H115" s="475"/>
      <c r="I115" s="475"/>
      <c r="J115" s="475"/>
      <c r="K115" s="475"/>
      <c r="L115" s="475"/>
      <c r="M115" s="475"/>
      <c r="N115" s="475"/>
      <c r="O115" s="475"/>
      <c r="P115" s="475"/>
      <c r="Q115" s="475"/>
      <c r="R115" s="475"/>
      <c r="S115" s="475"/>
      <c r="T115" s="475"/>
      <c r="U115" s="475"/>
      <c r="V115" s="475"/>
      <c r="W115" s="475"/>
      <c r="X115" s="475"/>
      <c r="Y115" s="475"/>
      <c r="Z115" s="476"/>
      <c r="AA115" s="474">
        <v>2</v>
      </c>
      <c r="AB115" s="475"/>
      <c r="AC115" s="475"/>
      <c r="AD115" s="475"/>
      <c r="AE115" s="475"/>
      <c r="AF115" s="476"/>
      <c r="AG115" s="474">
        <v>3</v>
      </c>
      <c r="AH115" s="475"/>
      <c r="AI115" s="475"/>
      <c r="AJ115" s="475"/>
      <c r="AK115" s="475"/>
      <c r="AL115" s="476"/>
      <c r="AM115" s="474">
        <v>4</v>
      </c>
      <c r="AN115" s="475"/>
      <c r="AO115" s="475"/>
      <c r="AP115" s="475"/>
      <c r="AQ115" s="475"/>
      <c r="AR115" s="475"/>
      <c r="AS115" s="475"/>
      <c r="AT115" s="476"/>
      <c r="AU115" s="474">
        <v>5</v>
      </c>
      <c r="AV115" s="475"/>
      <c r="AW115" s="475"/>
      <c r="AX115" s="475"/>
      <c r="AY115" s="475"/>
      <c r="AZ115" s="475"/>
      <c r="BA115" s="475"/>
      <c r="BB115" s="565"/>
    </row>
    <row r="116" spans="1:54" ht="31.5" hidden="1" customHeight="1" x14ac:dyDescent="0.2">
      <c r="A116" s="566"/>
      <c r="B116" s="567"/>
      <c r="C116" s="567"/>
      <c r="D116" s="567"/>
      <c r="E116" s="567"/>
      <c r="F116" s="567"/>
      <c r="G116" s="567"/>
      <c r="H116" s="567"/>
      <c r="I116" s="567"/>
      <c r="J116" s="567"/>
      <c r="K116" s="567"/>
      <c r="L116" s="567"/>
      <c r="M116" s="567"/>
      <c r="N116" s="567"/>
      <c r="O116" s="567"/>
      <c r="P116" s="567"/>
      <c r="Q116" s="567"/>
      <c r="R116" s="567"/>
      <c r="S116" s="567"/>
      <c r="T116" s="567"/>
      <c r="U116" s="567"/>
      <c r="V116" s="567"/>
      <c r="W116" s="567"/>
      <c r="X116" s="567"/>
      <c r="Y116" s="567"/>
      <c r="Z116" s="568"/>
      <c r="AA116" s="569">
        <v>0</v>
      </c>
      <c r="AB116" s="570"/>
      <c r="AC116" s="570"/>
      <c r="AD116" s="570"/>
      <c r="AE116" s="570"/>
      <c r="AF116" s="571"/>
      <c r="AG116" s="569">
        <f>U12</f>
        <v>36</v>
      </c>
      <c r="AH116" s="570"/>
      <c r="AI116" s="570"/>
      <c r="AJ116" s="570"/>
      <c r="AK116" s="570"/>
      <c r="AL116" s="571"/>
      <c r="AM116" s="569" t="s">
        <v>61</v>
      </c>
      <c r="AN116" s="570"/>
      <c r="AO116" s="570"/>
      <c r="AP116" s="570"/>
      <c r="AQ116" s="570"/>
      <c r="AR116" s="570"/>
      <c r="AS116" s="570"/>
      <c r="AT116" s="571"/>
      <c r="AU116" s="558">
        <f>AA116/AG116</f>
        <v>0</v>
      </c>
      <c r="AV116" s="559"/>
      <c r="AW116" s="559"/>
      <c r="AX116" s="559"/>
      <c r="AY116" s="559"/>
      <c r="AZ116" s="559"/>
      <c r="BA116" s="559"/>
      <c r="BB116" s="560"/>
    </row>
    <row r="117" spans="1:54" ht="4.5" hidden="1" customHeight="1" x14ac:dyDescent="0.2">
      <c r="A117" s="561"/>
      <c r="B117" s="562"/>
      <c r="C117" s="562"/>
      <c r="D117" s="562"/>
      <c r="E117" s="562"/>
      <c r="F117" s="562"/>
      <c r="G117" s="562"/>
      <c r="H117" s="562"/>
      <c r="I117" s="562"/>
      <c r="J117" s="562"/>
      <c r="K117" s="562"/>
      <c r="L117" s="562"/>
      <c r="M117" s="562"/>
      <c r="N117" s="562"/>
      <c r="O117" s="562"/>
      <c r="P117" s="562"/>
      <c r="Q117" s="562"/>
      <c r="R117" s="562"/>
      <c r="S117" s="562"/>
      <c r="T117" s="562"/>
      <c r="U117" s="562"/>
      <c r="V117" s="562"/>
      <c r="W117" s="562"/>
      <c r="X117" s="562"/>
      <c r="Y117" s="562"/>
      <c r="Z117" s="563"/>
      <c r="AA117" s="518"/>
      <c r="AB117" s="518"/>
      <c r="AC117" s="518"/>
      <c r="AD117" s="518"/>
      <c r="AE117" s="518"/>
      <c r="AF117" s="51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58">
        <f>AA117/AG116</f>
        <v>0</v>
      </c>
      <c r="AV117" s="559"/>
      <c r="AW117" s="559"/>
      <c r="AX117" s="559"/>
      <c r="AY117" s="559"/>
      <c r="AZ117" s="559"/>
      <c r="BA117" s="559"/>
      <c r="BB117" s="560"/>
    </row>
    <row r="118" spans="1:54" ht="21" customHeight="1" x14ac:dyDescent="0.2">
      <c r="A118" s="449"/>
      <c r="B118" s="450"/>
      <c r="C118" s="450"/>
      <c r="D118" s="450"/>
      <c r="E118" s="450"/>
      <c r="F118" s="450"/>
      <c r="G118" s="450"/>
      <c r="H118" s="450"/>
      <c r="I118" s="450"/>
      <c r="J118" s="450"/>
      <c r="K118" s="450"/>
      <c r="L118" s="450"/>
      <c r="M118" s="450"/>
      <c r="N118" s="450"/>
      <c r="O118" s="450"/>
      <c r="P118" s="450"/>
      <c r="Q118" s="450"/>
      <c r="R118" s="450"/>
      <c r="S118" s="450"/>
      <c r="T118" s="450"/>
      <c r="U118" s="450"/>
      <c r="V118" s="450"/>
      <c r="W118" s="450"/>
      <c r="X118" s="450"/>
      <c r="Y118" s="450"/>
      <c r="Z118" s="451"/>
      <c r="AA118" s="557"/>
      <c r="AB118" s="557"/>
      <c r="AC118" s="557"/>
      <c r="AD118" s="557"/>
      <c r="AE118" s="557"/>
      <c r="AF118" s="557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58">
        <f>AA118/AG116</f>
        <v>0</v>
      </c>
      <c r="AV118" s="559"/>
      <c r="AW118" s="559"/>
      <c r="AX118" s="559"/>
      <c r="AY118" s="559"/>
      <c r="AZ118" s="559"/>
      <c r="BA118" s="559"/>
      <c r="BB118" s="560"/>
    </row>
    <row r="119" spans="1:54" ht="21" customHeight="1" x14ac:dyDescent="0.2">
      <c r="A119" s="449"/>
      <c r="B119" s="450"/>
      <c r="C119" s="450"/>
      <c r="D119" s="450"/>
      <c r="E119" s="450"/>
      <c r="F119" s="450"/>
      <c r="G119" s="450"/>
      <c r="H119" s="450"/>
      <c r="I119" s="450"/>
      <c r="J119" s="450"/>
      <c r="K119" s="450"/>
      <c r="L119" s="450"/>
      <c r="M119" s="450"/>
      <c r="N119" s="450"/>
      <c r="O119" s="450"/>
      <c r="P119" s="450"/>
      <c r="Q119" s="450"/>
      <c r="R119" s="450"/>
      <c r="S119" s="450"/>
      <c r="T119" s="450"/>
      <c r="U119" s="450"/>
      <c r="V119" s="450"/>
      <c r="W119" s="450"/>
      <c r="X119" s="450"/>
      <c r="Y119" s="450"/>
      <c r="Z119" s="451"/>
      <c r="AA119" s="557"/>
      <c r="AB119" s="557"/>
      <c r="AC119" s="557"/>
      <c r="AD119" s="557"/>
      <c r="AE119" s="557"/>
      <c r="AF119" s="557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58">
        <f>AA119/AG116</f>
        <v>0</v>
      </c>
      <c r="AV119" s="559"/>
      <c r="AW119" s="559"/>
      <c r="AX119" s="559"/>
      <c r="AY119" s="559"/>
      <c r="AZ119" s="559"/>
      <c r="BA119" s="559"/>
      <c r="BB119" s="560"/>
    </row>
    <row r="120" spans="1:54" ht="6" hidden="1" customHeight="1" x14ac:dyDescent="0.2">
      <c r="A120" s="449"/>
      <c r="B120" s="450"/>
      <c r="C120" s="450"/>
      <c r="D120" s="450"/>
      <c r="E120" s="450"/>
      <c r="F120" s="450"/>
      <c r="G120" s="450"/>
      <c r="H120" s="450"/>
      <c r="I120" s="450"/>
      <c r="J120" s="450"/>
      <c r="K120" s="450"/>
      <c r="L120" s="450"/>
      <c r="M120" s="450"/>
      <c r="N120" s="450"/>
      <c r="O120" s="450"/>
      <c r="P120" s="450"/>
      <c r="Q120" s="450"/>
      <c r="R120" s="450"/>
      <c r="S120" s="450"/>
      <c r="T120" s="450"/>
      <c r="U120" s="450"/>
      <c r="V120" s="450"/>
      <c r="W120" s="450"/>
      <c r="X120" s="450"/>
      <c r="Y120" s="450"/>
      <c r="Z120" s="451"/>
      <c r="AA120" s="557"/>
      <c r="AB120" s="557"/>
      <c r="AC120" s="557"/>
      <c r="AD120" s="557"/>
      <c r="AE120" s="557"/>
      <c r="AF120" s="557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58">
        <f>AA120/AG116</f>
        <v>0</v>
      </c>
      <c r="AV120" s="559"/>
      <c r="AW120" s="559"/>
      <c r="AX120" s="559"/>
      <c r="AY120" s="559"/>
      <c r="AZ120" s="559"/>
      <c r="BA120" s="559"/>
      <c r="BB120" s="560"/>
    </row>
    <row r="121" spans="1:54" ht="0.75" customHeight="1" thickBot="1" x14ac:dyDescent="0.25">
      <c r="A121" s="575"/>
      <c r="B121" s="576"/>
      <c r="C121" s="576"/>
      <c r="D121" s="576"/>
      <c r="E121" s="576"/>
      <c r="F121" s="576"/>
      <c r="G121" s="576"/>
      <c r="H121" s="576"/>
      <c r="I121" s="576"/>
      <c r="J121" s="576"/>
      <c r="K121" s="576"/>
      <c r="L121" s="576"/>
      <c r="M121" s="576"/>
      <c r="N121" s="576"/>
      <c r="O121" s="576"/>
      <c r="P121" s="576"/>
      <c r="Q121" s="576"/>
      <c r="R121" s="576"/>
      <c r="S121" s="576"/>
      <c r="T121" s="576"/>
      <c r="U121" s="576"/>
      <c r="V121" s="576"/>
      <c r="W121" s="576"/>
      <c r="X121" s="576"/>
      <c r="Y121" s="576"/>
      <c r="Z121" s="577"/>
      <c r="AA121" s="578">
        <v>0</v>
      </c>
      <c r="AB121" s="578"/>
      <c r="AC121" s="578"/>
      <c r="AD121" s="578"/>
      <c r="AE121" s="578"/>
      <c r="AF121" s="578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579">
        <f>AA121/AG116</f>
        <v>0</v>
      </c>
      <c r="AV121" s="580"/>
      <c r="AW121" s="580"/>
      <c r="AX121" s="580"/>
      <c r="AY121" s="580"/>
      <c r="AZ121" s="580"/>
      <c r="BA121" s="580"/>
      <c r="BB121" s="581"/>
    </row>
    <row r="122" spans="1:54" ht="15" customHeight="1" thickBot="1" x14ac:dyDescent="0.25">
      <c r="A122" s="545" t="s">
        <v>51</v>
      </c>
      <c r="B122" s="546"/>
      <c r="C122" s="546"/>
      <c r="D122" s="546"/>
      <c r="E122" s="546"/>
      <c r="F122" s="546"/>
      <c r="G122" s="546"/>
      <c r="H122" s="546"/>
      <c r="I122" s="546"/>
      <c r="J122" s="546"/>
      <c r="K122" s="546"/>
      <c r="L122" s="546"/>
      <c r="M122" s="546"/>
      <c r="N122" s="546"/>
      <c r="O122" s="546"/>
      <c r="P122" s="546"/>
      <c r="Q122" s="546"/>
      <c r="R122" s="546"/>
      <c r="S122" s="546"/>
      <c r="T122" s="546"/>
      <c r="U122" s="546"/>
      <c r="V122" s="546"/>
      <c r="W122" s="546"/>
      <c r="X122" s="546"/>
      <c r="Y122" s="546"/>
      <c r="Z122" s="547"/>
      <c r="AA122" s="548">
        <f>SUM(AA116:AF119)</f>
        <v>0</v>
      </c>
      <c r="AB122" s="549"/>
      <c r="AC122" s="549"/>
      <c r="AD122" s="549"/>
      <c r="AE122" s="549"/>
      <c r="AF122" s="550"/>
      <c r="AG122" s="531">
        <f>AG116</f>
        <v>36</v>
      </c>
      <c r="AH122" s="533"/>
      <c r="AI122" s="533"/>
      <c r="AJ122" s="533"/>
      <c r="AK122" s="533"/>
      <c r="AL122" s="534"/>
      <c r="AM122" s="551" t="s">
        <v>17</v>
      </c>
      <c r="AN122" s="552"/>
      <c r="AO122" s="552"/>
      <c r="AP122" s="552"/>
      <c r="AQ122" s="552"/>
      <c r="AR122" s="552"/>
      <c r="AS122" s="552"/>
      <c r="AT122" s="553"/>
      <c r="AU122" s="554">
        <f>SUM(AU116:BB121)</f>
        <v>0</v>
      </c>
      <c r="AV122" s="555"/>
      <c r="AW122" s="555"/>
      <c r="AX122" s="555"/>
      <c r="AY122" s="555"/>
      <c r="AZ122" s="555"/>
      <c r="BA122" s="555"/>
      <c r="BB122" s="556"/>
    </row>
    <row r="123" spans="1:54" s="161" customFormat="1" ht="15" customHeight="1" x14ac:dyDescent="0.2">
      <c r="A123" s="117"/>
      <c r="B123" s="117"/>
      <c r="C123" s="117"/>
      <c r="D123" s="117"/>
      <c r="E123" s="117"/>
      <c r="F123" s="117"/>
      <c r="G123" s="117"/>
      <c r="H123" s="117"/>
      <c r="I123" s="117"/>
      <c r="J123" s="117"/>
      <c r="K123" s="117"/>
      <c r="L123" s="117"/>
      <c r="M123" s="117"/>
      <c r="N123" s="117"/>
      <c r="O123" s="117"/>
      <c r="P123" s="117"/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</row>
    <row r="124" spans="1:54" ht="27" customHeight="1" x14ac:dyDescent="0.2">
      <c r="A124" s="159" t="s">
        <v>62</v>
      </c>
      <c r="B124" s="159"/>
      <c r="C124" s="159" t="s">
        <v>63</v>
      </c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  <c r="AU124" s="159"/>
      <c r="AV124" s="159"/>
      <c r="AW124" s="159"/>
      <c r="AX124" s="160"/>
      <c r="AY124" s="160"/>
      <c r="AZ124" s="160"/>
      <c r="BA124" s="160"/>
      <c r="BB124" s="160"/>
    </row>
    <row r="125" spans="1:54" ht="21.75" customHeight="1" thickBot="1" x14ac:dyDescent="0.25"/>
    <row r="126" spans="1:54" ht="63" customHeight="1" x14ac:dyDescent="0.2">
      <c r="A126" s="499" t="s">
        <v>54</v>
      </c>
      <c r="B126" s="500"/>
      <c r="C126" s="500"/>
      <c r="D126" s="500"/>
      <c r="E126" s="500"/>
      <c r="F126" s="500"/>
      <c r="G126" s="500"/>
      <c r="H126" s="535" t="s">
        <v>64</v>
      </c>
      <c r="I126" s="535"/>
      <c r="J126" s="535"/>
      <c r="K126" s="535"/>
      <c r="L126" s="535"/>
      <c r="M126" s="535" t="s">
        <v>94</v>
      </c>
      <c r="N126" s="535"/>
      <c r="O126" s="535"/>
      <c r="P126" s="535"/>
      <c r="Q126" s="535"/>
      <c r="R126" s="535" t="s">
        <v>82</v>
      </c>
      <c r="S126" s="535"/>
      <c r="T126" s="535"/>
      <c r="U126" s="535"/>
      <c r="V126" s="535" t="s">
        <v>65</v>
      </c>
      <c r="W126" s="535"/>
      <c r="X126" s="535"/>
      <c r="Y126" s="535"/>
      <c r="Z126" s="535" t="s">
        <v>66</v>
      </c>
      <c r="AA126" s="535"/>
      <c r="AB126" s="535"/>
      <c r="AC126" s="535"/>
      <c r="AD126" s="535" t="s">
        <v>67</v>
      </c>
      <c r="AE126" s="535"/>
      <c r="AF126" s="535"/>
      <c r="AG126" s="535"/>
      <c r="AH126" s="535"/>
      <c r="AI126" s="535"/>
      <c r="AJ126" s="535"/>
      <c r="AK126" s="535"/>
      <c r="AL126" s="535"/>
      <c r="AM126" s="535"/>
      <c r="AN126" s="535"/>
      <c r="AO126" s="535"/>
      <c r="AP126" s="535"/>
      <c r="AQ126" s="535" t="s">
        <v>427</v>
      </c>
      <c r="AR126" s="535"/>
      <c r="AS126" s="535"/>
      <c r="AT126" s="535"/>
      <c r="AU126" s="536" t="s">
        <v>428</v>
      </c>
      <c r="AV126" s="537"/>
      <c r="AW126" s="537"/>
      <c r="AX126" s="538"/>
      <c r="AY126" s="536" t="s">
        <v>87</v>
      </c>
      <c r="AZ126" s="537"/>
      <c r="BA126" s="537"/>
      <c r="BB126" s="539"/>
    </row>
    <row r="127" spans="1:54" ht="71.25" customHeight="1" thickBot="1" x14ac:dyDescent="0.25">
      <c r="A127" s="888"/>
      <c r="B127" s="889"/>
      <c r="C127" s="889"/>
      <c r="D127" s="889"/>
      <c r="E127" s="889"/>
      <c r="F127" s="889"/>
      <c r="G127" s="889"/>
      <c r="H127" s="894" t="s">
        <v>68</v>
      </c>
      <c r="I127" s="894"/>
      <c r="J127" s="894"/>
      <c r="K127" s="894"/>
      <c r="L127" s="894"/>
      <c r="M127" s="894" t="s">
        <v>68</v>
      </c>
      <c r="N127" s="894"/>
      <c r="O127" s="894"/>
      <c r="P127" s="894"/>
      <c r="Q127" s="894"/>
      <c r="R127" s="894"/>
      <c r="S127" s="894"/>
      <c r="T127" s="894"/>
      <c r="U127" s="894"/>
      <c r="V127" s="894"/>
      <c r="W127" s="894"/>
      <c r="X127" s="894"/>
      <c r="Y127" s="894"/>
      <c r="Z127" s="894"/>
      <c r="AA127" s="894"/>
      <c r="AB127" s="894"/>
      <c r="AC127" s="894"/>
      <c r="AD127" s="894" t="s">
        <v>68</v>
      </c>
      <c r="AE127" s="894"/>
      <c r="AF127" s="894"/>
      <c r="AG127" s="894"/>
      <c r="AH127" s="894"/>
      <c r="AI127" s="894"/>
      <c r="AJ127" s="895" t="s">
        <v>69</v>
      </c>
      <c r="AK127" s="896"/>
      <c r="AL127" s="896"/>
      <c r="AM127" s="896"/>
      <c r="AN127" s="896"/>
      <c r="AO127" s="896"/>
      <c r="AP127" s="897"/>
      <c r="AQ127" s="894" t="s">
        <v>68</v>
      </c>
      <c r="AR127" s="894"/>
      <c r="AS127" s="894"/>
      <c r="AT127" s="894"/>
      <c r="AU127" s="894" t="s">
        <v>68</v>
      </c>
      <c r="AV127" s="894"/>
      <c r="AW127" s="894"/>
      <c r="AX127" s="894"/>
      <c r="AY127" s="894" t="s">
        <v>68</v>
      </c>
      <c r="AZ127" s="894"/>
      <c r="BA127" s="894"/>
      <c r="BB127" s="898"/>
    </row>
    <row r="128" spans="1:54" ht="22.5" customHeight="1" thickBot="1" x14ac:dyDescent="0.25">
      <c r="A128" s="530">
        <v>1</v>
      </c>
      <c r="B128" s="503"/>
      <c r="C128" s="503"/>
      <c r="D128" s="503"/>
      <c r="E128" s="503"/>
      <c r="F128" s="503"/>
      <c r="G128" s="503"/>
      <c r="H128" s="503">
        <v>2</v>
      </c>
      <c r="I128" s="503"/>
      <c r="J128" s="503"/>
      <c r="K128" s="503"/>
      <c r="L128" s="503"/>
      <c r="M128" s="503">
        <v>3</v>
      </c>
      <c r="N128" s="503"/>
      <c r="O128" s="503"/>
      <c r="P128" s="503"/>
      <c r="Q128" s="503"/>
      <c r="R128" s="503">
        <v>4</v>
      </c>
      <c r="S128" s="503"/>
      <c r="T128" s="503"/>
      <c r="U128" s="503"/>
      <c r="V128" s="503">
        <v>5</v>
      </c>
      <c r="W128" s="503"/>
      <c r="X128" s="503"/>
      <c r="Y128" s="503"/>
      <c r="Z128" s="503">
        <v>6</v>
      </c>
      <c r="AA128" s="503"/>
      <c r="AB128" s="503"/>
      <c r="AC128" s="531"/>
      <c r="AD128" s="503">
        <v>7</v>
      </c>
      <c r="AE128" s="503"/>
      <c r="AF128" s="503"/>
      <c r="AG128" s="503"/>
      <c r="AH128" s="503"/>
      <c r="AI128" s="503"/>
      <c r="AJ128" s="533">
        <v>8</v>
      </c>
      <c r="AK128" s="533"/>
      <c r="AL128" s="533"/>
      <c r="AM128" s="533"/>
      <c r="AN128" s="533"/>
      <c r="AO128" s="533"/>
      <c r="AP128" s="534"/>
      <c r="AQ128" s="503">
        <v>9</v>
      </c>
      <c r="AR128" s="503"/>
      <c r="AS128" s="503"/>
      <c r="AT128" s="503"/>
      <c r="AU128" s="503">
        <v>10</v>
      </c>
      <c r="AV128" s="503"/>
      <c r="AW128" s="503"/>
      <c r="AX128" s="503"/>
      <c r="AY128" s="503">
        <v>11</v>
      </c>
      <c r="AZ128" s="503"/>
      <c r="BA128" s="503"/>
      <c r="BB128" s="504"/>
    </row>
    <row r="129" spans="1:79" ht="24.75" customHeight="1" x14ac:dyDescent="0.2">
      <c r="A129" s="505" t="s">
        <v>70</v>
      </c>
      <c r="B129" s="506"/>
      <c r="C129" s="506"/>
      <c r="D129" s="506"/>
      <c r="E129" s="506"/>
      <c r="F129" s="506"/>
      <c r="G129" s="506"/>
      <c r="H129" s="507">
        <f>AO72/V129</f>
        <v>94.12736666666666</v>
      </c>
      <c r="I129" s="507"/>
      <c r="J129" s="507"/>
      <c r="K129" s="507"/>
      <c r="L129" s="507"/>
      <c r="M129" s="507">
        <f>H129</f>
        <v>94.12736666666666</v>
      </c>
      <c r="N129" s="507"/>
      <c r="O129" s="507"/>
      <c r="P129" s="507"/>
      <c r="Q129" s="507"/>
      <c r="R129" s="508">
        <f>U12</f>
        <v>36</v>
      </c>
      <c r="S129" s="509"/>
      <c r="T129" s="509"/>
      <c r="U129" s="510"/>
      <c r="V129" s="517">
        <f>Y16</f>
        <v>12</v>
      </c>
      <c r="W129" s="517"/>
      <c r="X129" s="517"/>
      <c r="Y129" s="517"/>
      <c r="Z129" s="517">
        <f>U16</f>
        <v>3</v>
      </c>
      <c r="AA129" s="517"/>
      <c r="AB129" s="517"/>
      <c r="AC129" s="517"/>
      <c r="AD129" s="520" t="s">
        <v>71</v>
      </c>
      <c r="AE129" s="521"/>
      <c r="AF129" s="521"/>
      <c r="AG129" s="521"/>
      <c r="AH129" s="521"/>
      <c r="AI129" s="522"/>
      <c r="AJ129" s="523"/>
      <c r="AK129" s="524"/>
      <c r="AL129" s="524"/>
      <c r="AM129" s="524"/>
      <c r="AN129" s="524"/>
      <c r="AO129" s="524"/>
      <c r="AP129" s="525"/>
      <c r="AQ129" s="507">
        <f>H129*4</f>
        <v>376.50946666666664</v>
      </c>
      <c r="AR129" s="507"/>
      <c r="AS129" s="507"/>
      <c r="AT129" s="507"/>
      <c r="AU129" s="507">
        <f>M129*1</f>
        <v>94.12736666666666</v>
      </c>
      <c r="AV129" s="507"/>
      <c r="AW129" s="507"/>
      <c r="AX129" s="507"/>
      <c r="AY129" s="507">
        <f>H129*R129</f>
        <v>3388.5851999999995</v>
      </c>
      <c r="AZ129" s="507"/>
      <c r="BA129" s="507"/>
      <c r="BB129" s="526"/>
    </row>
    <row r="130" spans="1:79" ht="29.25" customHeight="1" x14ac:dyDescent="0.2">
      <c r="A130" s="527" t="s">
        <v>72</v>
      </c>
      <c r="B130" s="528"/>
      <c r="C130" s="528"/>
      <c r="D130" s="528"/>
      <c r="E130" s="528"/>
      <c r="F130" s="528"/>
      <c r="G130" s="528"/>
      <c r="H130" s="529">
        <f>AV82</f>
        <v>105.5223294889543</v>
      </c>
      <c r="I130" s="529"/>
      <c r="J130" s="529"/>
      <c r="K130" s="529"/>
      <c r="L130" s="529"/>
      <c r="M130" s="477">
        <f t="shared" ref="M130:M132" si="0">H130</f>
        <v>105.5223294889543</v>
      </c>
      <c r="N130" s="477"/>
      <c r="O130" s="477"/>
      <c r="P130" s="477"/>
      <c r="Q130" s="477"/>
      <c r="R130" s="511"/>
      <c r="S130" s="512"/>
      <c r="T130" s="512"/>
      <c r="U130" s="513"/>
      <c r="V130" s="518"/>
      <c r="W130" s="518"/>
      <c r="X130" s="518"/>
      <c r="Y130" s="518"/>
      <c r="Z130" s="518"/>
      <c r="AA130" s="518"/>
      <c r="AB130" s="518"/>
      <c r="AC130" s="518"/>
      <c r="AD130" s="477" t="s">
        <v>71</v>
      </c>
      <c r="AE130" s="477"/>
      <c r="AF130" s="477"/>
      <c r="AG130" s="477"/>
      <c r="AH130" s="477"/>
      <c r="AI130" s="477"/>
      <c r="AJ130" s="478"/>
      <c r="AK130" s="479"/>
      <c r="AL130" s="479"/>
      <c r="AM130" s="479"/>
      <c r="AN130" s="479"/>
      <c r="AO130" s="479"/>
      <c r="AP130" s="480"/>
      <c r="AQ130" s="477">
        <f>H130*4</f>
        <v>422.08931795581719</v>
      </c>
      <c r="AR130" s="477"/>
      <c r="AS130" s="477"/>
      <c r="AT130" s="477"/>
      <c r="AU130" s="477">
        <f>M130*1</f>
        <v>105.5223294889543</v>
      </c>
      <c r="AV130" s="477"/>
      <c r="AW130" s="477"/>
      <c r="AX130" s="477"/>
      <c r="AY130" s="477">
        <f>H130*R129</f>
        <v>3798.8038616023546</v>
      </c>
      <c r="AZ130" s="477"/>
      <c r="BA130" s="477"/>
      <c r="BB130" s="481"/>
    </row>
    <row r="131" spans="1:79" ht="15" customHeight="1" x14ac:dyDescent="0.2">
      <c r="A131" s="527" t="s">
        <v>73</v>
      </c>
      <c r="B131" s="528"/>
      <c r="C131" s="528"/>
      <c r="D131" s="528"/>
      <c r="E131" s="528"/>
      <c r="F131" s="528"/>
      <c r="G131" s="528"/>
      <c r="H131" s="529">
        <f>AU110</f>
        <v>69.581111111111113</v>
      </c>
      <c r="I131" s="529"/>
      <c r="J131" s="529"/>
      <c r="K131" s="529"/>
      <c r="L131" s="529"/>
      <c r="M131" s="477">
        <f t="shared" si="0"/>
        <v>69.581111111111113</v>
      </c>
      <c r="N131" s="477"/>
      <c r="O131" s="477"/>
      <c r="P131" s="477"/>
      <c r="Q131" s="477"/>
      <c r="R131" s="511"/>
      <c r="S131" s="512"/>
      <c r="T131" s="512"/>
      <c r="U131" s="513"/>
      <c r="V131" s="518"/>
      <c r="W131" s="518"/>
      <c r="X131" s="518"/>
      <c r="Y131" s="518"/>
      <c r="Z131" s="518"/>
      <c r="AA131" s="518"/>
      <c r="AB131" s="518"/>
      <c r="AC131" s="518"/>
      <c r="AD131" s="477" t="s">
        <v>71</v>
      </c>
      <c r="AE131" s="477"/>
      <c r="AF131" s="477"/>
      <c r="AG131" s="477"/>
      <c r="AH131" s="477"/>
      <c r="AI131" s="477"/>
      <c r="AJ131" s="478"/>
      <c r="AK131" s="479"/>
      <c r="AL131" s="479"/>
      <c r="AM131" s="479"/>
      <c r="AN131" s="479"/>
      <c r="AO131" s="479"/>
      <c r="AP131" s="480"/>
      <c r="AQ131" s="477">
        <f>H131*4</f>
        <v>278.32444444444445</v>
      </c>
      <c r="AR131" s="477"/>
      <c r="AS131" s="477"/>
      <c r="AT131" s="477"/>
      <c r="AU131" s="477">
        <f>M131*1</f>
        <v>69.581111111111113</v>
      </c>
      <c r="AV131" s="477"/>
      <c r="AW131" s="477"/>
      <c r="AX131" s="477"/>
      <c r="AY131" s="477">
        <f>H131*R129</f>
        <v>2504.92</v>
      </c>
      <c r="AZ131" s="477"/>
      <c r="BA131" s="477"/>
      <c r="BB131" s="481"/>
    </row>
    <row r="132" spans="1:79" ht="26.25" customHeight="1" thickBot="1" x14ac:dyDescent="0.25">
      <c r="A132" s="494" t="s">
        <v>74</v>
      </c>
      <c r="B132" s="495"/>
      <c r="C132" s="495"/>
      <c r="D132" s="495"/>
      <c r="E132" s="495"/>
      <c r="F132" s="495"/>
      <c r="G132" s="495"/>
      <c r="H132" s="483">
        <f>AU122</f>
        <v>0</v>
      </c>
      <c r="I132" s="483"/>
      <c r="J132" s="483"/>
      <c r="K132" s="483"/>
      <c r="L132" s="483"/>
      <c r="M132" s="482">
        <f t="shared" si="0"/>
        <v>0</v>
      </c>
      <c r="N132" s="482"/>
      <c r="O132" s="482"/>
      <c r="P132" s="482"/>
      <c r="Q132" s="482"/>
      <c r="R132" s="514"/>
      <c r="S132" s="515"/>
      <c r="T132" s="515"/>
      <c r="U132" s="516"/>
      <c r="V132" s="519"/>
      <c r="W132" s="519"/>
      <c r="X132" s="519"/>
      <c r="Y132" s="519"/>
      <c r="Z132" s="519"/>
      <c r="AA132" s="519"/>
      <c r="AB132" s="519"/>
      <c r="AC132" s="519"/>
      <c r="AD132" s="482" t="s">
        <v>71</v>
      </c>
      <c r="AE132" s="482"/>
      <c r="AF132" s="482"/>
      <c r="AG132" s="482"/>
      <c r="AH132" s="482"/>
      <c r="AI132" s="482"/>
      <c r="AJ132" s="496" t="s">
        <v>17</v>
      </c>
      <c r="AK132" s="497"/>
      <c r="AL132" s="497"/>
      <c r="AM132" s="497"/>
      <c r="AN132" s="497"/>
      <c r="AO132" s="497"/>
      <c r="AP132" s="498"/>
      <c r="AQ132" s="482">
        <f>H132*4</f>
        <v>0</v>
      </c>
      <c r="AR132" s="482"/>
      <c r="AS132" s="482"/>
      <c r="AT132" s="482"/>
      <c r="AU132" s="482">
        <f>M132*1</f>
        <v>0</v>
      </c>
      <c r="AV132" s="482"/>
      <c r="AW132" s="482"/>
      <c r="AX132" s="482"/>
      <c r="AY132" s="483">
        <f>H132*R129</f>
        <v>0</v>
      </c>
      <c r="AZ132" s="483"/>
      <c r="BA132" s="483"/>
      <c r="BB132" s="484"/>
    </row>
    <row r="133" spans="1:79" ht="25.5" customHeight="1" x14ac:dyDescent="0.2">
      <c r="A133" s="485" t="s">
        <v>80</v>
      </c>
      <c r="B133" s="486"/>
      <c r="C133" s="486"/>
      <c r="D133" s="486"/>
      <c r="E133" s="486"/>
      <c r="F133" s="486"/>
      <c r="G133" s="487"/>
      <c r="H133" s="488">
        <f>SUM(H129:L132)</f>
        <v>269.23080726673209</v>
      </c>
      <c r="I133" s="488"/>
      <c r="J133" s="488"/>
      <c r="K133" s="488"/>
      <c r="L133" s="488"/>
      <c r="M133" s="488">
        <f>SUM(M129:Q132)</f>
        <v>269.23080726673209</v>
      </c>
      <c r="N133" s="488"/>
      <c r="O133" s="488"/>
      <c r="P133" s="488"/>
      <c r="Q133" s="488"/>
      <c r="R133" s="489">
        <f>R129</f>
        <v>36</v>
      </c>
      <c r="S133" s="489"/>
      <c r="T133" s="489"/>
      <c r="U133" s="489"/>
      <c r="V133" s="490">
        <f>V129</f>
        <v>12</v>
      </c>
      <c r="W133" s="490"/>
      <c r="X133" s="490"/>
      <c r="Y133" s="490"/>
      <c r="Z133" s="490">
        <f>Z129</f>
        <v>3</v>
      </c>
      <c r="AA133" s="490"/>
      <c r="AB133" s="490"/>
      <c r="AC133" s="490"/>
      <c r="AD133" s="488" t="s">
        <v>17</v>
      </c>
      <c r="AE133" s="488"/>
      <c r="AF133" s="488"/>
      <c r="AG133" s="488"/>
      <c r="AH133" s="488"/>
      <c r="AI133" s="488"/>
      <c r="AJ133" s="491" t="s">
        <v>17</v>
      </c>
      <c r="AK133" s="492"/>
      <c r="AL133" s="492"/>
      <c r="AM133" s="492"/>
      <c r="AN133" s="492"/>
      <c r="AO133" s="492"/>
      <c r="AP133" s="493"/>
      <c r="AQ133" s="453">
        <f>SUM(AQ129:AT132)</f>
        <v>1076.9232290669283</v>
      </c>
      <c r="AR133" s="453"/>
      <c r="AS133" s="453"/>
      <c r="AT133" s="453"/>
      <c r="AU133" s="453">
        <f>SUM(AU129:AX132)</f>
        <v>269.23080726673209</v>
      </c>
      <c r="AV133" s="453"/>
      <c r="AW133" s="453"/>
      <c r="AX133" s="453"/>
      <c r="AY133" s="453">
        <f>SUM(AY129:BB132)</f>
        <v>9692.3090616023546</v>
      </c>
      <c r="AZ133" s="453"/>
      <c r="BA133" s="453"/>
      <c r="BB133" s="454"/>
    </row>
    <row r="134" spans="1:79" ht="30.75" customHeight="1" x14ac:dyDescent="0.2">
      <c r="A134" s="455" t="s">
        <v>75</v>
      </c>
      <c r="B134" s="456"/>
      <c r="C134" s="456"/>
      <c r="D134" s="456"/>
      <c r="E134" s="456"/>
      <c r="F134" s="456"/>
      <c r="G134" s="215">
        <v>0.3</v>
      </c>
      <c r="H134" s="457">
        <f>H133*G134</f>
        <v>80.769242180019617</v>
      </c>
      <c r="I134" s="457"/>
      <c r="J134" s="457"/>
      <c r="K134" s="457"/>
      <c r="L134" s="457"/>
      <c r="M134" s="457">
        <f>M133*G134</f>
        <v>80.769242180019617</v>
      </c>
      <c r="N134" s="457"/>
      <c r="O134" s="457"/>
      <c r="P134" s="457"/>
      <c r="Q134" s="457"/>
      <c r="R134" s="818">
        <f>R129</f>
        <v>36</v>
      </c>
      <c r="S134" s="819"/>
      <c r="T134" s="819"/>
      <c r="U134" s="820"/>
      <c r="V134" s="821">
        <f>V129</f>
        <v>12</v>
      </c>
      <c r="W134" s="819"/>
      <c r="X134" s="819"/>
      <c r="Y134" s="820"/>
      <c r="Z134" s="821">
        <f>Z129</f>
        <v>3</v>
      </c>
      <c r="AA134" s="819"/>
      <c r="AB134" s="819"/>
      <c r="AC134" s="820"/>
      <c r="AD134" s="462" t="s">
        <v>17</v>
      </c>
      <c r="AE134" s="462"/>
      <c r="AF134" s="462"/>
      <c r="AG134" s="462"/>
      <c r="AH134" s="462"/>
      <c r="AI134" s="462"/>
      <c r="AJ134" s="462" t="s">
        <v>17</v>
      </c>
      <c r="AK134" s="462"/>
      <c r="AL134" s="462"/>
      <c r="AM134" s="462"/>
      <c r="AN134" s="462"/>
      <c r="AO134" s="462"/>
      <c r="AP134" s="462"/>
      <c r="AQ134" s="466">
        <f>AQ133*G134</f>
        <v>323.07696872007847</v>
      </c>
      <c r="AR134" s="466"/>
      <c r="AS134" s="466"/>
      <c r="AT134" s="466"/>
      <c r="AU134" s="466">
        <f>AU133*G134</f>
        <v>80.769242180019617</v>
      </c>
      <c r="AV134" s="466"/>
      <c r="AW134" s="466"/>
      <c r="AX134" s="466"/>
      <c r="AY134" s="466">
        <f>AY133*G134</f>
        <v>2907.6927184807064</v>
      </c>
      <c r="AZ134" s="466"/>
      <c r="BA134" s="466"/>
      <c r="BB134" s="467"/>
    </row>
    <row r="135" spans="1:79" ht="30.75" customHeight="1" thickBot="1" x14ac:dyDescent="0.25">
      <c r="A135" s="468" t="s">
        <v>81</v>
      </c>
      <c r="B135" s="469"/>
      <c r="C135" s="469"/>
      <c r="D135" s="469"/>
      <c r="E135" s="469"/>
      <c r="F135" s="469"/>
      <c r="G135" s="470"/>
      <c r="H135" s="464">
        <f>H133+H134</f>
        <v>350.00004944675169</v>
      </c>
      <c r="I135" s="464"/>
      <c r="J135" s="464"/>
      <c r="K135" s="464"/>
      <c r="L135" s="464"/>
      <c r="M135" s="471">
        <f>M133+M134</f>
        <v>350.00004944675169</v>
      </c>
      <c r="N135" s="472"/>
      <c r="O135" s="472"/>
      <c r="P135" s="472"/>
      <c r="Q135" s="473"/>
      <c r="R135" s="825">
        <f>R129</f>
        <v>36</v>
      </c>
      <c r="S135" s="826"/>
      <c r="T135" s="826"/>
      <c r="U135" s="827"/>
      <c r="V135" s="828">
        <f>V129</f>
        <v>12</v>
      </c>
      <c r="W135" s="829"/>
      <c r="X135" s="829"/>
      <c r="Y135" s="830"/>
      <c r="Z135" s="828">
        <f>Z129</f>
        <v>3</v>
      </c>
      <c r="AA135" s="829"/>
      <c r="AB135" s="829"/>
      <c r="AC135" s="830"/>
      <c r="AD135" s="463" t="s">
        <v>17</v>
      </c>
      <c r="AE135" s="463"/>
      <c r="AF135" s="463"/>
      <c r="AG135" s="463"/>
      <c r="AH135" s="463"/>
      <c r="AI135" s="463"/>
      <c r="AJ135" s="463" t="s">
        <v>17</v>
      </c>
      <c r="AK135" s="463"/>
      <c r="AL135" s="463"/>
      <c r="AM135" s="463"/>
      <c r="AN135" s="463"/>
      <c r="AO135" s="463"/>
      <c r="AP135" s="463"/>
      <c r="AQ135" s="464">
        <f>AQ133+AQ134</f>
        <v>1400.0001977870068</v>
      </c>
      <c r="AR135" s="464"/>
      <c r="AS135" s="464"/>
      <c r="AT135" s="464"/>
      <c r="AU135" s="464">
        <f>AU133+AU134</f>
        <v>350.00004944675169</v>
      </c>
      <c r="AV135" s="464"/>
      <c r="AW135" s="464"/>
      <c r="AX135" s="464"/>
      <c r="AY135" s="464">
        <f>AY133+AY134</f>
        <v>12600.001780083061</v>
      </c>
      <c r="AZ135" s="464"/>
      <c r="BA135" s="464"/>
      <c r="BB135" s="465"/>
      <c r="BE135" s="432"/>
      <c r="BF135" s="432"/>
      <c r="BG135" s="432"/>
      <c r="BH135" s="432"/>
      <c r="BI135" s="432"/>
      <c r="BJ135" s="432"/>
      <c r="BK135" s="432"/>
      <c r="BL135" s="432"/>
      <c r="BM135" s="432"/>
      <c r="BN135" s="432"/>
      <c r="BO135" s="432"/>
      <c r="BP135" s="432"/>
      <c r="BQ135" s="432"/>
      <c r="BR135" s="432"/>
      <c r="BS135" s="432"/>
      <c r="BT135" s="432"/>
      <c r="BU135" s="432"/>
      <c r="BV135" s="432"/>
      <c r="BW135" s="432"/>
      <c r="BX135" s="432"/>
      <c r="BY135" s="432"/>
      <c r="BZ135" s="432"/>
      <c r="CA135" s="432"/>
    </row>
    <row r="136" spans="1:79" ht="16.5" customHeight="1" x14ac:dyDescent="0.2">
      <c r="BC136" s="432"/>
      <c r="BD136" s="432"/>
      <c r="BE136" s="432"/>
      <c r="BF136" s="432"/>
      <c r="BG136" s="432"/>
      <c r="BH136" s="433"/>
      <c r="BI136" s="433"/>
      <c r="BJ136" s="433"/>
      <c r="BK136" s="433"/>
      <c r="BL136" s="433"/>
      <c r="BM136" s="220"/>
      <c r="BN136" s="220"/>
      <c r="BO136" s="220"/>
      <c r="BP136" s="220"/>
      <c r="BQ136" s="220"/>
      <c r="BR136" s="220"/>
      <c r="BS136" s="220"/>
      <c r="BT136" s="220"/>
    </row>
    <row r="137" spans="1:79" ht="12" customHeight="1" x14ac:dyDescent="0.2">
      <c r="BC137" s="432"/>
      <c r="BD137" s="432"/>
      <c r="BE137" s="434"/>
      <c r="BF137" s="432"/>
      <c r="BG137" s="432"/>
      <c r="BH137" s="216"/>
      <c r="BI137" s="432"/>
      <c r="BJ137" s="432"/>
      <c r="BK137" s="432"/>
      <c r="BL137" s="432"/>
      <c r="BM137" s="432"/>
      <c r="BN137" s="432"/>
      <c r="BO137" s="432"/>
      <c r="BP137" s="432"/>
      <c r="BQ137" s="432"/>
      <c r="BR137" s="432"/>
      <c r="BS137" s="432"/>
      <c r="BT137" s="432"/>
    </row>
    <row r="138" spans="1:79" ht="14.25" customHeight="1" x14ac:dyDescent="0.2">
      <c r="B138" s="452" t="s">
        <v>658</v>
      </c>
      <c r="C138" s="452"/>
      <c r="D138" s="452"/>
      <c r="E138" s="452"/>
      <c r="F138" s="452"/>
      <c r="G138" s="452"/>
      <c r="H138" s="452"/>
      <c r="I138" s="452"/>
      <c r="J138" s="452"/>
      <c r="K138" s="452"/>
      <c r="L138" s="452"/>
      <c r="M138" s="452"/>
      <c r="N138" s="452"/>
      <c r="O138" s="452"/>
      <c r="P138" s="452"/>
      <c r="Q138" s="452"/>
      <c r="R138" s="452"/>
      <c r="S138" s="452"/>
      <c r="U138" s="164"/>
      <c r="V138" s="164"/>
      <c r="W138" s="164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7"/>
      <c r="AK138" s="217"/>
      <c r="AM138" s="442" t="s">
        <v>515</v>
      </c>
      <c r="AN138" s="763"/>
      <c r="AO138" s="763"/>
      <c r="AP138" s="763"/>
      <c r="AQ138" s="763"/>
      <c r="AR138" s="763"/>
      <c r="AS138" s="763"/>
      <c r="AT138" s="763"/>
      <c r="AU138" s="763"/>
      <c r="AV138" s="763"/>
      <c r="AW138" s="763"/>
      <c r="AX138" s="763"/>
      <c r="AY138" s="763"/>
      <c r="AZ138" s="763"/>
      <c r="BA138" s="763"/>
      <c r="BB138" s="763"/>
      <c r="BC138" s="442"/>
      <c r="BD138" s="442"/>
      <c r="BE138" s="432"/>
      <c r="BF138" s="432"/>
      <c r="BG138" s="432"/>
      <c r="BH138" s="216"/>
      <c r="BI138" s="435"/>
      <c r="BJ138" s="435"/>
      <c r="BK138" s="435"/>
      <c r="BL138" s="435"/>
      <c r="BM138" s="435"/>
      <c r="BN138" s="435"/>
      <c r="BO138" s="432"/>
      <c r="BP138" s="432"/>
      <c r="BQ138" s="432"/>
      <c r="BR138" s="432"/>
      <c r="BS138" s="432"/>
      <c r="BT138" s="432"/>
    </row>
    <row r="139" spans="1:79" ht="15.75" customHeight="1" x14ac:dyDescent="0.2">
      <c r="B139" s="452" t="s">
        <v>78</v>
      </c>
      <c r="C139" s="452"/>
      <c r="D139" s="452"/>
      <c r="E139" s="452"/>
      <c r="F139" s="452"/>
      <c r="G139" s="452"/>
      <c r="H139" s="452"/>
      <c r="I139" s="452"/>
      <c r="J139" s="452"/>
      <c r="K139" s="452"/>
      <c r="L139" s="452"/>
      <c r="M139" s="452"/>
      <c r="N139" s="452"/>
      <c r="O139" s="452"/>
      <c r="P139" s="452"/>
      <c r="Q139" s="452"/>
      <c r="R139" s="452"/>
      <c r="S139" s="452"/>
      <c r="AM139" s="442" t="s">
        <v>418</v>
      </c>
      <c r="AN139" s="442"/>
      <c r="AO139" s="442"/>
      <c r="AP139" s="442"/>
      <c r="AQ139" s="442"/>
      <c r="AR139" s="442"/>
      <c r="AS139" s="442"/>
      <c r="AT139" s="442"/>
      <c r="AU139" s="442"/>
      <c r="AV139" s="442"/>
      <c r="AW139" s="442"/>
      <c r="AX139" s="442"/>
      <c r="AY139" s="442"/>
      <c r="AZ139" s="442"/>
      <c r="BA139" s="442"/>
      <c r="BB139" s="442"/>
      <c r="BC139" s="442"/>
      <c r="BD139" s="219"/>
      <c r="BE139" s="432"/>
      <c r="BF139" s="432"/>
      <c r="BG139" s="432"/>
      <c r="BH139" s="216"/>
      <c r="BI139" s="435"/>
      <c r="BJ139" s="435"/>
      <c r="BK139" s="435"/>
      <c r="BL139" s="435"/>
      <c r="BM139" s="435"/>
      <c r="BN139" s="435"/>
      <c r="BO139" s="435"/>
      <c r="BP139" s="435"/>
      <c r="BQ139" s="435"/>
      <c r="BR139" s="435"/>
      <c r="BS139" s="435"/>
      <c r="BT139" s="435"/>
    </row>
    <row r="140" spans="1:79" ht="12.75" x14ac:dyDescent="0.2">
      <c r="B140" s="452"/>
      <c r="C140" s="452"/>
      <c r="D140" s="452"/>
      <c r="E140" s="452"/>
      <c r="F140" s="452"/>
      <c r="G140" s="452"/>
      <c r="H140" s="452"/>
      <c r="I140" s="452"/>
      <c r="J140" s="452"/>
      <c r="K140" s="452"/>
      <c r="L140" s="452"/>
      <c r="M140" s="452"/>
      <c r="N140" s="452"/>
      <c r="O140" s="452"/>
      <c r="P140" s="452"/>
      <c r="Q140" s="452"/>
      <c r="R140" s="452"/>
      <c r="S140" s="452"/>
      <c r="U140" s="164"/>
      <c r="V140" s="164"/>
      <c r="W140" s="164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M140" s="442"/>
      <c r="AN140" s="442"/>
      <c r="AO140" s="442"/>
      <c r="AP140" s="442"/>
      <c r="AQ140" s="442"/>
      <c r="AR140" s="442"/>
      <c r="AS140" s="442"/>
      <c r="AT140" s="442"/>
      <c r="AU140" s="442"/>
      <c r="AV140" s="442"/>
      <c r="AW140" s="442"/>
      <c r="AX140" s="442"/>
      <c r="AY140" s="442"/>
      <c r="AZ140" s="442"/>
      <c r="BA140" s="442"/>
      <c r="BB140" s="442"/>
      <c r="BC140" s="442"/>
      <c r="BD140" s="219"/>
      <c r="BG140" s="216"/>
    </row>
    <row r="141" spans="1:79" ht="15.75" customHeight="1" x14ac:dyDescent="0.2"/>
    <row r="142" spans="1:79" ht="13.5" customHeight="1" x14ac:dyDescent="0.2">
      <c r="A142" s="219" t="s">
        <v>125</v>
      </c>
      <c r="B142" s="219"/>
      <c r="C142" s="219"/>
      <c r="D142" s="219"/>
      <c r="BG142" s="216"/>
    </row>
    <row r="143" spans="1:79" ht="21.75" hidden="1" customHeight="1" x14ac:dyDescent="0.2">
      <c r="A143" s="221"/>
      <c r="B143" s="221"/>
      <c r="C143" s="221"/>
      <c r="D143" s="221"/>
      <c r="E143" s="221"/>
      <c r="F143" s="221"/>
      <c r="G143" s="221">
        <v>280</v>
      </c>
      <c r="H143" s="221"/>
      <c r="I143" s="221"/>
      <c r="J143" s="221"/>
      <c r="K143" s="221"/>
      <c r="L143" s="221"/>
      <c r="M143" s="221"/>
      <c r="N143" s="221"/>
      <c r="BE143" s="432" t="s">
        <v>239</v>
      </c>
      <c r="BF143" s="432"/>
      <c r="BG143" s="432"/>
      <c r="BH143" s="432"/>
      <c r="BI143" s="432"/>
      <c r="BJ143" s="432"/>
      <c r="BK143" s="432"/>
      <c r="BL143" s="432"/>
      <c r="BM143" s="432"/>
      <c r="BN143" s="432"/>
      <c r="BO143" s="432"/>
      <c r="BP143" s="432"/>
      <c r="BQ143" s="432"/>
      <c r="BR143" s="432"/>
      <c r="BS143" s="432"/>
      <c r="BT143" s="432"/>
      <c r="BU143" s="432"/>
      <c r="BV143" s="432"/>
      <c r="BW143" s="432"/>
      <c r="BX143" s="432"/>
      <c r="BY143" s="432"/>
      <c r="BZ143" s="432"/>
      <c r="CA143" s="432"/>
    </row>
    <row r="144" spans="1:79" ht="18" hidden="1" customHeight="1" x14ac:dyDescent="0.25">
      <c r="A144" s="222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22"/>
      <c r="AD144" s="222"/>
      <c r="AE144" s="222"/>
      <c r="AF144" s="222"/>
      <c r="AG144" s="222"/>
      <c r="AH144" s="222"/>
      <c r="AI144" s="222"/>
      <c r="AJ144" s="222"/>
      <c r="AK144" s="222"/>
      <c r="AL144" s="222"/>
      <c r="AM144" s="222"/>
      <c r="AN144" s="222"/>
      <c r="AO144" s="222"/>
      <c r="AP144" s="222"/>
      <c r="AQ144" s="222"/>
      <c r="AR144" s="222"/>
      <c r="AS144" s="222"/>
      <c r="BE144" s="432" t="s">
        <v>126</v>
      </c>
      <c r="BF144" s="432"/>
      <c r="BG144" s="432"/>
      <c r="BH144" s="433">
        <f>280*35</f>
        <v>9800</v>
      </c>
      <c r="BI144" s="433"/>
      <c r="BJ144" s="433"/>
      <c r="BK144" s="433"/>
      <c r="BL144" s="433"/>
      <c r="BM144" s="220" t="s">
        <v>127</v>
      </c>
      <c r="BN144" s="220"/>
      <c r="BO144" s="220"/>
      <c r="BP144" s="220"/>
      <c r="BQ144" s="220"/>
      <c r="BR144" s="220"/>
      <c r="BS144" s="220"/>
      <c r="BT144" s="220"/>
    </row>
    <row r="145" spans="26:79" ht="18" hidden="1" customHeight="1" x14ac:dyDescent="0.2">
      <c r="BE145" s="434">
        <v>0.6</v>
      </c>
      <c r="BF145" s="432"/>
      <c r="BG145" s="432"/>
      <c r="BH145" s="216">
        <f>BH144*BE145</f>
        <v>5880</v>
      </c>
      <c r="BI145" s="432" t="s">
        <v>128</v>
      </c>
      <c r="BJ145" s="432"/>
      <c r="BK145" s="432"/>
      <c r="BL145" s="432"/>
      <c r="BM145" s="432"/>
      <c r="BN145" s="432" t="s">
        <v>129</v>
      </c>
      <c r="BO145" s="432"/>
      <c r="BP145" s="432"/>
      <c r="BQ145" s="432"/>
      <c r="BR145" s="432"/>
      <c r="BS145" s="432"/>
      <c r="BT145" s="432"/>
    </row>
    <row r="146" spans="26:79" ht="15" hidden="1" customHeight="1" x14ac:dyDescent="0.2">
      <c r="BE146" s="432">
        <v>211</v>
      </c>
      <c r="BF146" s="432"/>
      <c r="BG146" s="432"/>
      <c r="BH146" s="216">
        <f>BH145-BH147</f>
        <v>4516.1290322580644</v>
      </c>
      <c r="BI146" s="435">
        <f>BH146*0.1</f>
        <v>451.61290322580646</v>
      </c>
      <c r="BJ146" s="435"/>
      <c r="BK146" s="435"/>
      <c r="BL146" s="435"/>
      <c r="BM146" s="435"/>
      <c r="BN146" s="435">
        <f>BH146-BI146</f>
        <v>4064.516129032258</v>
      </c>
      <c r="BO146" s="432"/>
      <c r="BP146" s="432"/>
      <c r="BQ146" s="432"/>
      <c r="BR146" s="432"/>
      <c r="BS146" s="432"/>
      <c r="BT146" s="432"/>
    </row>
    <row r="147" spans="26:79" ht="15.75" hidden="1" customHeight="1" x14ac:dyDescent="0.2">
      <c r="BE147" s="432">
        <v>213</v>
      </c>
      <c r="BF147" s="432"/>
      <c r="BG147" s="432"/>
      <c r="BH147" s="216">
        <f>BH145*30.2/130.2</f>
        <v>1363.8709677419356</v>
      </c>
      <c r="BI147" s="435">
        <f>BI146*30.2%</f>
        <v>136.38709677419354</v>
      </c>
      <c r="BJ147" s="435"/>
      <c r="BK147" s="435"/>
      <c r="BL147" s="435"/>
      <c r="BM147" s="435"/>
      <c r="BN147" s="435">
        <f>BN146*30.2%</f>
        <v>1227.483870967742</v>
      </c>
      <c r="BO147" s="435"/>
      <c r="BP147" s="435"/>
      <c r="BQ147" s="435"/>
      <c r="BR147" s="435"/>
      <c r="BS147" s="435"/>
      <c r="BT147" s="435"/>
    </row>
    <row r="148" spans="26:79" ht="8.25" hidden="1" customHeight="1" x14ac:dyDescent="0.2">
      <c r="Z148" s="223"/>
      <c r="AA148" s="223"/>
      <c r="AB148" s="223"/>
      <c r="AC148" s="223"/>
      <c r="AD148" s="223"/>
      <c r="AE148" s="223"/>
      <c r="AF148" s="223"/>
      <c r="AG148" s="223"/>
    </row>
    <row r="149" spans="26:79" ht="8.25" hidden="1" customHeight="1" x14ac:dyDescent="0.2"/>
    <row r="150" spans="26:79" ht="8.25" hidden="1" customHeight="1" x14ac:dyDescent="0.2"/>
    <row r="151" spans="26:79" ht="16.5" hidden="1" customHeight="1" x14ac:dyDescent="0.2">
      <c r="BE151" s="432"/>
      <c r="BF151" s="432"/>
      <c r="BG151" s="432"/>
      <c r="BH151" s="432"/>
      <c r="BI151" s="432"/>
      <c r="BJ151" s="432"/>
      <c r="BK151" s="432"/>
      <c r="BL151" s="432"/>
      <c r="BM151" s="432"/>
      <c r="BN151" s="432"/>
      <c r="BO151" s="432"/>
      <c r="BP151" s="432"/>
      <c r="BQ151" s="432"/>
      <c r="BR151" s="432"/>
      <c r="BS151" s="432"/>
      <c r="BT151" s="432"/>
      <c r="BU151" s="432"/>
      <c r="BV151" s="432"/>
      <c r="BW151" s="432"/>
      <c r="BX151" s="432"/>
      <c r="BY151" s="432"/>
      <c r="BZ151" s="432"/>
      <c r="CA151" s="432"/>
    </row>
    <row r="152" spans="26:79" ht="15.75" hidden="1" customHeight="1" x14ac:dyDescent="0.2">
      <c r="BE152" s="432" t="s">
        <v>243</v>
      </c>
      <c r="BF152" s="432"/>
      <c r="BG152" s="432"/>
      <c r="BH152" s="432"/>
      <c r="BI152" s="432"/>
      <c r="BJ152" s="432"/>
      <c r="BK152" s="432"/>
      <c r="BL152" s="432"/>
      <c r="BM152" s="432"/>
      <c r="BN152" s="432"/>
      <c r="BO152" s="432"/>
      <c r="BP152" s="432"/>
      <c r="BQ152" s="432"/>
      <c r="BR152" s="432"/>
      <c r="BS152" s="432"/>
      <c r="BT152" s="432"/>
      <c r="BU152" s="432"/>
      <c r="BV152" s="432"/>
      <c r="BW152" s="432"/>
      <c r="BX152" s="432"/>
      <c r="BY152" s="432"/>
      <c r="BZ152" s="432"/>
      <c r="CA152" s="432"/>
    </row>
    <row r="153" spans="26:79" ht="15" hidden="1" customHeight="1" x14ac:dyDescent="0.2">
      <c r="BE153" s="432" t="s">
        <v>126</v>
      </c>
      <c r="BF153" s="432"/>
      <c r="BG153" s="432"/>
      <c r="BH153" s="433">
        <f>280*29</f>
        <v>8120</v>
      </c>
      <c r="BI153" s="433"/>
      <c r="BJ153" s="433"/>
      <c r="BK153" s="433"/>
      <c r="BL153" s="433"/>
      <c r="BM153" s="220" t="s">
        <v>127</v>
      </c>
      <c r="BN153" s="220"/>
      <c r="BO153" s="220"/>
      <c r="BP153" s="220"/>
      <c r="BQ153" s="220"/>
      <c r="BR153" s="220"/>
      <c r="BS153" s="220"/>
      <c r="BT153" s="220"/>
    </row>
    <row r="154" spans="26:79" ht="14.25" hidden="1" customHeight="1" x14ac:dyDescent="0.2">
      <c r="BE154" s="434">
        <v>0.6</v>
      </c>
      <c r="BF154" s="432"/>
      <c r="BG154" s="432"/>
      <c r="BH154" s="216">
        <f>BH153*BE154</f>
        <v>4872</v>
      </c>
      <c r="BI154" s="432" t="s">
        <v>128</v>
      </c>
      <c r="BJ154" s="432"/>
      <c r="BK154" s="432"/>
      <c r="BL154" s="432"/>
      <c r="BM154" s="432"/>
      <c r="BN154" s="432" t="s">
        <v>129</v>
      </c>
      <c r="BO154" s="432"/>
      <c r="BP154" s="432"/>
      <c r="BQ154" s="432"/>
      <c r="BR154" s="432"/>
      <c r="BS154" s="432"/>
      <c r="BT154" s="432"/>
    </row>
    <row r="155" spans="26:79" ht="14.25" hidden="1" customHeight="1" x14ac:dyDescent="0.2">
      <c r="BE155" s="432">
        <v>211</v>
      </c>
      <c r="BF155" s="432"/>
      <c r="BG155" s="432"/>
      <c r="BH155" s="216">
        <f>BH154-BH156</f>
        <v>3741.9354838709678</v>
      </c>
      <c r="BI155" s="435">
        <f>BH155*0.1</f>
        <v>374.19354838709683</v>
      </c>
      <c r="BJ155" s="435"/>
      <c r="BK155" s="435"/>
      <c r="BL155" s="435"/>
      <c r="BM155" s="435"/>
      <c r="BN155" s="435">
        <f>BH155-BI155</f>
        <v>3367.7419354838712</v>
      </c>
      <c r="BO155" s="432"/>
      <c r="BP155" s="432"/>
      <c r="BQ155" s="432"/>
      <c r="BR155" s="432"/>
      <c r="BS155" s="432"/>
      <c r="BT155" s="432"/>
    </row>
    <row r="156" spans="26:79" ht="16.5" hidden="1" customHeight="1" x14ac:dyDescent="0.2">
      <c r="BE156" s="432">
        <v>213</v>
      </c>
      <c r="BF156" s="432"/>
      <c r="BG156" s="432"/>
      <c r="BH156" s="216">
        <f>BH154*30.2/130.2</f>
        <v>1130.0645161290322</v>
      </c>
      <c r="BI156" s="435">
        <f>BI155*30.2%</f>
        <v>113.00645161290323</v>
      </c>
      <c r="BJ156" s="435"/>
      <c r="BK156" s="435"/>
      <c r="BL156" s="435"/>
      <c r="BM156" s="435"/>
      <c r="BN156" s="435">
        <f>BN155*30.2%</f>
        <v>1017.0580645161291</v>
      </c>
      <c r="BO156" s="435"/>
      <c r="BP156" s="435"/>
      <c r="BQ156" s="435"/>
      <c r="BR156" s="435"/>
      <c r="BS156" s="435"/>
      <c r="BT156" s="435"/>
    </row>
    <row r="157" spans="26:79" ht="8.25" hidden="1" customHeight="1" x14ac:dyDescent="0.2"/>
    <row r="158" spans="26:79" ht="8.25" hidden="1" customHeight="1" x14ac:dyDescent="0.2"/>
    <row r="159" spans="26:79" ht="15" hidden="1" customHeight="1" x14ac:dyDescent="0.2">
      <c r="BE159" s="432" t="s">
        <v>169</v>
      </c>
      <c r="BF159" s="432"/>
      <c r="BG159" s="432"/>
      <c r="BH159" s="432"/>
      <c r="BI159" s="432"/>
      <c r="BJ159" s="432"/>
      <c r="BK159" s="432"/>
      <c r="BL159" s="432"/>
      <c r="BM159" s="432"/>
      <c r="BN159" s="432"/>
      <c r="BO159" s="432"/>
      <c r="BP159" s="432"/>
      <c r="BQ159" s="432"/>
      <c r="BR159" s="432"/>
      <c r="BS159" s="432"/>
      <c r="BT159" s="432"/>
      <c r="BU159" s="432"/>
      <c r="BV159" s="432"/>
      <c r="BW159" s="432"/>
      <c r="BX159" s="432"/>
      <c r="BY159" s="432"/>
      <c r="BZ159" s="432"/>
      <c r="CA159" s="432"/>
    </row>
    <row r="160" spans="26:79" ht="12.75" hidden="1" customHeight="1" x14ac:dyDescent="0.2">
      <c r="BE160" s="432" t="s">
        <v>126</v>
      </c>
      <c r="BF160" s="432"/>
      <c r="BG160" s="432"/>
      <c r="BH160" s="433">
        <f>280*17</f>
        <v>4760</v>
      </c>
      <c r="BI160" s="433"/>
      <c r="BJ160" s="433"/>
      <c r="BK160" s="433"/>
      <c r="BL160" s="433"/>
      <c r="BM160" s="220" t="s">
        <v>127</v>
      </c>
      <c r="BN160" s="220"/>
      <c r="BO160" s="220"/>
      <c r="BP160" s="220"/>
      <c r="BQ160" s="220"/>
      <c r="BR160" s="220"/>
      <c r="BS160" s="220"/>
      <c r="BT160" s="220"/>
    </row>
    <row r="161" spans="57:79" ht="15.75" hidden="1" customHeight="1" x14ac:dyDescent="0.2">
      <c r="BE161" s="434">
        <v>0.6</v>
      </c>
      <c r="BF161" s="432"/>
      <c r="BG161" s="432"/>
      <c r="BH161" s="216">
        <f>BH160*BE161</f>
        <v>2856</v>
      </c>
      <c r="BI161" s="432" t="s">
        <v>128</v>
      </c>
      <c r="BJ161" s="432"/>
      <c r="BK161" s="432"/>
      <c r="BL161" s="432"/>
      <c r="BM161" s="432"/>
      <c r="BN161" s="432" t="s">
        <v>129</v>
      </c>
      <c r="BO161" s="432"/>
      <c r="BP161" s="432"/>
      <c r="BQ161" s="432"/>
      <c r="BR161" s="432"/>
      <c r="BS161" s="432"/>
      <c r="BT161" s="432"/>
    </row>
    <row r="162" spans="57:79" ht="12.75" hidden="1" customHeight="1" x14ac:dyDescent="0.2">
      <c r="BE162" s="432">
        <v>211</v>
      </c>
      <c r="BF162" s="432"/>
      <c r="BG162" s="432"/>
      <c r="BH162" s="216">
        <f>BH161-BH163</f>
        <v>2193.5483870967741</v>
      </c>
      <c r="BI162" s="435">
        <f>BH162*0.1</f>
        <v>219.35483870967744</v>
      </c>
      <c r="BJ162" s="435"/>
      <c r="BK162" s="435"/>
      <c r="BL162" s="435"/>
      <c r="BM162" s="435"/>
      <c r="BN162" s="435">
        <f>BH162-BI162</f>
        <v>1974.1935483870966</v>
      </c>
      <c r="BO162" s="432"/>
      <c r="BP162" s="432"/>
      <c r="BQ162" s="432"/>
      <c r="BR162" s="432"/>
      <c r="BS162" s="432"/>
      <c r="BT162" s="432"/>
    </row>
    <row r="163" spans="57:79" ht="12.75" hidden="1" customHeight="1" x14ac:dyDescent="0.2">
      <c r="BE163" s="432">
        <v>213</v>
      </c>
      <c r="BF163" s="432"/>
      <c r="BG163" s="432"/>
      <c r="BH163" s="216">
        <f>BH161*30.2/130.2</f>
        <v>662.45161290322585</v>
      </c>
      <c r="BI163" s="435">
        <f>BI162*30.2%</f>
        <v>66.245161290322585</v>
      </c>
      <c r="BJ163" s="435"/>
      <c r="BK163" s="435"/>
      <c r="BL163" s="435"/>
      <c r="BM163" s="435"/>
      <c r="BN163" s="435">
        <f>BN162*30.2%</f>
        <v>596.20645161290315</v>
      </c>
      <c r="BO163" s="435"/>
      <c r="BP163" s="435"/>
      <c r="BQ163" s="435"/>
      <c r="BR163" s="435"/>
      <c r="BS163" s="435"/>
      <c r="BT163" s="435"/>
    </row>
    <row r="164" spans="57:79" ht="8.25" hidden="1" customHeight="1" x14ac:dyDescent="0.2"/>
    <row r="165" spans="57:79" ht="8.25" hidden="1" customHeight="1" x14ac:dyDescent="0.2"/>
    <row r="166" spans="57:79" ht="7.5" hidden="1" customHeight="1" x14ac:dyDescent="0.2"/>
    <row r="167" spans="57:79" ht="15.75" hidden="1" customHeight="1" x14ac:dyDescent="0.2">
      <c r="BE167" s="432" t="s">
        <v>175</v>
      </c>
      <c r="BF167" s="432"/>
      <c r="BG167" s="432"/>
      <c r="BH167" s="432"/>
      <c r="BI167" s="432"/>
      <c r="BJ167" s="432"/>
      <c r="BK167" s="432"/>
      <c r="BL167" s="432"/>
      <c r="BM167" s="432"/>
      <c r="BN167" s="432"/>
      <c r="BO167" s="432"/>
      <c r="BP167" s="432"/>
      <c r="BQ167" s="432"/>
      <c r="BR167" s="432"/>
      <c r="BS167" s="432"/>
      <c r="BT167" s="432"/>
      <c r="BU167" s="432"/>
      <c r="BV167" s="432"/>
      <c r="BW167" s="432"/>
      <c r="BX167" s="432"/>
      <c r="BY167" s="432"/>
      <c r="BZ167" s="432"/>
      <c r="CA167" s="432"/>
    </row>
    <row r="168" spans="57:79" ht="15" hidden="1" customHeight="1" x14ac:dyDescent="0.2">
      <c r="BE168" s="432" t="s">
        <v>126</v>
      </c>
      <c r="BF168" s="432"/>
      <c r="BG168" s="432"/>
      <c r="BH168" s="433">
        <f>280*55</f>
        <v>15400</v>
      </c>
      <c r="BI168" s="433"/>
      <c r="BJ168" s="433"/>
      <c r="BK168" s="433"/>
      <c r="BL168" s="433"/>
      <c r="BM168" s="220" t="s">
        <v>127</v>
      </c>
      <c r="BN168" s="220"/>
      <c r="BO168" s="220"/>
      <c r="BP168" s="220"/>
      <c r="BQ168" s="220"/>
      <c r="BR168" s="220"/>
      <c r="BS168" s="220"/>
      <c r="BT168" s="220"/>
    </row>
    <row r="169" spans="57:79" ht="11.25" hidden="1" customHeight="1" x14ac:dyDescent="0.2">
      <c r="BE169" s="434">
        <v>0.6</v>
      </c>
      <c r="BF169" s="432"/>
      <c r="BG169" s="432"/>
      <c r="BH169" s="216">
        <f>BH168*BE169</f>
        <v>9240</v>
      </c>
      <c r="BI169" s="432" t="s">
        <v>128</v>
      </c>
      <c r="BJ169" s="432"/>
      <c r="BK169" s="432"/>
      <c r="BL169" s="432"/>
      <c r="BM169" s="432"/>
      <c r="BN169" s="432" t="s">
        <v>129</v>
      </c>
      <c r="BO169" s="432"/>
      <c r="BP169" s="432"/>
      <c r="BQ169" s="432"/>
      <c r="BR169" s="432"/>
      <c r="BS169" s="432"/>
      <c r="BT169" s="432"/>
    </row>
    <row r="170" spans="57:79" ht="15.75" hidden="1" customHeight="1" x14ac:dyDescent="0.2">
      <c r="BE170" s="432">
        <v>211</v>
      </c>
      <c r="BF170" s="432"/>
      <c r="BG170" s="432"/>
      <c r="BH170" s="216">
        <f>BH169-BH171</f>
        <v>7096.7741935483864</v>
      </c>
      <c r="BI170" s="435">
        <f>BH170*0.1</f>
        <v>709.67741935483866</v>
      </c>
      <c r="BJ170" s="435"/>
      <c r="BK170" s="435"/>
      <c r="BL170" s="435"/>
      <c r="BM170" s="435"/>
      <c r="BN170" s="435">
        <f>BH170-BI170</f>
        <v>6387.0967741935474</v>
      </c>
      <c r="BO170" s="432"/>
      <c r="BP170" s="432"/>
      <c r="BQ170" s="432"/>
      <c r="BR170" s="432"/>
      <c r="BS170" s="432"/>
      <c r="BT170" s="432"/>
    </row>
    <row r="171" spans="57:79" ht="12.75" hidden="1" customHeight="1" x14ac:dyDescent="0.2">
      <c r="BE171" s="432">
        <v>213</v>
      </c>
      <c r="BF171" s="432"/>
      <c r="BG171" s="432"/>
      <c r="BH171" s="216">
        <f>BH169*30.2/130.2</f>
        <v>2143.2258064516132</v>
      </c>
      <c r="BI171" s="435">
        <f>BI170*30.2%</f>
        <v>214.32258064516128</v>
      </c>
      <c r="BJ171" s="435"/>
      <c r="BK171" s="435"/>
      <c r="BL171" s="435"/>
      <c r="BM171" s="435"/>
      <c r="BN171" s="435">
        <f>BN170*30.2%</f>
        <v>1928.9032258064512</v>
      </c>
      <c r="BO171" s="435"/>
      <c r="BP171" s="435"/>
      <c r="BQ171" s="435"/>
      <c r="BR171" s="435"/>
      <c r="BS171" s="435"/>
      <c r="BT171" s="435"/>
    </row>
    <row r="172" spans="57:79" ht="8.25" hidden="1" customHeight="1" x14ac:dyDescent="0.2"/>
    <row r="173" spans="57:79" ht="8.25" hidden="1" customHeight="1" x14ac:dyDescent="0.2"/>
    <row r="174" spans="57:79" ht="16.5" hidden="1" customHeight="1" x14ac:dyDescent="0.2">
      <c r="BE174" s="432" t="s">
        <v>185</v>
      </c>
      <c r="BF174" s="432"/>
      <c r="BG174" s="432"/>
      <c r="BH174" s="432"/>
      <c r="BI174" s="432"/>
      <c r="BJ174" s="432"/>
      <c r="BK174" s="432"/>
      <c r="BL174" s="432"/>
      <c r="BM174" s="432"/>
      <c r="BN174" s="432"/>
      <c r="BO174" s="432"/>
      <c r="BP174" s="432"/>
      <c r="BQ174" s="432"/>
      <c r="BR174" s="432"/>
      <c r="BS174" s="432"/>
      <c r="BT174" s="432"/>
      <c r="BU174" s="432"/>
      <c r="BV174" s="432"/>
      <c r="BW174" s="432"/>
      <c r="BX174" s="432"/>
      <c r="BY174" s="432"/>
      <c r="BZ174" s="432"/>
      <c r="CA174" s="432"/>
    </row>
    <row r="175" spans="57:79" ht="15" hidden="1" customHeight="1" x14ac:dyDescent="0.2">
      <c r="BE175" s="432" t="s">
        <v>126</v>
      </c>
      <c r="BF175" s="432"/>
      <c r="BG175" s="432"/>
      <c r="BH175" s="433">
        <f>280*23</f>
        <v>6440</v>
      </c>
      <c r="BI175" s="433"/>
      <c r="BJ175" s="433"/>
      <c r="BK175" s="433"/>
      <c r="BL175" s="433"/>
      <c r="BM175" s="220" t="s">
        <v>127</v>
      </c>
      <c r="BN175" s="220"/>
      <c r="BO175" s="220"/>
      <c r="BP175" s="220"/>
      <c r="BQ175" s="220"/>
      <c r="BR175" s="220"/>
      <c r="BS175" s="220"/>
      <c r="BT175" s="220"/>
    </row>
    <row r="176" spans="57:79" ht="17.25" hidden="1" customHeight="1" x14ac:dyDescent="0.2">
      <c r="BE176" s="434">
        <v>0.6</v>
      </c>
      <c r="BF176" s="432"/>
      <c r="BG176" s="432"/>
      <c r="BH176" s="216">
        <f>BH175*BE176</f>
        <v>3864</v>
      </c>
      <c r="BI176" s="432" t="s">
        <v>128</v>
      </c>
      <c r="BJ176" s="432"/>
      <c r="BK176" s="432"/>
      <c r="BL176" s="432"/>
      <c r="BM176" s="432"/>
      <c r="BN176" s="432" t="s">
        <v>129</v>
      </c>
      <c r="BO176" s="432"/>
      <c r="BP176" s="432"/>
      <c r="BQ176" s="432"/>
      <c r="BR176" s="432"/>
      <c r="BS176" s="432"/>
      <c r="BT176" s="432"/>
    </row>
    <row r="177" spans="57:79" ht="17.25" hidden="1" customHeight="1" x14ac:dyDescent="0.2">
      <c r="BE177" s="432">
        <v>211</v>
      </c>
      <c r="BF177" s="432"/>
      <c r="BG177" s="432"/>
      <c r="BH177" s="216">
        <f>BH176-BH178</f>
        <v>2967.7419354838707</v>
      </c>
      <c r="BI177" s="435">
        <f>BH177*0.1</f>
        <v>296.77419354838707</v>
      </c>
      <c r="BJ177" s="435"/>
      <c r="BK177" s="435"/>
      <c r="BL177" s="435"/>
      <c r="BM177" s="435"/>
      <c r="BN177" s="435">
        <f>BH177-BI177</f>
        <v>2670.9677419354839</v>
      </c>
      <c r="BO177" s="432"/>
      <c r="BP177" s="432"/>
      <c r="BQ177" s="432"/>
      <c r="BR177" s="432"/>
      <c r="BS177" s="432"/>
      <c r="BT177" s="432"/>
    </row>
    <row r="178" spans="57:79" ht="15.75" hidden="1" customHeight="1" x14ac:dyDescent="0.2">
      <c r="BE178" s="432">
        <v>213</v>
      </c>
      <c r="BF178" s="432"/>
      <c r="BG178" s="432"/>
      <c r="BH178" s="216">
        <f>BH176*30.2/130.2</f>
        <v>896.25806451612914</v>
      </c>
      <c r="BI178" s="435">
        <f>BI177*30.2%</f>
        <v>89.625806451612888</v>
      </c>
      <c r="BJ178" s="435"/>
      <c r="BK178" s="435"/>
      <c r="BL178" s="435"/>
      <c r="BM178" s="435"/>
      <c r="BN178" s="435">
        <f>BN177*30.2%</f>
        <v>806.63225806451612</v>
      </c>
      <c r="BO178" s="435"/>
      <c r="BP178" s="435"/>
      <c r="BQ178" s="435"/>
      <c r="BR178" s="435"/>
      <c r="BS178" s="435"/>
      <c r="BT178" s="435"/>
    </row>
    <row r="179" spans="57:79" ht="8.25" hidden="1" customHeight="1" x14ac:dyDescent="0.2"/>
    <row r="180" spans="57:79" ht="8.25" hidden="1" customHeight="1" x14ac:dyDescent="0.2"/>
    <row r="181" spans="57:79" ht="14.25" hidden="1" customHeight="1" x14ac:dyDescent="0.2">
      <c r="BE181" s="432" t="s">
        <v>272</v>
      </c>
      <c r="BF181" s="432"/>
      <c r="BG181" s="432"/>
      <c r="BH181" s="432"/>
      <c r="BI181" s="432"/>
      <c r="BJ181" s="432"/>
      <c r="BK181" s="432"/>
      <c r="BL181" s="432"/>
      <c r="BM181" s="432"/>
      <c r="BN181" s="432"/>
      <c r="BO181" s="432"/>
      <c r="BP181" s="432"/>
      <c r="BQ181" s="432"/>
      <c r="BR181" s="432"/>
      <c r="BS181" s="432"/>
      <c r="BT181" s="432"/>
      <c r="BU181" s="432"/>
      <c r="BV181" s="432"/>
      <c r="BW181" s="432"/>
      <c r="BX181" s="432"/>
      <c r="BY181" s="432"/>
      <c r="BZ181" s="432"/>
      <c r="CA181" s="432"/>
    </row>
    <row r="182" spans="57:79" ht="18.75" hidden="1" customHeight="1" x14ac:dyDescent="0.2">
      <c r="BE182" s="432" t="s">
        <v>126</v>
      </c>
      <c r="BF182" s="432"/>
      <c r="BG182" s="432"/>
      <c r="BH182" s="433">
        <f>280*20</f>
        <v>5600</v>
      </c>
      <c r="BI182" s="433"/>
      <c r="BJ182" s="433"/>
      <c r="BK182" s="433"/>
      <c r="BL182" s="433"/>
      <c r="BM182" s="220" t="s">
        <v>127</v>
      </c>
      <c r="BN182" s="220"/>
      <c r="BO182" s="220"/>
      <c r="BP182" s="220"/>
      <c r="BQ182" s="220"/>
      <c r="BR182" s="220"/>
      <c r="BS182" s="220"/>
      <c r="BT182" s="220"/>
    </row>
    <row r="183" spans="57:79" ht="18.75" hidden="1" customHeight="1" x14ac:dyDescent="0.2">
      <c r="BE183" s="434">
        <v>0.6</v>
      </c>
      <c r="BF183" s="432"/>
      <c r="BG183" s="432"/>
      <c r="BH183" s="216">
        <f>BH182*BE183</f>
        <v>3360</v>
      </c>
      <c r="BI183" s="432" t="s">
        <v>128</v>
      </c>
      <c r="BJ183" s="432"/>
      <c r="BK183" s="432"/>
      <c r="BL183" s="432"/>
      <c r="BM183" s="432"/>
      <c r="BN183" s="432" t="s">
        <v>129</v>
      </c>
      <c r="BO183" s="432"/>
      <c r="BP183" s="432"/>
      <c r="BQ183" s="432"/>
      <c r="BR183" s="432"/>
      <c r="BS183" s="432"/>
      <c r="BT183" s="432"/>
    </row>
    <row r="184" spans="57:79" ht="17.25" hidden="1" customHeight="1" x14ac:dyDescent="0.2">
      <c r="BE184" s="432">
        <v>211</v>
      </c>
      <c r="BF184" s="432"/>
      <c r="BG184" s="432"/>
      <c r="BH184" s="216">
        <f>BH183-BH185</f>
        <v>2580.6451612903224</v>
      </c>
      <c r="BI184" s="435">
        <f>BH184*0.1</f>
        <v>258.06451612903226</v>
      </c>
      <c r="BJ184" s="435"/>
      <c r="BK184" s="435"/>
      <c r="BL184" s="435"/>
      <c r="BM184" s="435"/>
      <c r="BN184" s="435">
        <f>BH184-BI184</f>
        <v>2322.5806451612902</v>
      </c>
      <c r="BO184" s="432"/>
      <c r="BP184" s="432"/>
      <c r="BQ184" s="432"/>
      <c r="BR184" s="432"/>
      <c r="BS184" s="432"/>
      <c r="BT184" s="432"/>
    </row>
    <row r="185" spans="57:79" ht="18" hidden="1" customHeight="1" x14ac:dyDescent="0.2">
      <c r="BE185" s="432">
        <v>213</v>
      </c>
      <c r="BF185" s="432"/>
      <c r="BG185" s="432"/>
      <c r="BH185" s="216">
        <f>BH183*30.2/130.2</f>
        <v>779.35483870967744</v>
      </c>
      <c r="BI185" s="435">
        <f>BI184*30.2%</f>
        <v>77.935483870967744</v>
      </c>
      <c r="BJ185" s="435"/>
      <c r="BK185" s="435"/>
      <c r="BL185" s="435"/>
      <c r="BM185" s="435"/>
      <c r="BN185" s="435">
        <f>BN184*30.2%</f>
        <v>701.41935483870964</v>
      </c>
      <c r="BO185" s="435"/>
      <c r="BP185" s="435"/>
      <c r="BQ185" s="435"/>
      <c r="BR185" s="435"/>
      <c r="BS185" s="435"/>
      <c r="BT185" s="435"/>
    </row>
    <row r="186" spans="57:79" ht="8.25" hidden="1" customHeight="1" x14ac:dyDescent="0.2"/>
    <row r="187" spans="57:79" ht="8.25" hidden="1" customHeight="1" x14ac:dyDescent="0.2"/>
    <row r="188" spans="57:79" ht="15" hidden="1" customHeight="1" x14ac:dyDescent="0.2">
      <c r="BE188" s="432" t="s">
        <v>278</v>
      </c>
      <c r="BF188" s="432"/>
      <c r="BG188" s="432"/>
      <c r="BH188" s="432"/>
      <c r="BI188" s="432"/>
      <c r="BJ188" s="432"/>
      <c r="BK188" s="432"/>
      <c r="BL188" s="432"/>
      <c r="BM188" s="432"/>
      <c r="BN188" s="432"/>
      <c r="BO188" s="432"/>
      <c r="BP188" s="432"/>
      <c r="BQ188" s="432"/>
      <c r="BR188" s="432"/>
      <c r="BS188" s="432"/>
      <c r="BT188" s="432"/>
      <c r="BU188" s="432"/>
      <c r="BV188" s="432"/>
      <c r="BW188" s="432"/>
      <c r="BX188" s="432"/>
      <c r="BY188" s="432"/>
      <c r="BZ188" s="432"/>
      <c r="CA188" s="432"/>
    </row>
    <row r="189" spans="57:79" ht="15" hidden="1" customHeight="1" x14ac:dyDescent="0.2">
      <c r="BE189" s="432" t="s">
        <v>126</v>
      </c>
      <c r="BF189" s="432"/>
      <c r="BG189" s="432"/>
      <c r="BH189" s="433">
        <f>280*39</f>
        <v>10920</v>
      </c>
      <c r="BI189" s="433"/>
      <c r="BJ189" s="433"/>
      <c r="BK189" s="433"/>
      <c r="BL189" s="433"/>
      <c r="BM189" s="220" t="s">
        <v>127</v>
      </c>
      <c r="BN189" s="220"/>
      <c r="BO189" s="220"/>
      <c r="BP189" s="220"/>
      <c r="BQ189" s="220"/>
      <c r="BR189" s="220"/>
      <c r="BS189" s="220"/>
      <c r="BT189" s="220"/>
    </row>
    <row r="190" spans="57:79" ht="9" hidden="1" customHeight="1" x14ac:dyDescent="0.2">
      <c r="BE190" s="434">
        <v>0.6</v>
      </c>
      <c r="BF190" s="432"/>
      <c r="BG190" s="432"/>
      <c r="BH190" s="216">
        <f>BH189*BE190</f>
        <v>6552</v>
      </c>
      <c r="BI190" s="432" t="s">
        <v>128</v>
      </c>
      <c r="BJ190" s="432"/>
      <c r="BK190" s="432"/>
      <c r="BL190" s="432"/>
      <c r="BM190" s="432"/>
      <c r="BN190" s="432" t="s">
        <v>129</v>
      </c>
      <c r="BO190" s="432"/>
      <c r="BP190" s="432"/>
      <c r="BQ190" s="432"/>
      <c r="BR190" s="432"/>
      <c r="BS190" s="432"/>
      <c r="BT190" s="432"/>
    </row>
    <row r="191" spans="57:79" ht="15" hidden="1" customHeight="1" x14ac:dyDescent="0.2">
      <c r="BE191" s="432">
        <v>211</v>
      </c>
      <c r="BF191" s="432"/>
      <c r="BG191" s="432"/>
      <c r="BH191" s="216">
        <f>BH190-BH192</f>
        <v>5032.2580645161288</v>
      </c>
      <c r="BI191" s="435">
        <f>BH191*0.1</f>
        <v>503.22580645161293</v>
      </c>
      <c r="BJ191" s="435"/>
      <c r="BK191" s="435"/>
      <c r="BL191" s="435"/>
      <c r="BM191" s="435"/>
      <c r="BN191" s="435">
        <f>BH191-BI191</f>
        <v>4529.0322580645161</v>
      </c>
      <c r="BO191" s="432"/>
      <c r="BP191" s="432"/>
      <c r="BQ191" s="432"/>
      <c r="BR191" s="432"/>
      <c r="BS191" s="432"/>
      <c r="BT191" s="432"/>
    </row>
    <row r="192" spans="57:79" ht="15" hidden="1" customHeight="1" x14ac:dyDescent="0.2">
      <c r="BE192" s="432">
        <v>213</v>
      </c>
      <c r="BF192" s="432"/>
      <c r="BG192" s="432"/>
      <c r="BH192" s="216">
        <f>BH190*30.2/130.2</f>
        <v>1519.741935483871</v>
      </c>
      <c r="BI192" s="435">
        <f>BI191*30.2%</f>
        <v>151.97419354838709</v>
      </c>
      <c r="BJ192" s="435"/>
      <c r="BK192" s="435"/>
      <c r="BL192" s="435"/>
      <c r="BM192" s="435"/>
      <c r="BN192" s="435">
        <f>BN191*30.2%</f>
        <v>1367.7677419354839</v>
      </c>
      <c r="BO192" s="435"/>
      <c r="BP192" s="435"/>
      <c r="BQ192" s="435"/>
      <c r="BR192" s="435"/>
      <c r="BS192" s="435"/>
      <c r="BT192" s="435"/>
    </row>
    <row r="193" spans="57:79" ht="15" hidden="1" customHeight="1" x14ac:dyDescent="0.2"/>
    <row r="194" spans="57:79" ht="8.25" hidden="1" customHeight="1" x14ac:dyDescent="0.2"/>
    <row r="195" spans="57:79" ht="15" hidden="1" customHeight="1" x14ac:dyDescent="0.2">
      <c r="BE195" s="432" t="s">
        <v>290</v>
      </c>
      <c r="BF195" s="432"/>
      <c r="BG195" s="432"/>
      <c r="BH195" s="432"/>
      <c r="BI195" s="432"/>
      <c r="BJ195" s="432"/>
      <c r="BK195" s="432"/>
      <c r="BL195" s="432"/>
      <c r="BM195" s="432"/>
      <c r="BN195" s="432"/>
      <c r="BO195" s="432"/>
      <c r="BP195" s="432"/>
      <c r="BQ195" s="432"/>
      <c r="BR195" s="432"/>
      <c r="BS195" s="432"/>
      <c r="BT195" s="432"/>
      <c r="BU195" s="432"/>
      <c r="BV195" s="432"/>
      <c r="BW195" s="432"/>
      <c r="BX195" s="432"/>
      <c r="BY195" s="432"/>
      <c r="BZ195" s="432"/>
      <c r="CA195" s="432"/>
    </row>
    <row r="196" spans="57:79" ht="15" hidden="1" customHeight="1" x14ac:dyDescent="0.2">
      <c r="BE196" s="432" t="s">
        <v>126</v>
      </c>
      <c r="BF196" s="432"/>
      <c r="BG196" s="432"/>
      <c r="BH196" s="433">
        <f>280*28</f>
        <v>7840</v>
      </c>
      <c r="BI196" s="433"/>
      <c r="BJ196" s="433"/>
      <c r="BK196" s="433"/>
      <c r="BL196" s="433"/>
      <c r="BM196" s="220" t="s">
        <v>127</v>
      </c>
      <c r="BN196" s="220"/>
      <c r="BO196" s="220"/>
      <c r="BP196" s="220"/>
      <c r="BQ196" s="220"/>
      <c r="BR196" s="220"/>
      <c r="BS196" s="220"/>
      <c r="BT196" s="220"/>
    </row>
    <row r="197" spans="57:79" ht="15" hidden="1" customHeight="1" x14ac:dyDescent="0.2">
      <c r="BE197" s="434">
        <v>0.6</v>
      </c>
      <c r="BF197" s="432"/>
      <c r="BG197" s="432"/>
      <c r="BH197" s="216">
        <f>BH196*BE197</f>
        <v>4704</v>
      </c>
      <c r="BI197" s="432" t="s">
        <v>128</v>
      </c>
      <c r="BJ197" s="432"/>
      <c r="BK197" s="432"/>
      <c r="BL197" s="432"/>
      <c r="BM197" s="432"/>
      <c r="BN197" s="432" t="s">
        <v>129</v>
      </c>
      <c r="BO197" s="432"/>
      <c r="BP197" s="432"/>
      <c r="BQ197" s="432"/>
      <c r="BR197" s="432"/>
      <c r="BS197" s="432"/>
      <c r="BT197" s="432"/>
    </row>
    <row r="198" spans="57:79" ht="15" hidden="1" customHeight="1" x14ac:dyDescent="0.2">
      <c r="BE198" s="432">
        <v>211</v>
      </c>
      <c r="BF198" s="432"/>
      <c r="BG198" s="432"/>
      <c r="BH198" s="216">
        <f>BH197-BH199</f>
        <v>3612.9032258064517</v>
      </c>
      <c r="BI198" s="435">
        <f>BH198*0.1</f>
        <v>361.29032258064518</v>
      </c>
      <c r="BJ198" s="435"/>
      <c r="BK198" s="435"/>
      <c r="BL198" s="435"/>
      <c r="BM198" s="435"/>
      <c r="BN198" s="435">
        <f>BH198-BI198</f>
        <v>3251.6129032258063</v>
      </c>
      <c r="BO198" s="432"/>
      <c r="BP198" s="432"/>
      <c r="BQ198" s="432"/>
      <c r="BR198" s="432"/>
      <c r="BS198" s="432"/>
      <c r="BT198" s="432"/>
    </row>
    <row r="199" spans="57:79" ht="15" hidden="1" customHeight="1" x14ac:dyDescent="0.2">
      <c r="BE199" s="432">
        <v>213</v>
      </c>
      <c r="BF199" s="432"/>
      <c r="BG199" s="432"/>
      <c r="BH199" s="216">
        <f>BH197*30.2/130.2</f>
        <v>1091.0967741935483</v>
      </c>
      <c r="BI199" s="435">
        <f>BI198*30.2%</f>
        <v>109.10967741935484</v>
      </c>
      <c r="BJ199" s="435"/>
      <c r="BK199" s="435"/>
      <c r="BL199" s="435"/>
      <c r="BM199" s="435"/>
      <c r="BN199" s="435">
        <f>BN198*30.2%</f>
        <v>981.98709677419345</v>
      </c>
      <c r="BO199" s="435"/>
      <c r="BP199" s="435"/>
      <c r="BQ199" s="435"/>
      <c r="BR199" s="435"/>
      <c r="BS199" s="435"/>
      <c r="BT199" s="435"/>
    </row>
    <row r="200" spans="57:79" ht="15" hidden="1" customHeight="1" x14ac:dyDescent="0.2"/>
    <row r="201" spans="57:79" ht="8.25" hidden="1" customHeight="1" x14ac:dyDescent="0.2"/>
    <row r="202" spans="57:79" ht="15.75" hidden="1" customHeight="1" x14ac:dyDescent="0.2">
      <c r="BE202" s="432" t="s">
        <v>296</v>
      </c>
      <c r="BF202" s="432"/>
      <c r="BG202" s="432"/>
      <c r="BH202" s="432"/>
      <c r="BI202" s="432"/>
      <c r="BJ202" s="432"/>
      <c r="BK202" s="432"/>
      <c r="BL202" s="432"/>
      <c r="BM202" s="432"/>
      <c r="BN202" s="432"/>
      <c r="BO202" s="432"/>
      <c r="BP202" s="432"/>
      <c r="BQ202" s="432"/>
      <c r="BR202" s="432"/>
      <c r="BS202" s="432"/>
      <c r="BT202" s="432"/>
      <c r="BU202" s="432"/>
      <c r="BV202" s="432"/>
      <c r="BW202" s="432"/>
      <c r="BX202" s="432"/>
      <c r="BY202" s="432"/>
      <c r="BZ202" s="432"/>
      <c r="CA202" s="432"/>
    </row>
    <row r="203" spans="57:79" ht="15.75" hidden="1" customHeight="1" x14ac:dyDescent="0.2">
      <c r="BE203" s="432" t="s">
        <v>126</v>
      </c>
      <c r="BF203" s="432"/>
      <c r="BG203" s="432"/>
      <c r="BH203" s="433">
        <f>280*27</f>
        <v>7560</v>
      </c>
      <c r="BI203" s="433"/>
      <c r="BJ203" s="433"/>
      <c r="BK203" s="433"/>
      <c r="BL203" s="433"/>
      <c r="BM203" s="220" t="s">
        <v>127</v>
      </c>
      <c r="BN203" s="220"/>
      <c r="BO203" s="220"/>
      <c r="BP203" s="220"/>
      <c r="BQ203" s="220"/>
      <c r="BR203" s="220"/>
      <c r="BS203" s="220"/>
      <c r="BT203" s="220"/>
    </row>
    <row r="204" spans="57:79" ht="15.75" hidden="1" customHeight="1" x14ac:dyDescent="0.2">
      <c r="BE204" s="434">
        <v>0.6</v>
      </c>
      <c r="BF204" s="432"/>
      <c r="BG204" s="432"/>
      <c r="BH204" s="216">
        <f>BH203*BE204</f>
        <v>4536</v>
      </c>
      <c r="BI204" s="432" t="s">
        <v>128</v>
      </c>
      <c r="BJ204" s="432"/>
      <c r="BK204" s="432"/>
      <c r="BL204" s="432"/>
      <c r="BM204" s="432"/>
      <c r="BN204" s="432" t="s">
        <v>129</v>
      </c>
      <c r="BO204" s="432"/>
      <c r="BP204" s="432"/>
      <c r="BQ204" s="432"/>
      <c r="BR204" s="432"/>
      <c r="BS204" s="432"/>
      <c r="BT204" s="432"/>
    </row>
    <row r="205" spans="57:79" ht="15.75" hidden="1" customHeight="1" x14ac:dyDescent="0.2">
      <c r="BE205" s="432">
        <v>211</v>
      </c>
      <c r="BF205" s="432"/>
      <c r="BG205" s="432"/>
      <c r="BH205" s="216">
        <f>BH204-BH206</f>
        <v>3483.8709677419356</v>
      </c>
      <c r="BI205" s="435">
        <f>BH205*0.1</f>
        <v>348.38709677419359</v>
      </c>
      <c r="BJ205" s="435"/>
      <c r="BK205" s="435"/>
      <c r="BL205" s="435"/>
      <c r="BM205" s="435"/>
      <c r="BN205" s="435">
        <f>BH205-BI205</f>
        <v>3135.483870967742</v>
      </c>
      <c r="BO205" s="432"/>
      <c r="BP205" s="432"/>
      <c r="BQ205" s="432"/>
      <c r="BR205" s="432"/>
      <c r="BS205" s="432"/>
      <c r="BT205" s="432"/>
    </row>
    <row r="206" spans="57:79" ht="15.75" hidden="1" customHeight="1" x14ac:dyDescent="0.2">
      <c r="BE206" s="432">
        <v>213</v>
      </c>
      <c r="BF206" s="432"/>
      <c r="BG206" s="432"/>
      <c r="BH206" s="216">
        <f>BH204*30.2/130.2</f>
        <v>1052.1290322580644</v>
      </c>
      <c r="BI206" s="435">
        <f>BI205*30.2%</f>
        <v>105.21290322580646</v>
      </c>
      <c r="BJ206" s="435"/>
      <c r="BK206" s="435"/>
      <c r="BL206" s="435"/>
      <c r="BM206" s="435"/>
      <c r="BN206" s="435">
        <f>BN205*30.2%</f>
        <v>946.91612903225803</v>
      </c>
      <c r="BO206" s="435"/>
      <c r="BP206" s="435"/>
      <c r="BQ206" s="435"/>
      <c r="BR206" s="435"/>
      <c r="BS206" s="435"/>
      <c r="BT206" s="435"/>
    </row>
    <row r="207" spans="57:79" ht="15.75" hidden="1" customHeight="1" x14ac:dyDescent="0.2"/>
    <row r="208" spans="57:79" ht="8.25" hidden="1" customHeight="1" x14ac:dyDescent="0.2"/>
    <row r="209" spans="57:79" ht="15" hidden="1" customHeight="1" x14ac:dyDescent="0.2">
      <c r="BE209" s="432" t="s">
        <v>302</v>
      </c>
      <c r="BF209" s="432"/>
      <c r="BG209" s="432"/>
      <c r="BH209" s="432"/>
      <c r="BI209" s="432"/>
      <c r="BJ209" s="432"/>
      <c r="BK209" s="432"/>
      <c r="BL209" s="432"/>
      <c r="BM209" s="432"/>
      <c r="BN209" s="432"/>
      <c r="BO209" s="432"/>
      <c r="BP209" s="432"/>
      <c r="BQ209" s="432"/>
      <c r="BR209" s="432"/>
      <c r="BS209" s="432"/>
      <c r="BT209" s="432"/>
      <c r="BU209" s="432"/>
      <c r="BV209" s="432"/>
      <c r="BW209" s="432"/>
      <c r="BX209" s="432"/>
      <c r="BY209" s="432"/>
      <c r="BZ209" s="432"/>
      <c r="CA209" s="432"/>
    </row>
    <row r="210" spans="57:79" ht="15" hidden="1" customHeight="1" x14ac:dyDescent="0.2">
      <c r="BE210" s="432" t="s">
        <v>126</v>
      </c>
      <c r="BF210" s="432"/>
      <c r="BG210" s="432"/>
      <c r="BH210" s="433">
        <f>280*16</f>
        <v>4480</v>
      </c>
      <c r="BI210" s="433"/>
      <c r="BJ210" s="433"/>
      <c r="BK210" s="433"/>
      <c r="BL210" s="433"/>
      <c r="BM210" s="220" t="s">
        <v>127</v>
      </c>
      <c r="BN210" s="220"/>
      <c r="BO210" s="220"/>
      <c r="BP210" s="220"/>
      <c r="BQ210" s="220"/>
      <c r="BR210" s="220"/>
      <c r="BS210" s="220"/>
      <c r="BT210" s="220"/>
    </row>
    <row r="211" spans="57:79" ht="15" hidden="1" customHeight="1" x14ac:dyDescent="0.2">
      <c r="BE211" s="434">
        <v>0.6</v>
      </c>
      <c r="BF211" s="432"/>
      <c r="BG211" s="432"/>
      <c r="BH211" s="216">
        <f>BH210*BE211</f>
        <v>2688</v>
      </c>
      <c r="BI211" s="432" t="s">
        <v>128</v>
      </c>
      <c r="BJ211" s="432"/>
      <c r="BK211" s="432"/>
      <c r="BL211" s="432"/>
      <c r="BM211" s="432"/>
      <c r="BN211" s="432" t="s">
        <v>129</v>
      </c>
      <c r="BO211" s="432"/>
      <c r="BP211" s="432"/>
      <c r="BQ211" s="432"/>
      <c r="BR211" s="432"/>
      <c r="BS211" s="432"/>
      <c r="BT211" s="432"/>
    </row>
    <row r="212" spans="57:79" ht="15" hidden="1" customHeight="1" x14ac:dyDescent="0.2">
      <c r="BE212" s="432">
        <v>211</v>
      </c>
      <c r="BF212" s="432"/>
      <c r="BG212" s="432"/>
      <c r="BH212" s="216">
        <f>BH211-BH213</f>
        <v>2064.516129032258</v>
      </c>
      <c r="BI212" s="435">
        <f>BH212*0.1</f>
        <v>206.45161290322582</v>
      </c>
      <c r="BJ212" s="435"/>
      <c r="BK212" s="435"/>
      <c r="BL212" s="435"/>
      <c r="BM212" s="435"/>
      <c r="BN212" s="435">
        <f>BH212-BI212</f>
        <v>1858.0645161290322</v>
      </c>
      <c r="BO212" s="432"/>
      <c r="BP212" s="432"/>
      <c r="BQ212" s="432"/>
      <c r="BR212" s="432"/>
      <c r="BS212" s="432"/>
      <c r="BT212" s="432"/>
    </row>
    <row r="213" spans="57:79" ht="15" hidden="1" customHeight="1" x14ac:dyDescent="0.2">
      <c r="BE213" s="432">
        <v>213</v>
      </c>
      <c r="BF213" s="432"/>
      <c r="BG213" s="432"/>
      <c r="BH213" s="216">
        <f>BH211*30.2/130.2</f>
        <v>623.48387096774195</v>
      </c>
      <c r="BI213" s="435">
        <f>BI212*30.2%</f>
        <v>62.348387096774196</v>
      </c>
      <c r="BJ213" s="435"/>
      <c r="BK213" s="435"/>
      <c r="BL213" s="435"/>
      <c r="BM213" s="435"/>
      <c r="BN213" s="435">
        <f>BN212*30.2%</f>
        <v>561.13548387096773</v>
      </c>
      <c r="BO213" s="435"/>
      <c r="BP213" s="435"/>
      <c r="BQ213" s="435"/>
      <c r="BR213" s="435"/>
      <c r="BS213" s="435"/>
      <c r="BT213" s="435"/>
    </row>
    <row r="214" spans="57:79" ht="12" hidden="1" x14ac:dyDescent="0.2">
      <c r="BE214" s="432" t="s">
        <v>332</v>
      </c>
      <c r="BF214" s="432"/>
      <c r="BG214" s="432"/>
      <c r="BH214" s="432"/>
      <c r="BI214" s="432"/>
      <c r="BJ214" s="432"/>
      <c r="BK214" s="432"/>
      <c r="BL214" s="432"/>
      <c r="BM214" s="432"/>
      <c r="BN214" s="432"/>
      <c r="BO214" s="432"/>
      <c r="BP214" s="432"/>
      <c r="BQ214" s="432"/>
      <c r="BR214" s="432"/>
      <c r="BS214" s="432"/>
      <c r="BT214" s="432"/>
      <c r="BU214" s="432"/>
      <c r="BV214" s="432"/>
      <c r="BW214" s="432"/>
      <c r="BX214" s="432"/>
      <c r="BY214" s="432"/>
      <c r="BZ214" s="432"/>
      <c r="CA214" s="432"/>
    </row>
    <row r="215" spans="57:79" ht="12" hidden="1" x14ac:dyDescent="0.2">
      <c r="BE215" s="432" t="s">
        <v>126</v>
      </c>
      <c r="BF215" s="432"/>
      <c r="BG215" s="432"/>
      <c r="BH215" s="433">
        <f>280*30</f>
        <v>8400</v>
      </c>
      <c r="BI215" s="433"/>
      <c r="BJ215" s="433"/>
      <c r="BK215" s="433"/>
      <c r="BL215" s="433"/>
      <c r="BM215" s="227" t="s">
        <v>127</v>
      </c>
      <c r="BN215" s="227"/>
      <c r="BO215" s="227"/>
      <c r="BP215" s="227"/>
      <c r="BQ215" s="227"/>
      <c r="BR215" s="227"/>
      <c r="BS215" s="227"/>
      <c r="BT215" s="227"/>
    </row>
    <row r="216" spans="57:79" ht="12" hidden="1" x14ac:dyDescent="0.2">
      <c r="BE216" s="434">
        <v>0.6</v>
      </c>
      <c r="BF216" s="432"/>
      <c r="BG216" s="432"/>
      <c r="BH216" s="216">
        <f>BH215*BE216</f>
        <v>5040</v>
      </c>
      <c r="BI216" s="432" t="s">
        <v>128</v>
      </c>
      <c r="BJ216" s="432"/>
      <c r="BK216" s="432"/>
      <c r="BL216" s="432"/>
      <c r="BM216" s="432"/>
      <c r="BN216" s="432" t="s">
        <v>129</v>
      </c>
      <c r="BO216" s="432"/>
      <c r="BP216" s="432"/>
      <c r="BQ216" s="432"/>
      <c r="BR216" s="432"/>
      <c r="BS216" s="432"/>
      <c r="BT216" s="432"/>
    </row>
    <row r="217" spans="57:79" ht="12" hidden="1" x14ac:dyDescent="0.2">
      <c r="BE217" s="432">
        <v>211</v>
      </c>
      <c r="BF217" s="432"/>
      <c r="BG217" s="432"/>
      <c r="BH217" s="216">
        <f>BH216-BH218</f>
        <v>3870.9677419354839</v>
      </c>
      <c r="BI217" s="435">
        <f>BH217*0.1</f>
        <v>387.09677419354841</v>
      </c>
      <c r="BJ217" s="435"/>
      <c r="BK217" s="435"/>
      <c r="BL217" s="435"/>
      <c r="BM217" s="435"/>
      <c r="BN217" s="435">
        <f>BH217-BI217</f>
        <v>3483.8709677419356</v>
      </c>
      <c r="BO217" s="432"/>
      <c r="BP217" s="432"/>
      <c r="BQ217" s="432"/>
      <c r="BR217" s="432"/>
      <c r="BS217" s="432"/>
      <c r="BT217" s="432"/>
    </row>
    <row r="218" spans="57:79" ht="12" hidden="1" x14ac:dyDescent="0.2">
      <c r="BE218" s="432">
        <v>213</v>
      </c>
      <c r="BF218" s="432"/>
      <c r="BG218" s="432"/>
      <c r="BH218" s="216">
        <f>BH216*30.2/130.2</f>
        <v>1169.0322580645163</v>
      </c>
      <c r="BI218" s="435">
        <f>BI217*30.2%</f>
        <v>116.90322580645162</v>
      </c>
      <c r="BJ218" s="435"/>
      <c r="BK218" s="435"/>
      <c r="BL218" s="435"/>
      <c r="BM218" s="435"/>
      <c r="BN218" s="435">
        <f>BN217*30.2%</f>
        <v>1052.1290322580646</v>
      </c>
      <c r="BO218" s="435"/>
      <c r="BP218" s="435"/>
      <c r="BQ218" s="435"/>
      <c r="BR218" s="435"/>
      <c r="BS218" s="435"/>
      <c r="BT218" s="435"/>
    </row>
    <row r="219" spans="57:79" ht="8.25" hidden="1" customHeight="1" x14ac:dyDescent="0.2"/>
    <row r="220" spans="57:79" ht="8.25" hidden="1" customHeight="1" x14ac:dyDescent="0.2"/>
    <row r="221" spans="57:79" ht="12" hidden="1" x14ac:dyDescent="0.2">
      <c r="BE221" s="432" t="s">
        <v>362</v>
      </c>
      <c r="BF221" s="432"/>
      <c r="BG221" s="432"/>
      <c r="BH221" s="432"/>
      <c r="BI221" s="432"/>
      <c r="BJ221" s="432"/>
      <c r="BK221" s="432"/>
      <c r="BL221" s="432"/>
      <c r="BM221" s="432"/>
      <c r="BN221" s="432"/>
      <c r="BO221" s="432"/>
      <c r="BP221" s="432"/>
      <c r="BQ221" s="432"/>
      <c r="BR221" s="432"/>
      <c r="BS221" s="432"/>
      <c r="BT221" s="432"/>
      <c r="BU221" s="432"/>
      <c r="BV221" s="432"/>
      <c r="BW221" s="432"/>
      <c r="BX221" s="432"/>
      <c r="BY221" s="432"/>
      <c r="BZ221" s="432"/>
      <c r="CA221" s="432"/>
    </row>
    <row r="222" spans="57:79" ht="12" hidden="1" x14ac:dyDescent="0.2">
      <c r="BE222" s="432" t="s">
        <v>126</v>
      </c>
      <c r="BF222" s="432"/>
      <c r="BG222" s="432"/>
      <c r="BH222" s="433">
        <f>280*28</f>
        <v>7840</v>
      </c>
      <c r="BI222" s="433"/>
      <c r="BJ222" s="433"/>
      <c r="BK222" s="433"/>
      <c r="BL222" s="433"/>
      <c r="BM222" s="229" t="s">
        <v>127</v>
      </c>
      <c r="BN222" s="229"/>
      <c r="BO222" s="229"/>
      <c r="BP222" s="229"/>
      <c r="BQ222" s="229"/>
      <c r="BR222" s="229"/>
      <c r="BS222" s="229"/>
      <c r="BT222" s="229"/>
    </row>
    <row r="223" spans="57:79" ht="12" hidden="1" x14ac:dyDescent="0.2">
      <c r="BE223" s="434">
        <v>0.6</v>
      </c>
      <c r="BF223" s="432"/>
      <c r="BG223" s="432"/>
      <c r="BH223" s="216">
        <f>BH222*BE223</f>
        <v>4704</v>
      </c>
      <c r="BI223" s="432" t="s">
        <v>128</v>
      </c>
      <c r="BJ223" s="432"/>
      <c r="BK223" s="432"/>
      <c r="BL223" s="432"/>
      <c r="BM223" s="432"/>
      <c r="BN223" s="432" t="s">
        <v>129</v>
      </c>
      <c r="BO223" s="432"/>
      <c r="BP223" s="432"/>
      <c r="BQ223" s="432"/>
      <c r="BR223" s="432"/>
      <c r="BS223" s="432"/>
      <c r="BT223" s="432"/>
    </row>
    <row r="224" spans="57:79" ht="12" hidden="1" x14ac:dyDescent="0.2">
      <c r="BE224" s="432">
        <v>211</v>
      </c>
      <c r="BF224" s="432"/>
      <c r="BG224" s="432"/>
      <c r="BH224" s="216">
        <f>BH223-BH225</f>
        <v>3612.9032258064517</v>
      </c>
      <c r="BI224" s="435">
        <f>BH224*0.1</f>
        <v>361.29032258064518</v>
      </c>
      <c r="BJ224" s="435"/>
      <c r="BK224" s="435"/>
      <c r="BL224" s="435"/>
      <c r="BM224" s="435"/>
      <c r="BN224" s="435">
        <f>BH224-BI224</f>
        <v>3251.6129032258063</v>
      </c>
      <c r="BO224" s="432"/>
      <c r="BP224" s="432"/>
      <c r="BQ224" s="432"/>
      <c r="BR224" s="432"/>
      <c r="BS224" s="432"/>
      <c r="BT224" s="432"/>
    </row>
    <row r="225" spans="57:97" ht="12" hidden="1" x14ac:dyDescent="0.2">
      <c r="BE225" s="432">
        <v>213</v>
      </c>
      <c r="BF225" s="432"/>
      <c r="BG225" s="432"/>
      <c r="BH225" s="216">
        <f>BH223*30.2/130.2</f>
        <v>1091.0967741935483</v>
      </c>
      <c r="BI225" s="435">
        <f>BI224*30.2%</f>
        <v>109.10967741935484</v>
      </c>
      <c r="BJ225" s="435"/>
      <c r="BK225" s="435"/>
      <c r="BL225" s="435"/>
      <c r="BM225" s="435"/>
      <c r="BN225" s="435">
        <f>BN224*30.2%</f>
        <v>981.98709677419345</v>
      </c>
      <c r="BO225" s="435"/>
      <c r="BP225" s="435"/>
      <c r="BQ225" s="435"/>
      <c r="BR225" s="435"/>
      <c r="BS225" s="435"/>
      <c r="BT225" s="435"/>
    </row>
    <row r="226" spans="57:97" ht="8.25" hidden="1" customHeight="1" x14ac:dyDescent="0.2"/>
    <row r="227" spans="57:97" ht="8.25" hidden="1" customHeight="1" x14ac:dyDescent="0.2"/>
    <row r="228" spans="57:97" ht="12" hidden="1" x14ac:dyDescent="0.2">
      <c r="BE228" s="432" t="s">
        <v>370</v>
      </c>
      <c r="BF228" s="432"/>
      <c r="BG228" s="432"/>
      <c r="BH228" s="432"/>
      <c r="BI228" s="432"/>
      <c r="BJ228" s="432"/>
      <c r="BK228" s="432"/>
      <c r="BL228" s="432"/>
      <c r="BM228" s="432"/>
      <c r="BN228" s="432"/>
      <c r="BO228" s="432"/>
      <c r="BP228" s="432"/>
      <c r="BQ228" s="432"/>
      <c r="BR228" s="432"/>
      <c r="BS228" s="432"/>
      <c r="BT228" s="432"/>
      <c r="BU228" s="432"/>
      <c r="BV228" s="432"/>
      <c r="BW228" s="432"/>
      <c r="BX228" s="432"/>
      <c r="BY228" s="432"/>
      <c r="BZ228" s="432"/>
      <c r="CA228" s="432"/>
    </row>
    <row r="229" spans="57:97" ht="12" hidden="1" x14ac:dyDescent="0.2">
      <c r="BE229" s="432" t="s">
        <v>126</v>
      </c>
      <c r="BF229" s="432"/>
      <c r="BG229" s="432"/>
      <c r="BH229" s="433">
        <f>280*12</f>
        <v>3360</v>
      </c>
      <c r="BI229" s="433"/>
      <c r="BJ229" s="433"/>
      <c r="BK229" s="433"/>
      <c r="BL229" s="433"/>
      <c r="BM229" s="232" t="s">
        <v>127</v>
      </c>
      <c r="BN229" s="232"/>
      <c r="BO229" s="232"/>
      <c r="BP229" s="232"/>
      <c r="BQ229" s="232"/>
      <c r="BR229" s="232"/>
      <c r="BS229" s="232"/>
      <c r="BT229" s="232"/>
    </row>
    <row r="230" spans="57:97" ht="15" hidden="1" x14ac:dyDescent="0.25">
      <c r="BE230" s="434">
        <v>0.6</v>
      </c>
      <c r="BF230" s="432"/>
      <c r="BG230" s="432"/>
      <c r="BH230" s="216">
        <f>BH229*BE230</f>
        <v>2016</v>
      </c>
      <c r="BI230" s="432" t="s">
        <v>128</v>
      </c>
      <c r="BJ230" s="432"/>
      <c r="BK230" s="432"/>
      <c r="BL230" s="432"/>
      <c r="BM230" s="432"/>
      <c r="BN230" s="432" t="s">
        <v>129</v>
      </c>
      <c r="BO230" s="432"/>
      <c r="BP230" s="432"/>
      <c r="BQ230" s="432"/>
      <c r="BR230" s="432"/>
      <c r="BS230" s="432"/>
      <c r="BT230" s="432"/>
      <c r="CD230" s="444" t="s">
        <v>368</v>
      </c>
      <c r="CE230" s="441"/>
      <c r="CF230" s="441"/>
      <c r="CG230" s="441"/>
      <c r="CH230" s="441"/>
      <c r="CI230" s="441"/>
      <c r="CJ230" s="441"/>
      <c r="CM230" s="444" t="s">
        <v>366</v>
      </c>
      <c r="CN230" s="441"/>
      <c r="CO230" s="441"/>
      <c r="CP230" s="441"/>
      <c r="CQ230" s="441"/>
      <c r="CR230" s="441"/>
      <c r="CS230" s="441"/>
    </row>
    <row r="231" spans="57:97" ht="15" hidden="1" x14ac:dyDescent="0.25">
      <c r="BE231" s="432">
        <v>211</v>
      </c>
      <c r="BF231" s="432"/>
      <c r="BG231" s="432"/>
      <c r="BH231" s="216">
        <f>BH230-BH232</f>
        <v>1548.3870967741937</v>
      </c>
      <c r="BI231" s="435">
        <f>BH231*0.2</f>
        <v>309.67741935483878</v>
      </c>
      <c r="BJ231" s="435"/>
      <c r="BK231" s="435"/>
      <c r="BL231" s="435"/>
      <c r="BM231" s="435"/>
      <c r="BN231" s="436">
        <f>BH231-BI231</f>
        <v>1238.7096774193549</v>
      </c>
      <c r="BO231" s="445"/>
      <c r="BP231" s="445"/>
      <c r="BQ231" s="445"/>
      <c r="BR231" s="445"/>
      <c r="BS231" s="445"/>
      <c r="BT231" s="445"/>
      <c r="CD231" s="437">
        <f>BI231*15/20</f>
        <v>232.25806451612908</v>
      </c>
      <c r="CE231" s="446"/>
      <c r="CF231" s="446"/>
      <c r="CG231" s="446"/>
      <c r="CH231" s="446"/>
      <c r="CI231" s="446"/>
      <c r="CJ231" s="446"/>
      <c r="CM231" s="437">
        <f>BI231*5/20</f>
        <v>77.419354838709694</v>
      </c>
      <c r="CN231" s="446"/>
      <c r="CO231" s="446"/>
      <c r="CP231" s="446"/>
      <c r="CQ231" s="446"/>
      <c r="CR231" s="446"/>
      <c r="CS231" s="446"/>
    </row>
    <row r="232" spans="57:97" ht="12" hidden="1" x14ac:dyDescent="0.2">
      <c r="BE232" s="432">
        <v>213</v>
      </c>
      <c r="BF232" s="432"/>
      <c r="BG232" s="432"/>
      <c r="BH232" s="216">
        <f>BH230*30.2/130.2</f>
        <v>467.61290322580646</v>
      </c>
      <c r="BI232" s="435">
        <f>BI231*30.2%</f>
        <v>93.522580645161312</v>
      </c>
      <c r="BJ232" s="435"/>
      <c r="BK232" s="435"/>
      <c r="BL232" s="435"/>
      <c r="BM232" s="435"/>
      <c r="BN232" s="435">
        <f>BN231*30.2%</f>
        <v>374.09032258064514</v>
      </c>
      <c r="BO232" s="435"/>
      <c r="BP232" s="435"/>
      <c r="BQ232" s="435"/>
      <c r="BR232" s="435"/>
      <c r="BS232" s="435"/>
      <c r="BT232" s="435"/>
    </row>
    <row r="233" spans="57:97" ht="8.25" hidden="1" customHeight="1" x14ac:dyDescent="0.2"/>
    <row r="234" spans="57:97" ht="8.25" hidden="1" customHeight="1" x14ac:dyDescent="0.2"/>
    <row r="235" spans="57:97" ht="8.25" hidden="1" customHeight="1" x14ac:dyDescent="0.2"/>
    <row r="236" spans="57:97" ht="12" hidden="1" x14ac:dyDescent="0.2">
      <c r="BE236" s="432" t="s">
        <v>408</v>
      </c>
      <c r="BF236" s="432"/>
      <c r="BG236" s="432"/>
      <c r="BH236" s="432"/>
      <c r="BI236" s="432"/>
      <c r="BJ236" s="432"/>
      <c r="BK236" s="432"/>
      <c r="BL236" s="432"/>
      <c r="BM236" s="432"/>
      <c r="BN236" s="432"/>
      <c r="BO236" s="432"/>
      <c r="BP236" s="432"/>
      <c r="BQ236" s="432"/>
      <c r="BR236" s="432"/>
      <c r="BS236" s="432"/>
      <c r="BT236" s="432"/>
      <c r="BU236" s="432"/>
      <c r="BV236" s="432"/>
      <c r="BW236" s="432"/>
      <c r="BX236" s="432"/>
      <c r="BY236" s="432"/>
      <c r="BZ236" s="432"/>
      <c r="CA236" s="432"/>
    </row>
    <row r="237" spans="57:97" ht="12" hidden="1" x14ac:dyDescent="0.2">
      <c r="BE237" s="432" t="s">
        <v>126</v>
      </c>
      <c r="BF237" s="432"/>
      <c r="BG237" s="432"/>
      <c r="BH237" s="433">
        <f>280*55</f>
        <v>15400</v>
      </c>
      <c r="BI237" s="433"/>
      <c r="BJ237" s="433"/>
      <c r="BK237" s="433"/>
      <c r="BL237" s="433"/>
      <c r="BM237" s="244" t="s">
        <v>127</v>
      </c>
      <c r="BN237" s="244"/>
      <c r="BO237" s="244"/>
      <c r="BP237" s="244"/>
      <c r="BQ237" s="244"/>
      <c r="BR237" s="244"/>
      <c r="BS237" s="244"/>
      <c r="BT237" s="244"/>
    </row>
    <row r="238" spans="57:97" ht="15" hidden="1" x14ac:dyDescent="0.25">
      <c r="BE238" s="434">
        <v>0.6</v>
      </c>
      <c r="BF238" s="432"/>
      <c r="BG238" s="432"/>
      <c r="BH238" s="216">
        <f>BH237*BE238</f>
        <v>9240</v>
      </c>
      <c r="BI238" s="432" t="s">
        <v>128</v>
      </c>
      <c r="BJ238" s="432"/>
      <c r="BK238" s="432"/>
      <c r="BL238" s="432"/>
      <c r="BM238" s="432"/>
      <c r="BN238" s="432" t="s">
        <v>129</v>
      </c>
      <c r="BO238" s="432"/>
      <c r="BP238" s="432"/>
      <c r="BQ238" s="432"/>
      <c r="BR238" s="432"/>
      <c r="BS238" s="432"/>
      <c r="BT238" s="432"/>
      <c r="CD238" s="444" t="s">
        <v>368</v>
      </c>
      <c r="CE238" s="441"/>
      <c r="CF238" s="441"/>
      <c r="CG238" s="441"/>
      <c r="CH238" s="441"/>
      <c r="CI238" s="441"/>
      <c r="CJ238" s="441"/>
      <c r="CM238" s="444" t="s">
        <v>366</v>
      </c>
      <c r="CN238" s="441"/>
      <c r="CO238" s="441"/>
      <c r="CP238" s="441"/>
      <c r="CQ238" s="441"/>
      <c r="CR238" s="441"/>
      <c r="CS238" s="441"/>
    </row>
    <row r="239" spans="57:97" ht="15" hidden="1" x14ac:dyDescent="0.25">
      <c r="BE239" s="432">
        <v>211</v>
      </c>
      <c r="BF239" s="432"/>
      <c r="BG239" s="432"/>
      <c r="BH239" s="216">
        <f>BH238-BH240</f>
        <v>7096.7741935483864</v>
      </c>
      <c r="BI239" s="435">
        <f>BH239*0.2</f>
        <v>1419.3548387096773</v>
      </c>
      <c r="BJ239" s="435"/>
      <c r="BK239" s="435"/>
      <c r="BL239" s="435"/>
      <c r="BM239" s="435"/>
      <c r="BN239" s="436">
        <f>BH239-BI239</f>
        <v>5677.4193548387093</v>
      </c>
      <c r="BO239" s="445"/>
      <c r="BP239" s="445"/>
      <c r="BQ239" s="445"/>
      <c r="BR239" s="445"/>
      <c r="BS239" s="445"/>
      <c r="BT239" s="445"/>
      <c r="CD239" s="437">
        <f>BI239*15/20</f>
        <v>1064.516129032258</v>
      </c>
      <c r="CE239" s="446"/>
      <c r="CF239" s="446"/>
      <c r="CG239" s="446"/>
      <c r="CH239" s="446"/>
      <c r="CI239" s="446"/>
      <c r="CJ239" s="446"/>
      <c r="CM239" s="437">
        <f>BI239*5/20</f>
        <v>354.83870967741933</v>
      </c>
      <c r="CN239" s="446"/>
      <c r="CO239" s="446"/>
      <c r="CP239" s="446"/>
      <c r="CQ239" s="446"/>
      <c r="CR239" s="446"/>
      <c r="CS239" s="446"/>
    </row>
    <row r="240" spans="57:97" ht="12" hidden="1" x14ac:dyDescent="0.2">
      <c r="BE240" s="432">
        <v>213</v>
      </c>
      <c r="BF240" s="432"/>
      <c r="BG240" s="432"/>
      <c r="BH240" s="216">
        <f>BH238*30.2/130.2</f>
        <v>2143.2258064516132</v>
      </c>
      <c r="BI240" s="435">
        <f>BI239*30.2%</f>
        <v>428.64516129032256</v>
      </c>
      <c r="BJ240" s="435"/>
      <c r="BK240" s="435"/>
      <c r="BL240" s="435"/>
      <c r="BM240" s="435"/>
      <c r="BN240" s="435">
        <f>BN239*30.2%</f>
        <v>1714.5806451612902</v>
      </c>
      <c r="BO240" s="435"/>
      <c r="BP240" s="435"/>
      <c r="BQ240" s="435"/>
      <c r="BR240" s="435"/>
      <c r="BS240" s="435"/>
      <c r="BT240" s="435"/>
    </row>
    <row r="241" spans="57:97" ht="8.25" hidden="1" customHeight="1" x14ac:dyDescent="0.2"/>
    <row r="242" spans="57:97" ht="8.25" hidden="1" customHeight="1" x14ac:dyDescent="0.2"/>
    <row r="243" spans="57:97" ht="12" hidden="1" x14ac:dyDescent="0.2">
      <c r="BE243" s="432" t="s">
        <v>409</v>
      </c>
      <c r="BF243" s="432"/>
      <c r="BG243" s="432"/>
      <c r="BH243" s="432"/>
      <c r="BI243" s="432"/>
      <c r="BJ243" s="432"/>
      <c r="BK243" s="432"/>
      <c r="BL243" s="432"/>
      <c r="BM243" s="432"/>
      <c r="BN243" s="432"/>
      <c r="BO243" s="432"/>
      <c r="BP243" s="432"/>
      <c r="BQ243" s="432"/>
      <c r="BR243" s="432"/>
      <c r="BS243" s="432"/>
      <c r="BT243" s="432"/>
      <c r="BU243" s="432"/>
      <c r="BV243" s="432"/>
      <c r="BW243" s="432"/>
      <c r="BX243" s="432"/>
      <c r="BY243" s="432"/>
      <c r="BZ243" s="432"/>
      <c r="CA243" s="432"/>
    </row>
    <row r="244" spans="57:97" ht="12" hidden="1" x14ac:dyDescent="0.2">
      <c r="BE244" s="432" t="s">
        <v>126</v>
      </c>
      <c r="BF244" s="432"/>
      <c r="BG244" s="432"/>
      <c r="BH244" s="433">
        <f>280*128</f>
        <v>35840</v>
      </c>
      <c r="BI244" s="433"/>
      <c r="BJ244" s="433"/>
      <c r="BK244" s="433"/>
      <c r="BL244" s="433"/>
      <c r="BM244" s="247" t="s">
        <v>127</v>
      </c>
      <c r="BN244" s="247"/>
      <c r="BO244" s="247"/>
      <c r="BP244" s="247"/>
      <c r="BQ244" s="247"/>
      <c r="BR244" s="247"/>
      <c r="BS244" s="247"/>
      <c r="BT244" s="247"/>
    </row>
    <row r="245" spans="57:97" ht="15" hidden="1" x14ac:dyDescent="0.25">
      <c r="BE245" s="434">
        <v>0.6</v>
      </c>
      <c r="BF245" s="432"/>
      <c r="BG245" s="432"/>
      <c r="BH245" s="216">
        <f>BH244*BE245</f>
        <v>21504</v>
      </c>
      <c r="BI245" s="432" t="s">
        <v>128</v>
      </c>
      <c r="BJ245" s="432"/>
      <c r="BK245" s="432"/>
      <c r="BL245" s="432"/>
      <c r="BM245" s="432"/>
      <c r="BN245" s="432" t="s">
        <v>129</v>
      </c>
      <c r="BO245" s="432"/>
      <c r="BP245" s="432"/>
      <c r="BQ245" s="432"/>
      <c r="BR245" s="432"/>
      <c r="BS245" s="432"/>
      <c r="BT245" s="432"/>
      <c r="CD245" s="444" t="s">
        <v>368</v>
      </c>
      <c r="CE245" s="441"/>
      <c r="CF245" s="441"/>
      <c r="CG245" s="441"/>
      <c r="CH245" s="441"/>
      <c r="CI245" s="441"/>
      <c r="CJ245" s="441"/>
      <c r="CM245" s="444" t="s">
        <v>366</v>
      </c>
      <c r="CN245" s="441"/>
      <c r="CO245" s="441"/>
      <c r="CP245" s="441"/>
      <c r="CQ245" s="441"/>
      <c r="CR245" s="441"/>
      <c r="CS245" s="441"/>
    </row>
    <row r="246" spans="57:97" ht="15" hidden="1" x14ac:dyDescent="0.25">
      <c r="BE246" s="432">
        <v>211</v>
      </c>
      <c r="BF246" s="432"/>
      <c r="BG246" s="432"/>
      <c r="BH246" s="216">
        <f>BH245-BH247</f>
        <v>16516.129032258064</v>
      </c>
      <c r="BI246" s="435">
        <f>BH246*0.2</f>
        <v>3303.2258064516132</v>
      </c>
      <c r="BJ246" s="435"/>
      <c r="BK246" s="435"/>
      <c r="BL246" s="435"/>
      <c r="BM246" s="435"/>
      <c r="BN246" s="436">
        <f>BH246-BI246</f>
        <v>13212.903225806451</v>
      </c>
      <c r="BO246" s="445"/>
      <c r="BP246" s="445"/>
      <c r="BQ246" s="445"/>
      <c r="BR246" s="445"/>
      <c r="BS246" s="445"/>
      <c r="BT246" s="445"/>
      <c r="CD246" s="437">
        <f>BI246*15/20</f>
        <v>2477.4193548387098</v>
      </c>
      <c r="CE246" s="446"/>
      <c r="CF246" s="446"/>
      <c r="CG246" s="446"/>
      <c r="CH246" s="446"/>
      <c r="CI246" s="446"/>
      <c r="CJ246" s="446"/>
      <c r="CM246" s="437">
        <f>BI246*5/20</f>
        <v>825.80645161290317</v>
      </c>
      <c r="CN246" s="446"/>
      <c r="CO246" s="446"/>
      <c r="CP246" s="446"/>
      <c r="CQ246" s="446"/>
      <c r="CR246" s="446"/>
      <c r="CS246" s="446"/>
    </row>
    <row r="247" spans="57:97" ht="12" hidden="1" x14ac:dyDescent="0.2">
      <c r="BE247" s="432">
        <v>213</v>
      </c>
      <c r="BF247" s="432"/>
      <c r="BG247" s="432"/>
      <c r="BH247" s="216">
        <f>BH245*30.2/130.2</f>
        <v>4987.8709677419356</v>
      </c>
      <c r="BI247" s="435">
        <f>BI246*30.2%</f>
        <v>997.57419354838714</v>
      </c>
      <c r="BJ247" s="435"/>
      <c r="BK247" s="435"/>
      <c r="BL247" s="435"/>
      <c r="BM247" s="435"/>
      <c r="BN247" s="435">
        <f>BN246*30.2%</f>
        <v>3990.2967741935481</v>
      </c>
      <c r="BO247" s="435"/>
      <c r="BP247" s="435"/>
      <c r="BQ247" s="435"/>
      <c r="BR247" s="435"/>
      <c r="BS247" s="435"/>
      <c r="BT247" s="435"/>
    </row>
    <row r="248" spans="57:97" ht="8.25" hidden="1" customHeight="1" x14ac:dyDescent="0.2"/>
    <row r="249" spans="57:97" ht="8.25" hidden="1" customHeight="1" x14ac:dyDescent="0.2"/>
    <row r="250" spans="57:97" ht="8.25" hidden="1" customHeight="1" x14ac:dyDescent="0.2"/>
    <row r="251" spans="57:97" ht="8.25" hidden="1" customHeight="1" x14ac:dyDescent="0.2"/>
    <row r="252" spans="57:97" ht="8.25" hidden="1" customHeight="1" x14ac:dyDescent="0.2"/>
    <row r="253" spans="57:97" ht="15" hidden="1" x14ac:dyDescent="0.25">
      <c r="BI253" s="253">
        <f>BI217+BI224+CM231+CM239+CM246</f>
        <v>2006.4516129032259</v>
      </c>
    </row>
    <row r="254" spans="57:97" ht="12" hidden="1" x14ac:dyDescent="0.2">
      <c r="BE254" s="432" t="s">
        <v>439</v>
      </c>
      <c r="BF254" s="432"/>
      <c r="BG254" s="432"/>
      <c r="BH254" s="432"/>
      <c r="BI254" s="432"/>
      <c r="BJ254" s="432"/>
      <c r="BK254" s="432"/>
      <c r="BL254" s="432"/>
      <c r="BM254" s="432"/>
      <c r="BN254" s="432"/>
      <c r="BO254" s="432"/>
      <c r="BP254" s="432"/>
      <c r="BQ254" s="432"/>
      <c r="BR254" s="432"/>
      <c r="BS254" s="432"/>
      <c r="BT254" s="432"/>
      <c r="BU254" s="432"/>
      <c r="BV254" s="432"/>
      <c r="BW254" s="432"/>
      <c r="BX254" s="432"/>
      <c r="BY254" s="432"/>
      <c r="BZ254" s="432"/>
      <c r="CA254" s="432"/>
    </row>
    <row r="255" spans="57:97" ht="12" hidden="1" x14ac:dyDescent="0.2">
      <c r="BE255" s="432" t="s">
        <v>126</v>
      </c>
      <c r="BF255" s="432"/>
      <c r="BG255" s="432"/>
      <c r="BH255" s="433">
        <f>300*58</f>
        <v>17400</v>
      </c>
      <c r="BI255" s="433"/>
      <c r="BJ255" s="433"/>
      <c r="BK255" s="433"/>
      <c r="BL255" s="433"/>
      <c r="BM255" s="250" t="s">
        <v>127</v>
      </c>
      <c r="BN255" s="250"/>
      <c r="BO255" s="250"/>
      <c r="BP255" s="250"/>
      <c r="BQ255" s="250"/>
      <c r="BR255" s="250"/>
      <c r="BS255" s="250"/>
      <c r="BT255" s="250"/>
    </row>
    <row r="256" spans="57:97" ht="15" hidden="1" x14ac:dyDescent="0.25">
      <c r="BE256" s="434">
        <v>0.6</v>
      </c>
      <c r="BF256" s="432"/>
      <c r="BG256" s="432"/>
      <c r="BH256" s="216">
        <f>BH255*BE256</f>
        <v>10440</v>
      </c>
      <c r="BI256" s="432" t="s">
        <v>128</v>
      </c>
      <c r="BJ256" s="432"/>
      <c r="BK256" s="432"/>
      <c r="BL256" s="432"/>
      <c r="BM256" s="432"/>
      <c r="BN256" s="432" t="s">
        <v>129</v>
      </c>
      <c r="BO256" s="432"/>
      <c r="BP256" s="432"/>
      <c r="BQ256" s="432"/>
      <c r="BR256" s="432"/>
      <c r="BS256" s="432"/>
      <c r="BT256" s="432"/>
      <c r="CD256" s="444" t="s">
        <v>368</v>
      </c>
      <c r="CE256" s="441"/>
      <c r="CF256" s="441"/>
      <c r="CG256" s="441"/>
      <c r="CH256" s="441"/>
      <c r="CI256" s="441"/>
      <c r="CJ256" s="441"/>
      <c r="CM256" s="444" t="s">
        <v>366</v>
      </c>
      <c r="CN256" s="441"/>
      <c r="CO256" s="441"/>
      <c r="CP256" s="441"/>
      <c r="CQ256" s="441"/>
      <c r="CR256" s="441"/>
      <c r="CS256" s="441"/>
    </row>
    <row r="257" spans="57:97" ht="15" hidden="1" x14ac:dyDescent="0.25">
      <c r="BE257" s="432">
        <v>211</v>
      </c>
      <c r="BF257" s="432"/>
      <c r="BG257" s="432"/>
      <c r="BH257" s="216">
        <f>BH256-BH258</f>
        <v>8018.4331797235027</v>
      </c>
      <c r="BI257" s="435">
        <f>BH257*0.2</f>
        <v>1603.6866359447006</v>
      </c>
      <c r="BJ257" s="435"/>
      <c r="BK257" s="435"/>
      <c r="BL257" s="435"/>
      <c r="BM257" s="435"/>
      <c r="BN257" s="436">
        <f>BH257-BI257</f>
        <v>6414.7465437788023</v>
      </c>
      <c r="BO257" s="445"/>
      <c r="BP257" s="445"/>
      <c r="BQ257" s="445"/>
      <c r="BR257" s="445"/>
      <c r="BS257" s="445"/>
      <c r="BT257" s="445"/>
      <c r="CD257" s="437">
        <f>BI257*15/20</f>
        <v>1202.7649769585255</v>
      </c>
      <c r="CE257" s="446"/>
      <c r="CF257" s="446"/>
      <c r="CG257" s="446"/>
      <c r="CH257" s="446"/>
      <c r="CI257" s="446"/>
      <c r="CJ257" s="446"/>
      <c r="CM257" s="437">
        <f>BI257*5/20</f>
        <v>400.92165898617515</v>
      </c>
      <c r="CN257" s="446"/>
      <c r="CO257" s="446"/>
      <c r="CP257" s="446"/>
      <c r="CQ257" s="446"/>
      <c r="CR257" s="446"/>
      <c r="CS257" s="446"/>
    </row>
    <row r="258" spans="57:97" ht="12" hidden="1" x14ac:dyDescent="0.2">
      <c r="BE258" s="432">
        <v>213</v>
      </c>
      <c r="BF258" s="432"/>
      <c r="BG258" s="432"/>
      <c r="BH258" s="216">
        <f>BH256*30.2/130.2</f>
        <v>2421.5668202764978</v>
      </c>
      <c r="BI258" s="435">
        <f>BI257*30.2%</f>
        <v>484.31336405529959</v>
      </c>
      <c r="BJ258" s="435"/>
      <c r="BK258" s="435"/>
      <c r="BL258" s="435"/>
      <c r="BM258" s="435"/>
      <c r="BN258" s="435">
        <f>BN257*30.2%</f>
        <v>1937.2534562211983</v>
      </c>
      <c r="BO258" s="435"/>
      <c r="BP258" s="435"/>
      <c r="BQ258" s="435"/>
      <c r="BR258" s="435"/>
      <c r="BS258" s="435"/>
      <c r="BT258" s="435"/>
    </row>
    <row r="259" spans="57:97" ht="8.25" hidden="1" customHeight="1" x14ac:dyDescent="0.2"/>
    <row r="260" spans="57:97" ht="8.25" hidden="1" customHeight="1" x14ac:dyDescent="0.2"/>
    <row r="261" spans="57:97" ht="12" hidden="1" x14ac:dyDescent="0.2">
      <c r="BE261" s="432" t="s">
        <v>440</v>
      </c>
      <c r="BF261" s="432"/>
      <c r="BG261" s="432"/>
      <c r="BH261" s="432"/>
      <c r="BI261" s="432"/>
      <c r="BJ261" s="432"/>
      <c r="BK261" s="432"/>
      <c r="BL261" s="432"/>
      <c r="BM261" s="432"/>
      <c r="BN261" s="432"/>
      <c r="BO261" s="432"/>
      <c r="BP261" s="432"/>
      <c r="BQ261" s="432"/>
      <c r="BR261" s="432"/>
      <c r="BS261" s="432"/>
      <c r="BT261" s="432"/>
      <c r="BU261" s="432"/>
      <c r="BV261" s="432"/>
      <c r="BW261" s="432"/>
      <c r="BX261" s="432"/>
      <c r="BY261" s="432"/>
      <c r="BZ261" s="432"/>
      <c r="CA261" s="432"/>
    </row>
    <row r="262" spans="57:97" ht="12" hidden="1" x14ac:dyDescent="0.2">
      <c r="BE262" s="432" t="s">
        <v>126</v>
      </c>
      <c r="BF262" s="432"/>
      <c r="BG262" s="432"/>
      <c r="BH262" s="433">
        <f>300*81</f>
        <v>24300</v>
      </c>
      <c r="BI262" s="433"/>
      <c r="BJ262" s="433"/>
      <c r="BK262" s="433"/>
      <c r="BL262" s="433"/>
      <c r="BM262" s="284" t="s">
        <v>127</v>
      </c>
      <c r="BN262" s="284"/>
      <c r="BO262" s="284"/>
      <c r="BP262" s="284"/>
      <c r="BQ262" s="284"/>
      <c r="BR262" s="284"/>
      <c r="BS262" s="284"/>
      <c r="BT262" s="284"/>
    </row>
    <row r="263" spans="57:97" ht="15" hidden="1" x14ac:dyDescent="0.25">
      <c r="BE263" s="434">
        <v>0.6</v>
      </c>
      <c r="BF263" s="432"/>
      <c r="BG263" s="432"/>
      <c r="BH263" s="216">
        <f>BH262*BE263</f>
        <v>14580</v>
      </c>
      <c r="BI263" s="432" t="s">
        <v>128</v>
      </c>
      <c r="BJ263" s="432"/>
      <c r="BK263" s="432"/>
      <c r="BL263" s="432"/>
      <c r="BM263" s="432"/>
      <c r="BN263" s="432" t="s">
        <v>129</v>
      </c>
      <c r="BO263" s="432"/>
      <c r="BP263" s="432"/>
      <c r="BQ263" s="432"/>
      <c r="BR263" s="432"/>
      <c r="BS263" s="432"/>
      <c r="BT263" s="432"/>
      <c r="CD263" s="444" t="s">
        <v>368</v>
      </c>
      <c r="CE263" s="441"/>
      <c r="CF263" s="441"/>
      <c r="CG263" s="441"/>
      <c r="CH263" s="441"/>
      <c r="CI263" s="441"/>
      <c r="CJ263" s="441"/>
      <c r="CM263" s="444" t="s">
        <v>366</v>
      </c>
      <c r="CN263" s="441"/>
      <c r="CO263" s="441"/>
      <c r="CP263" s="441"/>
      <c r="CQ263" s="441"/>
      <c r="CR263" s="441"/>
      <c r="CS263" s="441"/>
    </row>
    <row r="264" spans="57:97" ht="15" hidden="1" x14ac:dyDescent="0.25">
      <c r="BE264" s="432">
        <v>211</v>
      </c>
      <c r="BF264" s="432"/>
      <c r="BG264" s="432"/>
      <c r="BH264" s="216">
        <f>BH263-BH265</f>
        <v>11198.156682027649</v>
      </c>
      <c r="BI264" s="435">
        <f>BH264*0.2</f>
        <v>2239.63133640553</v>
      </c>
      <c r="BJ264" s="435"/>
      <c r="BK264" s="435"/>
      <c r="BL264" s="435"/>
      <c r="BM264" s="435"/>
      <c r="BN264" s="436">
        <f>BH264-BI264</f>
        <v>8958.5253456221199</v>
      </c>
      <c r="BO264" s="445"/>
      <c r="BP264" s="445"/>
      <c r="BQ264" s="445"/>
      <c r="BR264" s="445"/>
      <c r="BS264" s="445"/>
      <c r="BT264" s="445"/>
      <c r="CD264" s="437">
        <f>BI264*15/20</f>
        <v>1679.7235023041474</v>
      </c>
      <c r="CE264" s="446"/>
      <c r="CF264" s="446"/>
      <c r="CG264" s="446"/>
      <c r="CH264" s="446"/>
      <c r="CI264" s="446"/>
      <c r="CJ264" s="446"/>
      <c r="CM264" s="437">
        <f>BI264*5/20</f>
        <v>559.90783410138249</v>
      </c>
      <c r="CN264" s="446"/>
      <c r="CO264" s="446"/>
      <c r="CP264" s="446"/>
      <c r="CQ264" s="446"/>
      <c r="CR264" s="446"/>
      <c r="CS264" s="446"/>
    </row>
    <row r="265" spans="57:97" ht="12" hidden="1" x14ac:dyDescent="0.2">
      <c r="BE265" s="432">
        <v>213</v>
      </c>
      <c r="BF265" s="432"/>
      <c r="BG265" s="432"/>
      <c r="BH265" s="216">
        <f>BH263*30.2/130.2</f>
        <v>3381.8433179723506</v>
      </c>
      <c r="BI265" s="435">
        <f>BI264*30.2%</f>
        <v>676.36866359447004</v>
      </c>
      <c r="BJ265" s="435"/>
      <c r="BK265" s="435"/>
      <c r="BL265" s="435"/>
      <c r="BM265" s="435"/>
      <c r="BN265" s="435">
        <f>BN264*30.2%</f>
        <v>2705.4746543778801</v>
      </c>
      <c r="BO265" s="435"/>
      <c r="BP265" s="435"/>
      <c r="BQ265" s="435"/>
      <c r="BR265" s="435"/>
      <c r="BS265" s="435"/>
      <c r="BT265" s="435"/>
    </row>
    <row r="266" spans="57:97" ht="8.25" hidden="1" customHeight="1" x14ac:dyDescent="0.2"/>
    <row r="267" spans="57:97" ht="8.25" hidden="1" customHeight="1" x14ac:dyDescent="0.2"/>
    <row r="268" spans="57:97" ht="8.25" hidden="1" customHeight="1" x14ac:dyDescent="0.2"/>
    <row r="269" spans="57:97" ht="12" hidden="1" x14ac:dyDescent="0.2">
      <c r="BE269" s="432" t="s">
        <v>441</v>
      </c>
      <c r="BF269" s="432"/>
      <c r="BG269" s="432"/>
      <c r="BH269" s="432"/>
      <c r="BI269" s="432"/>
      <c r="BJ269" s="432"/>
      <c r="BK269" s="432"/>
      <c r="BL269" s="432"/>
      <c r="BM269" s="432"/>
      <c r="BN269" s="432"/>
      <c r="BO269" s="432"/>
      <c r="BP269" s="432"/>
      <c r="BQ269" s="432"/>
      <c r="BR269" s="432"/>
      <c r="BS269" s="432"/>
      <c r="BT269" s="432"/>
      <c r="BU269" s="432"/>
      <c r="BV269" s="432"/>
      <c r="BW269" s="432"/>
      <c r="BX269" s="432"/>
      <c r="BY269" s="432"/>
      <c r="BZ269" s="432"/>
      <c r="CA269" s="432"/>
    </row>
    <row r="270" spans="57:97" ht="12" hidden="1" x14ac:dyDescent="0.2">
      <c r="BE270" s="432" t="s">
        <v>126</v>
      </c>
      <c r="BF270" s="432"/>
      <c r="BG270" s="432"/>
      <c r="BH270" s="433">
        <f>300*23</f>
        <v>6900</v>
      </c>
      <c r="BI270" s="433"/>
      <c r="BJ270" s="433"/>
      <c r="BK270" s="433"/>
      <c r="BL270" s="433"/>
      <c r="BM270" s="284" t="s">
        <v>127</v>
      </c>
      <c r="BN270" s="284"/>
      <c r="BO270" s="284"/>
      <c r="BP270" s="284"/>
      <c r="BQ270" s="284"/>
      <c r="BR270" s="284"/>
      <c r="BS270" s="284"/>
      <c r="BT270" s="284"/>
    </row>
    <row r="271" spans="57:97" ht="15" hidden="1" x14ac:dyDescent="0.25">
      <c r="BE271" s="434">
        <v>0.6</v>
      </c>
      <c r="BF271" s="432"/>
      <c r="BG271" s="432"/>
      <c r="BH271" s="216">
        <f>BH270*BE271</f>
        <v>4140</v>
      </c>
      <c r="BI271" s="432" t="s">
        <v>128</v>
      </c>
      <c r="BJ271" s="432"/>
      <c r="BK271" s="432"/>
      <c r="BL271" s="432"/>
      <c r="BM271" s="432"/>
      <c r="BN271" s="432" t="s">
        <v>129</v>
      </c>
      <c r="BO271" s="432"/>
      <c r="BP271" s="432"/>
      <c r="BQ271" s="432"/>
      <c r="BR271" s="432"/>
      <c r="BS271" s="432"/>
      <c r="BT271" s="432"/>
      <c r="CD271" s="444" t="s">
        <v>368</v>
      </c>
      <c r="CE271" s="441"/>
      <c r="CF271" s="441"/>
      <c r="CG271" s="441"/>
      <c r="CH271" s="441"/>
      <c r="CI271" s="441"/>
      <c r="CJ271" s="441"/>
      <c r="CM271" s="444" t="s">
        <v>366</v>
      </c>
      <c r="CN271" s="441"/>
      <c r="CO271" s="441"/>
      <c r="CP271" s="441"/>
      <c r="CQ271" s="441"/>
      <c r="CR271" s="441"/>
      <c r="CS271" s="441"/>
    </row>
    <row r="272" spans="57:97" ht="15" hidden="1" x14ac:dyDescent="0.25">
      <c r="BE272" s="432">
        <v>211</v>
      </c>
      <c r="BF272" s="432"/>
      <c r="BG272" s="432"/>
      <c r="BH272" s="216">
        <f>BH271-BH273</f>
        <v>3179.7235023041476</v>
      </c>
      <c r="BI272" s="435">
        <f>BH272*0.2</f>
        <v>635.94470046082961</v>
      </c>
      <c r="BJ272" s="435"/>
      <c r="BK272" s="435"/>
      <c r="BL272" s="435"/>
      <c r="BM272" s="435"/>
      <c r="BN272" s="436">
        <f>BH272-BI272</f>
        <v>2543.778801843318</v>
      </c>
      <c r="BO272" s="445"/>
      <c r="BP272" s="445"/>
      <c r="BQ272" s="445"/>
      <c r="BR272" s="445"/>
      <c r="BS272" s="445"/>
      <c r="BT272" s="445"/>
      <c r="CD272" s="437">
        <f>BI272*15/20</f>
        <v>476.95852534562221</v>
      </c>
      <c r="CE272" s="446"/>
      <c r="CF272" s="446"/>
      <c r="CG272" s="446"/>
      <c r="CH272" s="446"/>
      <c r="CI272" s="446"/>
      <c r="CJ272" s="446"/>
      <c r="CM272" s="437">
        <f>BI272*5/20</f>
        <v>158.9861751152074</v>
      </c>
      <c r="CN272" s="446"/>
      <c r="CO272" s="446"/>
      <c r="CP272" s="446"/>
      <c r="CQ272" s="446"/>
      <c r="CR272" s="446"/>
      <c r="CS272" s="446"/>
    </row>
    <row r="273" spans="57:97" ht="12" hidden="1" x14ac:dyDescent="0.2">
      <c r="BE273" s="432">
        <v>213</v>
      </c>
      <c r="BF273" s="432"/>
      <c r="BG273" s="432"/>
      <c r="BH273" s="216">
        <f>BH271*30.2/130.2</f>
        <v>960.27649769585264</v>
      </c>
      <c r="BI273" s="435">
        <f>BI272*30.2%</f>
        <v>192.05529953917053</v>
      </c>
      <c r="BJ273" s="435"/>
      <c r="BK273" s="435"/>
      <c r="BL273" s="435"/>
      <c r="BM273" s="435"/>
      <c r="BN273" s="435">
        <f>BN272*30.2%</f>
        <v>768.22119815668202</v>
      </c>
      <c r="BO273" s="435"/>
      <c r="BP273" s="435"/>
      <c r="BQ273" s="435"/>
      <c r="BR273" s="435"/>
      <c r="BS273" s="435"/>
      <c r="BT273" s="435"/>
    </row>
    <row r="274" spans="57:97" ht="12" hidden="1" x14ac:dyDescent="0.2"/>
    <row r="275" spans="57:97" ht="8.25" hidden="1" customHeight="1" x14ac:dyDescent="0.2"/>
    <row r="276" spans="57:97" ht="12" hidden="1" x14ac:dyDescent="0.2">
      <c r="BE276" s="432" t="s">
        <v>458</v>
      </c>
      <c r="BF276" s="432"/>
      <c r="BG276" s="432"/>
      <c r="BH276" s="432"/>
      <c r="BI276" s="432"/>
      <c r="BJ276" s="432"/>
      <c r="BK276" s="432"/>
      <c r="BL276" s="432"/>
      <c r="BM276" s="432"/>
      <c r="BN276" s="432"/>
      <c r="BO276" s="432"/>
      <c r="BP276" s="432"/>
      <c r="BQ276" s="432"/>
      <c r="BR276" s="432"/>
      <c r="BS276" s="432"/>
      <c r="BT276" s="432"/>
      <c r="BU276" s="432"/>
      <c r="BV276" s="432"/>
      <c r="BW276" s="432"/>
      <c r="BX276" s="432"/>
      <c r="BY276" s="432"/>
      <c r="BZ276" s="432"/>
      <c r="CA276" s="432"/>
    </row>
    <row r="277" spans="57:97" ht="12" hidden="1" x14ac:dyDescent="0.2">
      <c r="BE277" s="432" t="s">
        <v>126</v>
      </c>
      <c r="BF277" s="432"/>
      <c r="BG277" s="432"/>
      <c r="BH277" s="433">
        <f>300*67</f>
        <v>20100</v>
      </c>
      <c r="BI277" s="433"/>
      <c r="BJ277" s="433"/>
      <c r="BK277" s="433"/>
      <c r="BL277" s="433"/>
      <c r="BM277" s="289" t="s">
        <v>127</v>
      </c>
      <c r="BN277" s="289"/>
      <c r="BO277" s="289"/>
      <c r="BP277" s="289"/>
      <c r="BQ277" s="289"/>
      <c r="BR277" s="289"/>
      <c r="BS277" s="289"/>
      <c r="BT277" s="289"/>
    </row>
    <row r="278" spans="57:97" ht="15" hidden="1" x14ac:dyDescent="0.25">
      <c r="BE278" s="434">
        <v>0.6</v>
      </c>
      <c r="BF278" s="432"/>
      <c r="BG278" s="432"/>
      <c r="BH278" s="216">
        <f>BH277*BE278</f>
        <v>12060</v>
      </c>
      <c r="BI278" s="432" t="s">
        <v>128</v>
      </c>
      <c r="BJ278" s="432"/>
      <c r="BK278" s="432"/>
      <c r="BL278" s="432"/>
      <c r="BM278" s="432"/>
      <c r="BN278" s="432" t="s">
        <v>129</v>
      </c>
      <c r="BO278" s="432"/>
      <c r="BP278" s="432"/>
      <c r="BQ278" s="432"/>
      <c r="BR278" s="432"/>
      <c r="BS278" s="432"/>
      <c r="BT278" s="432"/>
      <c r="CD278" s="444" t="s">
        <v>368</v>
      </c>
      <c r="CE278" s="441"/>
      <c r="CF278" s="441"/>
      <c r="CG278" s="441"/>
      <c r="CH278" s="441"/>
      <c r="CI278" s="441"/>
      <c r="CJ278" s="441"/>
      <c r="CM278" s="444" t="s">
        <v>366</v>
      </c>
      <c r="CN278" s="441"/>
      <c r="CO278" s="441"/>
      <c r="CP278" s="441"/>
      <c r="CQ278" s="441"/>
      <c r="CR278" s="441"/>
      <c r="CS278" s="441"/>
    </row>
    <row r="279" spans="57:97" ht="15" hidden="1" x14ac:dyDescent="0.25">
      <c r="BE279" s="432">
        <v>211</v>
      </c>
      <c r="BF279" s="432"/>
      <c r="BG279" s="432"/>
      <c r="BH279" s="216">
        <f>BH278-BH280</f>
        <v>9262.672811059907</v>
      </c>
      <c r="BI279" s="435">
        <f>BH279*0.2</f>
        <v>1852.5345622119814</v>
      </c>
      <c r="BJ279" s="435"/>
      <c r="BK279" s="435"/>
      <c r="BL279" s="435"/>
      <c r="BM279" s="435"/>
      <c r="BN279" s="436">
        <f>BH279-BI279</f>
        <v>7410.1382488479258</v>
      </c>
      <c r="BO279" s="445"/>
      <c r="BP279" s="445"/>
      <c r="BQ279" s="445"/>
      <c r="BR279" s="445"/>
      <c r="BS279" s="445"/>
      <c r="BT279" s="445"/>
      <c r="CD279" s="437">
        <f>BI279*15/20</f>
        <v>1389.4009216589861</v>
      </c>
      <c r="CE279" s="446"/>
      <c r="CF279" s="446"/>
      <c r="CG279" s="446"/>
      <c r="CH279" s="446"/>
      <c r="CI279" s="446"/>
      <c r="CJ279" s="446"/>
      <c r="CM279" s="437">
        <f>BI279*5/20</f>
        <v>463.13364055299536</v>
      </c>
      <c r="CN279" s="446"/>
      <c r="CO279" s="446"/>
      <c r="CP279" s="446"/>
      <c r="CQ279" s="446"/>
      <c r="CR279" s="446"/>
      <c r="CS279" s="446"/>
    </row>
    <row r="280" spans="57:97" ht="12" hidden="1" x14ac:dyDescent="0.2">
      <c r="BE280" s="432">
        <v>213</v>
      </c>
      <c r="BF280" s="432"/>
      <c r="BG280" s="432"/>
      <c r="BH280" s="216">
        <f>BH278*30.2/130.2</f>
        <v>2797.3271889400926</v>
      </c>
      <c r="BI280" s="435">
        <f>BI279*30.2%</f>
        <v>559.46543778801833</v>
      </c>
      <c r="BJ280" s="435"/>
      <c r="BK280" s="435"/>
      <c r="BL280" s="435"/>
      <c r="BM280" s="435"/>
      <c r="BN280" s="435">
        <f>BN279*30.2%</f>
        <v>2237.8617511520733</v>
      </c>
      <c r="BO280" s="435"/>
      <c r="BP280" s="435"/>
      <c r="BQ280" s="435"/>
      <c r="BR280" s="435"/>
      <c r="BS280" s="435"/>
      <c r="BT280" s="435"/>
    </row>
    <row r="281" spans="57:97" ht="8.25" hidden="1" customHeight="1" x14ac:dyDescent="0.2"/>
    <row r="282" spans="57:97" ht="8.25" hidden="1" customHeight="1" x14ac:dyDescent="0.2"/>
    <row r="283" spans="57:97" ht="12" hidden="1" x14ac:dyDescent="0.2">
      <c r="BE283" s="432" t="s">
        <v>470</v>
      </c>
      <c r="BF283" s="432"/>
      <c r="BG283" s="432"/>
      <c r="BH283" s="432"/>
      <c r="BI283" s="432"/>
      <c r="BJ283" s="432"/>
      <c r="BK283" s="432"/>
      <c r="BL283" s="432"/>
      <c r="BM283" s="432"/>
      <c r="BN283" s="432"/>
      <c r="BO283" s="432"/>
      <c r="BP283" s="432"/>
      <c r="BQ283" s="432"/>
      <c r="BR283" s="432"/>
      <c r="BS283" s="432"/>
      <c r="BT283" s="432"/>
      <c r="BU283" s="432"/>
      <c r="BV283" s="432"/>
      <c r="BW283" s="432"/>
      <c r="BX283" s="432"/>
      <c r="BY283" s="432"/>
      <c r="BZ283" s="432"/>
      <c r="CA283" s="432"/>
    </row>
    <row r="284" spans="57:97" ht="12" hidden="1" x14ac:dyDescent="0.2">
      <c r="BE284" s="432" t="s">
        <v>126</v>
      </c>
      <c r="BF284" s="432"/>
      <c r="BG284" s="432"/>
      <c r="BH284" s="433">
        <f>300*286</f>
        <v>85800</v>
      </c>
      <c r="BI284" s="433"/>
      <c r="BJ284" s="433"/>
      <c r="BK284" s="433"/>
      <c r="BL284" s="433"/>
      <c r="BM284" s="291" t="s">
        <v>127</v>
      </c>
      <c r="BN284" s="291"/>
      <c r="BO284" s="291"/>
      <c r="BP284" s="291"/>
      <c r="BQ284" s="291"/>
      <c r="BR284" s="291"/>
      <c r="BS284" s="291"/>
      <c r="BT284" s="291"/>
    </row>
    <row r="285" spans="57:97" ht="15" hidden="1" x14ac:dyDescent="0.25">
      <c r="BE285" s="434">
        <v>0.6</v>
      </c>
      <c r="BF285" s="432"/>
      <c r="BG285" s="432"/>
      <c r="BH285" s="216">
        <f>BH284*BE285</f>
        <v>51480</v>
      </c>
      <c r="BI285" s="432" t="s">
        <v>128</v>
      </c>
      <c r="BJ285" s="432"/>
      <c r="BK285" s="432"/>
      <c r="BL285" s="432"/>
      <c r="BM285" s="432"/>
      <c r="BN285" s="432" t="s">
        <v>129</v>
      </c>
      <c r="BO285" s="432"/>
      <c r="BP285" s="432"/>
      <c r="BQ285" s="432"/>
      <c r="BR285" s="432"/>
      <c r="BS285" s="432"/>
      <c r="BT285" s="432"/>
      <c r="CD285" s="444" t="s">
        <v>368</v>
      </c>
      <c r="CE285" s="441"/>
      <c r="CF285" s="441"/>
      <c r="CG285" s="441"/>
      <c r="CH285" s="441"/>
      <c r="CI285" s="441"/>
      <c r="CJ285" s="441"/>
      <c r="CM285" s="444" t="s">
        <v>366</v>
      </c>
      <c r="CN285" s="441"/>
      <c r="CO285" s="441"/>
      <c r="CP285" s="441"/>
      <c r="CQ285" s="441"/>
      <c r="CR285" s="441"/>
      <c r="CS285" s="441"/>
    </row>
    <row r="286" spans="57:97" ht="15" hidden="1" x14ac:dyDescent="0.25">
      <c r="BE286" s="432">
        <v>211</v>
      </c>
      <c r="BF286" s="432"/>
      <c r="BG286" s="432"/>
      <c r="BH286" s="216">
        <f>BH285-BH287</f>
        <v>39539.170506912444</v>
      </c>
      <c r="BI286" s="435">
        <f>BH286*0.2</f>
        <v>7907.8341013824893</v>
      </c>
      <c r="BJ286" s="435"/>
      <c r="BK286" s="435"/>
      <c r="BL286" s="435"/>
      <c r="BM286" s="435"/>
      <c r="BN286" s="436">
        <f>BH286-BI286</f>
        <v>31631.336405529953</v>
      </c>
      <c r="BO286" s="445"/>
      <c r="BP286" s="445"/>
      <c r="BQ286" s="445"/>
      <c r="BR286" s="445"/>
      <c r="BS286" s="445"/>
      <c r="BT286" s="445"/>
      <c r="CD286" s="437">
        <f>BI286*15/20</f>
        <v>5930.8755760368676</v>
      </c>
      <c r="CE286" s="446"/>
      <c r="CF286" s="446"/>
      <c r="CG286" s="446"/>
      <c r="CH286" s="446"/>
      <c r="CI286" s="446"/>
      <c r="CJ286" s="446"/>
      <c r="CM286" s="437">
        <f>BI286*5/20</f>
        <v>1976.9585253456221</v>
      </c>
      <c r="CN286" s="446"/>
      <c r="CO286" s="446"/>
      <c r="CP286" s="446"/>
      <c r="CQ286" s="446"/>
      <c r="CR286" s="446"/>
      <c r="CS286" s="446"/>
    </row>
    <row r="287" spans="57:97" ht="12" hidden="1" x14ac:dyDescent="0.2">
      <c r="BE287" s="432">
        <v>213</v>
      </c>
      <c r="BF287" s="432"/>
      <c r="BG287" s="432"/>
      <c r="BH287" s="216">
        <f>BH285*30.2/130.2</f>
        <v>11940.829493087558</v>
      </c>
      <c r="BI287" s="435">
        <f>BI286*30.2%</f>
        <v>2388.1658986175116</v>
      </c>
      <c r="BJ287" s="435"/>
      <c r="BK287" s="435"/>
      <c r="BL287" s="435"/>
      <c r="BM287" s="435"/>
      <c r="BN287" s="435">
        <f>BN286*30.2%</f>
        <v>9552.6635944700465</v>
      </c>
      <c r="BO287" s="435"/>
      <c r="BP287" s="435"/>
      <c r="BQ287" s="435"/>
      <c r="BR287" s="435"/>
      <c r="BS287" s="435"/>
      <c r="BT287" s="435"/>
    </row>
    <row r="288" spans="57:97" ht="8.25" hidden="1" customHeight="1" x14ac:dyDescent="0.2"/>
    <row r="289" spans="57:97" ht="8.25" hidden="1" customHeight="1" x14ac:dyDescent="0.2"/>
    <row r="290" spans="57:97" ht="12" hidden="1" x14ac:dyDescent="0.2">
      <c r="BE290" s="432" t="s">
        <v>473</v>
      </c>
      <c r="BF290" s="432"/>
      <c r="BG290" s="432"/>
      <c r="BH290" s="432"/>
      <c r="BI290" s="432"/>
      <c r="BJ290" s="432"/>
      <c r="BK290" s="432"/>
      <c r="BL290" s="432"/>
      <c r="BM290" s="432"/>
      <c r="BN290" s="432"/>
      <c r="BO290" s="432"/>
      <c r="BP290" s="432"/>
      <c r="BQ290" s="432"/>
      <c r="BR290" s="432"/>
      <c r="BS290" s="432"/>
      <c r="BT290" s="432"/>
      <c r="BU290" s="432"/>
      <c r="BV290" s="432"/>
      <c r="BW290" s="432"/>
      <c r="BX290" s="432"/>
      <c r="BY290" s="432"/>
      <c r="BZ290" s="432"/>
      <c r="CA290" s="432"/>
    </row>
    <row r="291" spans="57:97" ht="12" hidden="1" x14ac:dyDescent="0.2">
      <c r="BE291" s="432" t="s">
        <v>126</v>
      </c>
      <c r="BF291" s="432"/>
      <c r="BG291" s="432"/>
      <c r="BH291" s="433">
        <f>300*71</f>
        <v>21300</v>
      </c>
      <c r="BI291" s="433"/>
      <c r="BJ291" s="433"/>
      <c r="BK291" s="433"/>
      <c r="BL291" s="433"/>
      <c r="BM291" s="293" t="s">
        <v>127</v>
      </c>
      <c r="BN291" s="293"/>
      <c r="BO291" s="293"/>
      <c r="BP291" s="293"/>
      <c r="BQ291" s="293"/>
      <c r="BR291" s="293"/>
      <c r="BS291" s="293"/>
      <c r="BT291" s="293"/>
    </row>
    <row r="292" spans="57:97" ht="15" hidden="1" x14ac:dyDescent="0.25">
      <c r="BE292" s="434">
        <v>0.6</v>
      </c>
      <c r="BF292" s="432"/>
      <c r="BG292" s="432"/>
      <c r="BH292" s="216">
        <f>BH291*BE292</f>
        <v>12780</v>
      </c>
      <c r="BI292" s="432" t="s">
        <v>128</v>
      </c>
      <c r="BJ292" s="432"/>
      <c r="BK292" s="432"/>
      <c r="BL292" s="432"/>
      <c r="BM292" s="432"/>
      <c r="BN292" s="432" t="s">
        <v>129</v>
      </c>
      <c r="BO292" s="432"/>
      <c r="BP292" s="432"/>
      <c r="BQ292" s="432"/>
      <c r="BR292" s="432"/>
      <c r="BS292" s="432"/>
      <c r="BT292" s="432"/>
      <c r="CD292" s="444" t="s">
        <v>368</v>
      </c>
      <c r="CE292" s="441"/>
      <c r="CF292" s="441"/>
      <c r="CG292" s="441"/>
      <c r="CH292" s="441"/>
      <c r="CI292" s="441"/>
      <c r="CJ292" s="441"/>
      <c r="CM292" s="444" t="s">
        <v>366</v>
      </c>
      <c r="CN292" s="441"/>
      <c r="CO292" s="441"/>
      <c r="CP292" s="441"/>
      <c r="CQ292" s="441"/>
      <c r="CR292" s="441"/>
      <c r="CS292" s="441"/>
    </row>
    <row r="293" spans="57:97" ht="15" hidden="1" x14ac:dyDescent="0.25">
      <c r="BE293" s="432">
        <v>211</v>
      </c>
      <c r="BF293" s="432"/>
      <c r="BG293" s="432"/>
      <c r="BH293" s="216">
        <f>BH292-BH294</f>
        <v>9815.6682027649767</v>
      </c>
      <c r="BI293" s="435">
        <f>BH293*0.2</f>
        <v>1963.1336405529955</v>
      </c>
      <c r="BJ293" s="435"/>
      <c r="BK293" s="435"/>
      <c r="BL293" s="435"/>
      <c r="BM293" s="435"/>
      <c r="BN293" s="436">
        <f>BH293-BI293</f>
        <v>7852.5345622119812</v>
      </c>
      <c r="BO293" s="445"/>
      <c r="BP293" s="445"/>
      <c r="BQ293" s="445"/>
      <c r="BR293" s="445"/>
      <c r="BS293" s="445"/>
      <c r="BT293" s="445"/>
      <c r="CD293" s="437">
        <f>BI293*15/20</f>
        <v>1472.3502304147466</v>
      </c>
      <c r="CE293" s="446"/>
      <c r="CF293" s="446"/>
      <c r="CG293" s="446"/>
      <c r="CH293" s="446"/>
      <c r="CI293" s="446"/>
      <c r="CJ293" s="446"/>
      <c r="CM293" s="437">
        <f>BI293*5/20</f>
        <v>490.78341013824883</v>
      </c>
      <c r="CN293" s="446"/>
      <c r="CO293" s="446"/>
      <c r="CP293" s="446"/>
      <c r="CQ293" s="446"/>
      <c r="CR293" s="446"/>
      <c r="CS293" s="446"/>
    </row>
    <row r="294" spans="57:97" ht="12" hidden="1" x14ac:dyDescent="0.2">
      <c r="BE294" s="432">
        <v>213</v>
      </c>
      <c r="BF294" s="432"/>
      <c r="BG294" s="432"/>
      <c r="BH294" s="216">
        <f>BH292*30.2/130.2</f>
        <v>2964.3317972350233</v>
      </c>
      <c r="BI294" s="435">
        <f>BI293*30.2%</f>
        <v>592.86635944700458</v>
      </c>
      <c r="BJ294" s="435"/>
      <c r="BK294" s="435"/>
      <c r="BL294" s="435"/>
      <c r="BM294" s="435"/>
      <c r="BN294" s="435">
        <f>BN293*30.2%</f>
        <v>2371.4654377880183</v>
      </c>
      <c r="BO294" s="435"/>
      <c r="BP294" s="435"/>
      <c r="BQ294" s="435"/>
      <c r="BR294" s="435"/>
      <c r="BS294" s="435"/>
      <c r="BT294" s="435"/>
    </row>
    <row r="295" spans="57:97" ht="8.25" hidden="1" customHeight="1" x14ac:dyDescent="0.2"/>
    <row r="296" spans="57:97" ht="8.25" hidden="1" customHeight="1" x14ac:dyDescent="0.2"/>
    <row r="297" spans="57:97" ht="8.25" hidden="1" customHeight="1" x14ac:dyDescent="0.2"/>
    <row r="298" spans="57:97" ht="12" hidden="1" x14ac:dyDescent="0.2">
      <c r="BE298" s="432" t="s">
        <v>480</v>
      </c>
      <c r="BF298" s="432"/>
      <c r="BG298" s="432"/>
      <c r="BH298" s="432"/>
      <c r="BI298" s="432"/>
      <c r="BJ298" s="432"/>
      <c r="BK298" s="432"/>
      <c r="BL298" s="432"/>
      <c r="BM298" s="432"/>
      <c r="BN298" s="432"/>
      <c r="BO298" s="432"/>
      <c r="BP298" s="432"/>
      <c r="BQ298" s="432"/>
      <c r="BR298" s="432"/>
      <c r="BS298" s="432"/>
      <c r="BT298" s="432"/>
      <c r="BU298" s="432"/>
      <c r="BV298" s="432"/>
      <c r="BW298" s="432"/>
      <c r="BX298" s="432"/>
      <c r="BY298" s="432"/>
      <c r="BZ298" s="432"/>
      <c r="CA298" s="432"/>
    </row>
    <row r="299" spans="57:97" ht="12" hidden="1" x14ac:dyDescent="0.2">
      <c r="BE299" s="432" t="s">
        <v>126</v>
      </c>
      <c r="BF299" s="432"/>
      <c r="BG299" s="432"/>
      <c r="BH299" s="433">
        <f>300*77</f>
        <v>23100</v>
      </c>
      <c r="BI299" s="433"/>
      <c r="BJ299" s="433"/>
      <c r="BK299" s="433"/>
      <c r="BL299" s="433"/>
      <c r="BM299" s="295" t="s">
        <v>127</v>
      </c>
      <c r="BN299" s="295"/>
      <c r="BO299" s="295"/>
      <c r="BP299" s="295"/>
      <c r="BQ299" s="295"/>
      <c r="BR299" s="295"/>
      <c r="BS299" s="295"/>
      <c r="BT299" s="295"/>
    </row>
    <row r="300" spans="57:97" ht="15" hidden="1" x14ac:dyDescent="0.25">
      <c r="BE300" s="434">
        <v>0.6</v>
      </c>
      <c r="BF300" s="432"/>
      <c r="BG300" s="432"/>
      <c r="BH300" s="216">
        <f>BH299*BE300</f>
        <v>13860</v>
      </c>
      <c r="BI300" s="432" t="s">
        <v>128</v>
      </c>
      <c r="BJ300" s="432"/>
      <c r="BK300" s="432"/>
      <c r="BL300" s="432"/>
      <c r="BM300" s="432"/>
      <c r="BN300" s="432" t="s">
        <v>129</v>
      </c>
      <c r="BO300" s="432"/>
      <c r="BP300" s="432"/>
      <c r="BQ300" s="432"/>
      <c r="BR300" s="432"/>
      <c r="BS300" s="432"/>
      <c r="BT300" s="432"/>
      <c r="CD300" s="444" t="s">
        <v>368</v>
      </c>
      <c r="CE300" s="441"/>
      <c r="CF300" s="441"/>
      <c r="CG300" s="441"/>
      <c r="CH300" s="441"/>
      <c r="CI300" s="441"/>
      <c r="CJ300" s="441"/>
      <c r="CM300" s="444" t="s">
        <v>366</v>
      </c>
      <c r="CN300" s="441"/>
      <c r="CO300" s="441"/>
      <c r="CP300" s="441"/>
      <c r="CQ300" s="441"/>
      <c r="CR300" s="441"/>
      <c r="CS300" s="441"/>
    </row>
    <row r="301" spans="57:97" ht="15" hidden="1" x14ac:dyDescent="0.25">
      <c r="BE301" s="432">
        <v>211</v>
      </c>
      <c r="BF301" s="432"/>
      <c r="BG301" s="432"/>
      <c r="BH301" s="216">
        <f>BH300-BH302</f>
        <v>10645.16129032258</v>
      </c>
      <c r="BI301" s="435">
        <f>BH301*0.2</f>
        <v>2129.0322580645161</v>
      </c>
      <c r="BJ301" s="435"/>
      <c r="BK301" s="435"/>
      <c r="BL301" s="435"/>
      <c r="BM301" s="435"/>
      <c r="BN301" s="436">
        <f>BH301-BI301</f>
        <v>8516.1290322580644</v>
      </c>
      <c r="BO301" s="445"/>
      <c r="BP301" s="445"/>
      <c r="BQ301" s="445"/>
      <c r="BR301" s="445"/>
      <c r="BS301" s="445"/>
      <c r="BT301" s="445"/>
      <c r="CD301" s="437">
        <f>BI301*15/20</f>
        <v>1596.7741935483871</v>
      </c>
      <c r="CE301" s="446"/>
      <c r="CF301" s="446"/>
      <c r="CG301" s="446"/>
      <c r="CH301" s="446"/>
      <c r="CI301" s="446"/>
      <c r="CJ301" s="446"/>
      <c r="CM301" s="437">
        <f>BI301*5/20</f>
        <v>532.25806451612902</v>
      </c>
      <c r="CN301" s="446"/>
      <c r="CO301" s="446"/>
      <c r="CP301" s="446"/>
      <c r="CQ301" s="446"/>
      <c r="CR301" s="446"/>
      <c r="CS301" s="446"/>
    </row>
    <row r="302" spans="57:97" ht="12" hidden="1" x14ac:dyDescent="0.2">
      <c r="BE302" s="432">
        <v>213</v>
      </c>
      <c r="BF302" s="432"/>
      <c r="BG302" s="432"/>
      <c r="BH302" s="216">
        <f>BH300*30.2/130.2</f>
        <v>3214.8387096774195</v>
      </c>
      <c r="BI302" s="435">
        <f>BI301*30.2%</f>
        <v>642.96774193548379</v>
      </c>
      <c r="BJ302" s="435"/>
      <c r="BK302" s="435"/>
      <c r="BL302" s="435"/>
      <c r="BM302" s="435"/>
      <c r="BN302" s="435">
        <f>BN301*30.2%</f>
        <v>2571.8709677419351</v>
      </c>
      <c r="BO302" s="435"/>
      <c r="BP302" s="435"/>
      <c r="BQ302" s="435"/>
      <c r="BR302" s="435"/>
      <c r="BS302" s="435"/>
      <c r="BT302" s="435"/>
    </row>
    <row r="303" spans="57:97" ht="8.25" hidden="1" customHeight="1" x14ac:dyDescent="0.2"/>
    <row r="304" spans="57:97" ht="8.25" hidden="1" customHeight="1" x14ac:dyDescent="0.2"/>
    <row r="305" spans="57:97" ht="8.25" hidden="1" customHeight="1" x14ac:dyDescent="0.2"/>
    <row r="306" spans="57:97" ht="12" hidden="1" x14ac:dyDescent="0.2">
      <c r="BE306" s="432" t="s">
        <v>489</v>
      </c>
      <c r="BF306" s="432"/>
      <c r="BG306" s="432"/>
      <c r="BH306" s="432"/>
      <c r="BI306" s="432"/>
      <c r="BJ306" s="432"/>
      <c r="BK306" s="432"/>
      <c r="BL306" s="432"/>
      <c r="BM306" s="432"/>
      <c r="BN306" s="432"/>
      <c r="BO306" s="432"/>
      <c r="BP306" s="432"/>
      <c r="BQ306" s="432"/>
      <c r="BR306" s="432"/>
      <c r="BS306" s="432"/>
      <c r="BT306" s="432"/>
      <c r="BU306" s="432"/>
      <c r="BV306" s="432"/>
      <c r="BW306" s="432"/>
      <c r="BX306" s="432"/>
      <c r="BY306" s="432"/>
      <c r="BZ306" s="432"/>
      <c r="CA306" s="432"/>
    </row>
    <row r="307" spans="57:97" ht="12" hidden="1" x14ac:dyDescent="0.2">
      <c r="BE307" s="432" t="s">
        <v>126</v>
      </c>
      <c r="BF307" s="432"/>
      <c r="BG307" s="432"/>
      <c r="BH307" s="433">
        <f>300*67</f>
        <v>20100</v>
      </c>
      <c r="BI307" s="433"/>
      <c r="BJ307" s="433"/>
      <c r="BK307" s="433"/>
      <c r="BL307" s="433"/>
      <c r="BM307" s="297" t="s">
        <v>127</v>
      </c>
      <c r="BN307" s="297"/>
      <c r="BO307" s="297"/>
      <c r="BP307" s="297"/>
      <c r="BQ307" s="297"/>
      <c r="BR307" s="297"/>
      <c r="BS307" s="297"/>
      <c r="BT307" s="297"/>
    </row>
    <row r="308" spans="57:97" ht="15" hidden="1" x14ac:dyDescent="0.25">
      <c r="BE308" s="434">
        <v>0.6</v>
      </c>
      <c r="BF308" s="432"/>
      <c r="BG308" s="432"/>
      <c r="BH308" s="216">
        <f>BH307*BE308</f>
        <v>12060</v>
      </c>
      <c r="BI308" s="432" t="s">
        <v>128</v>
      </c>
      <c r="BJ308" s="432"/>
      <c r="BK308" s="432"/>
      <c r="BL308" s="432"/>
      <c r="BM308" s="432"/>
      <c r="BN308" s="432" t="s">
        <v>129</v>
      </c>
      <c r="BO308" s="432"/>
      <c r="BP308" s="432"/>
      <c r="BQ308" s="432"/>
      <c r="BR308" s="432"/>
      <c r="BS308" s="432"/>
      <c r="BT308" s="432"/>
      <c r="CD308" s="444" t="s">
        <v>368</v>
      </c>
      <c r="CE308" s="441"/>
      <c r="CF308" s="441"/>
      <c r="CG308" s="441"/>
      <c r="CH308" s="441"/>
      <c r="CI308" s="441"/>
      <c r="CJ308" s="441"/>
      <c r="CM308" s="444" t="s">
        <v>366</v>
      </c>
      <c r="CN308" s="441"/>
      <c r="CO308" s="441"/>
      <c r="CP308" s="441"/>
      <c r="CQ308" s="441"/>
      <c r="CR308" s="441"/>
      <c r="CS308" s="441"/>
    </row>
    <row r="309" spans="57:97" ht="15" hidden="1" x14ac:dyDescent="0.25">
      <c r="BE309" s="432">
        <v>211</v>
      </c>
      <c r="BF309" s="432"/>
      <c r="BG309" s="432"/>
      <c r="BH309" s="216">
        <f>BH308-BH310</f>
        <v>9262.672811059907</v>
      </c>
      <c r="BI309" s="435">
        <f>BH309*0.2</f>
        <v>1852.5345622119814</v>
      </c>
      <c r="BJ309" s="435"/>
      <c r="BK309" s="435"/>
      <c r="BL309" s="435"/>
      <c r="BM309" s="435"/>
      <c r="BN309" s="436">
        <f>BH309-BI309</f>
        <v>7410.1382488479258</v>
      </c>
      <c r="BO309" s="445"/>
      <c r="BP309" s="445"/>
      <c r="BQ309" s="445"/>
      <c r="BR309" s="445"/>
      <c r="BS309" s="445"/>
      <c r="BT309" s="445"/>
      <c r="CD309" s="437">
        <f>BI309*15/20</f>
        <v>1389.4009216589861</v>
      </c>
      <c r="CE309" s="446"/>
      <c r="CF309" s="446"/>
      <c r="CG309" s="446"/>
      <c r="CH309" s="446"/>
      <c r="CI309" s="446"/>
      <c r="CJ309" s="446"/>
      <c r="CM309" s="437">
        <f>BI309*5/20</f>
        <v>463.13364055299536</v>
      </c>
      <c r="CN309" s="446"/>
      <c r="CO309" s="446"/>
      <c r="CP309" s="446"/>
      <c r="CQ309" s="446"/>
      <c r="CR309" s="446"/>
      <c r="CS309" s="446"/>
    </row>
    <row r="310" spans="57:97" ht="12" hidden="1" x14ac:dyDescent="0.2">
      <c r="BE310" s="432">
        <v>213</v>
      </c>
      <c r="BF310" s="432"/>
      <c r="BG310" s="432"/>
      <c r="BH310" s="216">
        <f>BH308*30.2/130.2</f>
        <v>2797.3271889400926</v>
      </c>
      <c r="BI310" s="435">
        <f>BI309*30.2%</f>
        <v>559.46543778801833</v>
      </c>
      <c r="BJ310" s="435"/>
      <c r="BK310" s="435"/>
      <c r="BL310" s="435"/>
      <c r="BM310" s="435"/>
      <c r="BN310" s="435">
        <f>BN309*30.2%</f>
        <v>2237.8617511520733</v>
      </c>
      <c r="BO310" s="435"/>
      <c r="BP310" s="435"/>
      <c r="BQ310" s="435"/>
      <c r="BR310" s="435"/>
      <c r="BS310" s="435"/>
      <c r="BT310" s="435"/>
    </row>
    <row r="311" spans="57:97" ht="8.25" hidden="1" customHeight="1" x14ac:dyDescent="0.2"/>
    <row r="312" spans="57:97" ht="8.25" hidden="1" customHeight="1" x14ac:dyDescent="0.2"/>
    <row r="313" spans="57:97" ht="8.25" hidden="1" customHeight="1" x14ac:dyDescent="0.2"/>
    <row r="314" spans="57:97" ht="12" hidden="1" x14ac:dyDescent="0.2">
      <c r="BE314" s="432" t="s">
        <v>507</v>
      </c>
      <c r="BF314" s="432"/>
      <c r="BG314" s="432"/>
      <c r="BH314" s="432"/>
      <c r="BI314" s="432"/>
      <c r="BJ314" s="432"/>
      <c r="BK314" s="432"/>
      <c r="BL314" s="432"/>
      <c r="BM314" s="432"/>
      <c r="BN314" s="432"/>
      <c r="BO314" s="432"/>
      <c r="BP314" s="432"/>
      <c r="BQ314" s="432"/>
      <c r="BR314" s="432"/>
      <c r="BS314" s="432"/>
      <c r="BT314" s="432"/>
      <c r="BU314" s="432"/>
      <c r="BV314" s="432"/>
      <c r="BW314" s="432"/>
      <c r="BX314" s="432"/>
      <c r="BY314" s="432"/>
      <c r="BZ314" s="432"/>
      <c r="CA314" s="432"/>
    </row>
    <row r="315" spans="57:97" ht="12" hidden="1" x14ac:dyDescent="0.2">
      <c r="BE315" s="432" t="s">
        <v>126</v>
      </c>
      <c r="BF315" s="432"/>
      <c r="BG315" s="432"/>
      <c r="BH315" s="433">
        <f>300*110</f>
        <v>33000</v>
      </c>
      <c r="BI315" s="433"/>
      <c r="BJ315" s="433"/>
      <c r="BK315" s="433"/>
      <c r="BL315" s="433"/>
      <c r="BM315" s="301" t="s">
        <v>127</v>
      </c>
      <c r="BN315" s="301"/>
      <c r="BO315" s="301"/>
      <c r="BP315" s="301"/>
      <c r="BQ315" s="301"/>
      <c r="BR315" s="301"/>
      <c r="BS315" s="301"/>
      <c r="BT315" s="301"/>
    </row>
    <row r="316" spans="57:97" ht="15" hidden="1" x14ac:dyDescent="0.25">
      <c r="BE316" s="434">
        <v>0.6</v>
      </c>
      <c r="BF316" s="432"/>
      <c r="BG316" s="432"/>
      <c r="BH316" s="216">
        <f>BH315*BE316</f>
        <v>19800</v>
      </c>
      <c r="BI316" s="432" t="s">
        <v>128</v>
      </c>
      <c r="BJ316" s="432"/>
      <c r="BK316" s="432"/>
      <c r="BL316" s="432"/>
      <c r="BM316" s="432"/>
      <c r="BN316" s="432" t="s">
        <v>129</v>
      </c>
      <c r="BO316" s="432"/>
      <c r="BP316" s="432"/>
      <c r="BQ316" s="432"/>
      <c r="BR316" s="432"/>
      <c r="BS316" s="432"/>
      <c r="BT316" s="432"/>
      <c r="CD316" s="444" t="s">
        <v>368</v>
      </c>
      <c r="CE316" s="441"/>
      <c r="CF316" s="441"/>
      <c r="CG316" s="441"/>
      <c r="CH316" s="441"/>
      <c r="CI316" s="441"/>
      <c r="CJ316" s="441"/>
      <c r="CM316" s="444" t="s">
        <v>366</v>
      </c>
      <c r="CN316" s="441"/>
      <c r="CO316" s="441"/>
      <c r="CP316" s="441"/>
      <c r="CQ316" s="441"/>
      <c r="CR316" s="441"/>
      <c r="CS316" s="441"/>
    </row>
    <row r="317" spans="57:97" ht="15" hidden="1" x14ac:dyDescent="0.25">
      <c r="BE317" s="432">
        <v>211</v>
      </c>
      <c r="BF317" s="432"/>
      <c r="BG317" s="432"/>
      <c r="BH317" s="216">
        <f>BH316-BH318</f>
        <v>15207.373271889401</v>
      </c>
      <c r="BI317" s="435">
        <f>BH317*0.2</f>
        <v>3041.4746543778801</v>
      </c>
      <c r="BJ317" s="435"/>
      <c r="BK317" s="435"/>
      <c r="BL317" s="435"/>
      <c r="BM317" s="435"/>
      <c r="BN317" s="436">
        <f>BH317-BI317</f>
        <v>12165.898617511521</v>
      </c>
      <c r="BO317" s="445"/>
      <c r="BP317" s="445"/>
      <c r="BQ317" s="445"/>
      <c r="BR317" s="445"/>
      <c r="BS317" s="445"/>
      <c r="BT317" s="445"/>
      <c r="CD317" s="437">
        <f>BI317*15/20</f>
        <v>2281.1059907834101</v>
      </c>
      <c r="CE317" s="446"/>
      <c r="CF317" s="446"/>
      <c r="CG317" s="446"/>
      <c r="CH317" s="446"/>
      <c r="CI317" s="446"/>
      <c r="CJ317" s="446"/>
      <c r="CM317" s="437">
        <f>BI317*5/20</f>
        <v>760.36866359447004</v>
      </c>
      <c r="CN317" s="446"/>
      <c r="CO317" s="446"/>
      <c r="CP317" s="446"/>
      <c r="CQ317" s="446"/>
      <c r="CR317" s="446"/>
      <c r="CS317" s="446"/>
    </row>
    <row r="318" spans="57:97" ht="12" hidden="1" x14ac:dyDescent="0.2">
      <c r="BE318" s="432">
        <v>213</v>
      </c>
      <c r="BF318" s="432"/>
      <c r="BG318" s="432"/>
      <c r="BH318" s="216">
        <f>BH316*30.2/130.2</f>
        <v>4592.6267281105993</v>
      </c>
      <c r="BI318" s="435">
        <f>BI317*30.2%</f>
        <v>918.52534562211974</v>
      </c>
      <c r="BJ318" s="435"/>
      <c r="BK318" s="435"/>
      <c r="BL318" s="435"/>
      <c r="BM318" s="435"/>
      <c r="BN318" s="435">
        <f>BN317*30.2%</f>
        <v>3674.101382488479</v>
      </c>
      <c r="BO318" s="435"/>
      <c r="BP318" s="435"/>
      <c r="BQ318" s="435"/>
      <c r="BR318" s="435"/>
      <c r="BS318" s="435"/>
      <c r="BT318" s="435"/>
    </row>
    <row r="319" spans="57:97" ht="8.25" hidden="1" customHeight="1" x14ac:dyDescent="0.2"/>
    <row r="320" spans="57:97" ht="8.25" hidden="1" customHeight="1" x14ac:dyDescent="0.2"/>
    <row r="321" spans="57:97" ht="12" hidden="1" x14ac:dyDescent="0.2">
      <c r="BE321" s="432" t="s">
        <v>541</v>
      </c>
      <c r="BF321" s="432"/>
      <c r="BG321" s="432"/>
      <c r="BH321" s="432"/>
      <c r="BI321" s="432"/>
      <c r="BJ321" s="432"/>
      <c r="BK321" s="432"/>
      <c r="BL321" s="432"/>
      <c r="BM321" s="432"/>
      <c r="BN321" s="432"/>
      <c r="BO321" s="432"/>
      <c r="BP321" s="432"/>
      <c r="BQ321" s="432"/>
      <c r="BR321" s="432"/>
      <c r="BS321" s="432"/>
      <c r="BT321" s="432"/>
      <c r="BU321" s="432"/>
      <c r="BV321" s="432"/>
      <c r="BW321" s="432"/>
      <c r="BX321" s="432"/>
      <c r="BY321" s="432"/>
      <c r="BZ321" s="432"/>
      <c r="CA321" s="432"/>
    </row>
    <row r="322" spans="57:97" ht="12" hidden="1" x14ac:dyDescent="0.2">
      <c r="BE322" s="432" t="s">
        <v>126</v>
      </c>
      <c r="BF322" s="432"/>
      <c r="BG322" s="432"/>
      <c r="BH322" s="433">
        <f>300*43</f>
        <v>12900</v>
      </c>
      <c r="BI322" s="433"/>
      <c r="BJ322" s="433"/>
      <c r="BK322" s="433"/>
      <c r="BL322" s="433"/>
      <c r="BM322" s="304" t="s">
        <v>127</v>
      </c>
      <c r="BN322" s="304"/>
      <c r="BO322" s="304"/>
      <c r="BP322" s="304"/>
      <c r="BQ322" s="304"/>
      <c r="BR322" s="304"/>
      <c r="BS322" s="304"/>
      <c r="BT322" s="304"/>
    </row>
    <row r="323" spans="57:97" ht="15" hidden="1" x14ac:dyDescent="0.25">
      <c r="BE323" s="434">
        <v>0.6</v>
      </c>
      <c r="BF323" s="432"/>
      <c r="BG323" s="432"/>
      <c r="BH323" s="216">
        <f>BH322*BE323</f>
        <v>7740</v>
      </c>
      <c r="BI323" s="432" t="s">
        <v>128</v>
      </c>
      <c r="BJ323" s="432"/>
      <c r="BK323" s="432"/>
      <c r="BL323" s="432"/>
      <c r="BM323" s="432"/>
      <c r="BN323" s="432" t="s">
        <v>129</v>
      </c>
      <c r="BO323" s="432"/>
      <c r="BP323" s="432"/>
      <c r="BQ323" s="432"/>
      <c r="BR323" s="432"/>
      <c r="BS323" s="432"/>
      <c r="BT323" s="432"/>
      <c r="CD323" s="444" t="s">
        <v>368</v>
      </c>
      <c r="CE323" s="441"/>
      <c r="CF323" s="441"/>
      <c r="CG323" s="441"/>
      <c r="CH323" s="441"/>
      <c r="CI323" s="441"/>
      <c r="CJ323" s="441"/>
      <c r="CM323" s="444" t="s">
        <v>366</v>
      </c>
      <c r="CN323" s="441"/>
      <c r="CO323" s="441"/>
      <c r="CP323" s="441"/>
      <c r="CQ323" s="441"/>
      <c r="CR323" s="441"/>
      <c r="CS323" s="441"/>
    </row>
    <row r="324" spans="57:97" ht="15" hidden="1" x14ac:dyDescent="0.25">
      <c r="BE324" s="432">
        <v>211</v>
      </c>
      <c r="BF324" s="432"/>
      <c r="BG324" s="432"/>
      <c r="BH324" s="216">
        <f>BH323-BH325</f>
        <v>5944.7004608294928</v>
      </c>
      <c r="BI324" s="435">
        <f>BH324*0.2</f>
        <v>1188.9400921658987</v>
      </c>
      <c r="BJ324" s="435"/>
      <c r="BK324" s="435"/>
      <c r="BL324" s="435"/>
      <c r="BM324" s="435"/>
      <c r="BN324" s="436">
        <f>BH324-BI324</f>
        <v>4755.7603686635939</v>
      </c>
      <c r="BO324" s="445"/>
      <c r="BP324" s="445"/>
      <c r="BQ324" s="445"/>
      <c r="BR324" s="445"/>
      <c r="BS324" s="445"/>
      <c r="BT324" s="445"/>
      <c r="CD324" s="437">
        <f>BI324*15/20</f>
        <v>891.70506912442397</v>
      </c>
      <c r="CE324" s="446"/>
      <c r="CF324" s="446"/>
      <c r="CG324" s="446"/>
      <c r="CH324" s="446"/>
      <c r="CI324" s="446"/>
      <c r="CJ324" s="446"/>
      <c r="CM324" s="437">
        <f>BI324*5/20</f>
        <v>297.23502304147468</v>
      </c>
      <c r="CN324" s="446"/>
      <c r="CO324" s="446"/>
      <c r="CP324" s="446"/>
      <c r="CQ324" s="446"/>
      <c r="CR324" s="446"/>
      <c r="CS324" s="446"/>
    </row>
    <row r="325" spans="57:97" ht="12" hidden="1" x14ac:dyDescent="0.2">
      <c r="BE325" s="432">
        <v>213</v>
      </c>
      <c r="BF325" s="432"/>
      <c r="BG325" s="432"/>
      <c r="BH325" s="216">
        <f>BH323*30.2/130.2</f>
        <v>1795.2995391705072</v>
      </c>
      <c r="BI325" s="435">
        <f>BI324*30.2%</f>
        <v>359.05990783410141</v>
      </c>
      <c r="BJ325" s="435"/>
      <c r="BK325" s="435"/>
      <c r="BL325" s="435"/>
      <c r="BM325" s="435"/>
      <c r="BN325" s="435">
        <f>BN324*30.2%</f>
        <v>1436.2396313364054</v>
      </c>
      <c r="BO325" s="435"/>
      <c r="BP325" s="435"/>
      <c r="BQ325" s="435"/>
      <c r="BR325" s="435"/>
      <c r="BS325" s="435"/>
      <c r="BT325" s="435"/>
    </row>
    <row r="326" spans="57:97" ht="8.25" hidden="1" customHeight="1" x14ac:dyDescent="0.2"/>
    <row r="327" spans="57:97" ht="8.25" hidden="1" customHeight="1" x14ac:dyDescent="0.2"/>
    <row r="328" spans="57:97" ht="8.25" hidden="1" customHeight="1" x14ac:dyDescent="0.2"/>
    <row r="329" spans="57:97" ht="15" hidden="1" x14ac:dyDescent="0.25">
      <c r="CM329" s="778">
        <f>CM257+CM264+CM272+CM279+CM286+CM293+CM301+CM309+CM317+CM324</f>
        <v>6103.6866359447004</v>
      </c>
      <c r="CN329" s="779"/>
      <c r="CO329" s="779"/>
      <c r="CP329" s="779"/>
      <c r="CQ329" s="779"/>
      <c r="CR329" s="779"/>
    </row>
    <row r="330" spans="57:97" ht="12" hidden="1" x14ac:dyDescent="0.2">
      <c r="BE330" s="432" t="s">
        <v>559</v>
      </c>
      <c r="BF330" s="432"/>
      <c r="BG330" s="432"/>
      <c r="BH330" s="432"/>
      <c r="BI330" s="432"/>
      <c r="BJ330" s="432"/>
      <c r="BK330" s="432"/>
      <c r="BL330" s="432"/>
      <c r="BM330" s="432"/>
      <c r="BN330" s="432"/>
      <c r="BO330" s="432"/>
      <c r="BP330" s="432"/>
      <c r="BQ330" s="432"/>
      <c r="BR330" s="432"/>
      <c r="BS330" s="432"/>
      <c r="BT330" s="432"/>
      <c r="BU330" s="432"/>
      <c r="BV330" s="432"/>
      <c r="BW330" s="432"/>
      <c r="BX330" s="432"/>
      <c r="BY330" s="432"/>
      <c r="BZ330" s="432"/>
      <c r="CA330" s="432"/>
    </row>
    <row r="331" spans="57:97" ht="12" hidden="1" x14ac:dyDescent="0.2">
      <c r="BE331" s="432" t="s">
        <v>126</v>
      </c>
      <c r="BF331" s="432"/>
      <c r="BG331" s="432"/>
      <c r="BH331" s="433">
        <f>300*99</f>
        <v>29700</v>
      </c>
      <c r="BI331" s="433"/>
      <c r="BJ331" s="433"/>
      <c r="BK331" s="433"/>
      <c r="BL331" s="433"/>
      <c r="BM331" s="321" t="s">
        <v>127</v>
      </c>
      <c r="BN331" s="321"/>
      <c r="BO331" s="321"/>
      <c r="BP331" s="321"/>
      <c r="BQ331" s="321"/>
      <c r="BR331" s="321"/>
      <c r="BS331" s="321"/>
      <c r="BT331" s="321"/>
    </row>
    <row r="332" spans="57:97" ht="15" hidden="1" x14ac:dyDescent="0.25">
      <c r="BE332" s="434">
        <v>0.6</v>
      </c>
      <c r="BF332" s="432"/>
      <c r="BG332" s="432"/>
      <c r="BH332" s="216">
        <f>BH331*BE332</f>
        <v>17820</v>
      </c>
      <c r="BI332" s="432" t="s">
        <v>128</v>
      </c>
      <c r="BJ332" s="432"/>
      <c r="BK332" s="432"/>
      <c r="BL332" s="432"/>
      <c r="BM332" s="432"/>
      <c r="BN332" s="432" t="s">
        <v>129</v>
      </c>
      <c r="BO332" s="432"/>
      <c r="BP332" s="432"/>
      <c r="BQ332" s="432"/>
      <c r="BR332" s="432"/>
      <c r="BS332" s="432"/>
      <c r="BT332" s="432"/>
      <c r="CD332" s="444" t="s">
        <v>368</v>
      </c>
      <c r="CE332" s="441"/>
      <c r="CF332" s="441"/>
      <c r="CG332" s="441"/>
      <c r="CH332" s="441"/>
      <c r="CI332" s="441"/>
      <c r="CJ332" s="441"/>
      <c r="CM332" s="444" t="s">
        <v>366</v>
      </c>
      <c r="CN332" s="441"/>
      <c r="CO332" s="441"/>
      <c r="CP332" s="441"/>
      <c r="CQ332" s="441"/>
      <c r="CR332" s="441"/>
      <c r="CS332" s="441"/>
    </row>
    <row r="333" spans="57:97" ht="15" hidden="1" x14ac:dyDescent="0.25">
      <c r="BE333" s="432">
        <v>211</v>
      </c>
      <c r="BF333" s="432"/>
      <c r="BG333" s="432"/>
      <c r="BH333" s="216">
        <f>BH332-BH334</f>
        <v>13686.635944700462</v>
      </c>
      <c r="BI333" s="435">
        <f>BH333*0.2</f>
        <v>2737.3271889400926</v>
      </c>
      <c r="BJ333" s="435"/>
      <c r="BK333" s="435"/>
      <c r="BL333" s="435"/>
      <c r="BM333" s="435"/>
      <c r="BN333" s="436">
        <f>BH333-BI333</f>
        <v>10949.308755760369</v>
      </c>
      <c r="BO333" s="445"/>
      <c r="BP333" s="445"/>
      <c r="BQ333" s="445"/>
      <c r="BR333" s="445"/>
      <c r="BS333" s="445"/>
      <c r="BT333" s="445"/>
      <c r="CD333" s="437">
        <f>BI333*15/20</f>
        <v>2052.9953917050693</v>
      </c>
      <c r="CE333" s="446"/>
      <c r="CF333" s="446"/>
      <c r="CG333" s="446"/>
      <c r="CH333" s="446"/>
      <c r="CI333" s="446"/>
      <c r="CJ333" s="446"/>
      <c r="CM333" s="437">
        <f>BI333*5/20</f>
        <v>684.33179723502315</v>
      </c>
      <c r="CN333" s="446"/>
      <c r="CO333" s="446"/>
      <c r="CP333" s="446"/>
      <c r="CQ333" s="446"/>
      <c r="CR333" s="446"/>
      <c r="CS333" s="446"/>
    </row>
    <row r="334" spans="57:97" ht="12" hidden="1" x14ac:dyDescent="0.2">
      <c r="BE334" s="432">
        <v>213</v>
      </c>
      <c r="BF334" s="432"/>
      <c r="BG334" s="432"/>
      <c r="BH334" s="216">
        <f>BH332*30.2/130.2</f>
        <v>4133.3640552995394</v>
      </c>
      <c r="BI334" s="435">
        <f>BI333*30.2%</f>
        <v>826.67281105990799</v>
      </c>
      <c r="BJ334" s="435"/>
      <c r="BK334" s="435"/>
      <c r="BL334" s="435"/>
      <c r="BM334" s="435"/>
      <c r="BN334" s="435">
        <f>BN333*30.2%</f>
        <v>3306.691244239631</v>
      </c>
      <c r="BO334" s="435"/>
      <c r="BP334" s="435"/>
      <c r="BQ334" s="435"/>
      <c r="BR334" s="435"/>
      <c r="BS334" s="435"/>
      <c r="BT334" s="435"/>
    </row>
    <row r="335" spans="57:97" ht="12" hidden="1" x14ac:dyDescent="0.2"/>
    <row r="336" spans="57:97" ht="12" hidden="1" x14ac:dyDescent="0.2">
      <c r="BE336" s="432" t="s">
        <v>572</v>
      </c>
      <c r="BF336" s="432"/>
      <c r="BG336" s="432"/>
      <c r="BH336" s="432"/>
      <c r="BI336" s="432"/>
      <c r="BJ336" s="432"/>
      <c r="BK336" s="432"/>
      <c r="BL336" s="432"/>
      <c r="BM336" s="432"/>
      <c r="BN336" s="432"/>
      <c r="BO336" s="432"/>
      <c r="BP336" s="432"/>
      <c r="BQ336" s="432"/>
      <c r="BR336" s="432"/>
      <c r="BS336" s="432"/>
      <c r="BT336" s="432"/>
      <c r="BU336" s="432"/>
      <c r="BV336" s="432"/>
      <c r="BW336" s="432"/>
      <c r="BX336" s="432"/>
      <c r="BY336" s="432"/>
      <c r="BZ336" s="432"/>
      <c r="CA336" s="432"/>
    </row>
    <row r="337" spans="57:97" ht="12" hidden="1" x14ac:dyDescent="0.2">
      <c r="BE337" s="432" t="s">
        <v>126</v>
      </c>
      <c r="BF337" s="432"/>
      <c r="BG337" s="432"/>
      <c r="BH337" s="433">
        <f>300*143</f>
        <v>42900</v>
      </c>
      <c r="BI337" s="433"/>
      <c r="BJ337" s="433"/>
      <c r="BK337" s="433"/>
      <c r="BL337" s="433"/>
      <c r="BM337" s="324" t="s">
        <v>127</v>
      </c>
      <c r="BN337" s="324"/>
      <c r="BO337" s="324"/>
      <c r="BP337" s="324"/>
      <c r="BQ337" s="324"/>
      <c r="BR337" s="324"/>
      <c r="BS337" s="324"/>
      <c r="BT337" s="324"/>
    </row>
    <row r="338" spans="57:97" ht="15" hidden="1" x14ac:dyDescent="0.25">
      <c r="BE338" s="434">
        <v>0.6</v>
      </c>
      <c r="BF338" s="432"/>
      <c r="BG338" s="432"/>
      <c r="BH338" s="216">
        <f>BH337*BE338</f>
        <v>25740</v>
      </c>
      <c r="BI338" s="432" t="s">
        <v>128</v>
      </c>
      <c r="BJ338" s="432"/>
      <c r="BK338" s="432"/>
      <c r="BL338" s="432"/>
      <c r="BM338" s="432"/>
      <c r="BN338" s="432" t="s">
        <v>129</v>
      </c>
      <c r="BO338" s="432"/>
      <c r="BP338" s="432"/>
      <c r="BQ338" s="432"/>
      <c r="BR338" s="432"/>
      <c r="BS338" s="432"/>
      <c r="BT338" s="432"/>
      <c r="CD338" s="444" t="s">
        <v>368</v>
      </c>
      <c r="CE338" s="441"/>
      <c r="CF338" s="441"/>
      <c r="CG338" s="441"/>
      <c r="CH338" s="441"/>
      <c r="CI338" s="441"/>
      <c r="CJ338" s="441"/>
      <c r="CM338" s="444" t="s">
        <v>366</v>
      </c>
      <c r="CN338" s="441"/>
      <c r="CO338" s="441"/>
      <c r="CP338" s="441"/>
      <c r="CQ338" s="441"/>
      <c r="CR338" s="441"/>
      <c r="CS338" s="441"/>
    </row>
    <row r="339" spans="57:97" ht="15" hidden="1" x14ac:dyDescent="0.25">
      <c r="BE339" s="432">
        <v>211</v>
      </c>
      <c r="BF339" s="432"/>
      <c r="BG339" s="432"/>
      <c r="BH339" s="216">
        <f>BH338-BH340</f>
        <v>19769.585253456222</v>
      </c>
      <c r="BI339" s="435">
        <f>BH339*0.2</f>
        <v>3953.9170506912446</v>
      </c>
      <c r="BJ339" s="435"/>
      <c r="BK339" s="435"/>
      <c r="BL339" s="435"/>
      <c r="BM339" s="435"/>
      <c r="BN339" s="436">
        <f>BH339-BI339</f>
        <v>15815.668202764977</v>
      </c>
      <c r="BO339" s="445"/>
      <c r="BP339" s="445"/>
      <c r="BQ339" s="445"/>
      <c r="BR339" s="445"/>
      <c r="BS339" s="445"/>
      <c r="BT339" s="445"/>
      <c r="CD339" s="437">
        <f>BI339*15/20</f>
        <v>2965.4377880184338</v>
      </c>
      <c r="CE339" s="446"/>
      <c r="CF339" s="446"/>
      <c r="CG339" s="446"/>
      <c r="CH339" s="446"/>
      <c r="CI339" s="446"/>
      <c r="CJ339" s="446"/>
      <c r="CM339" s="437">
        <f>BI339*5/20</f>
        <v>988.47926267281105</v>
      </c>
      <c r="CN339" s="446"/>
      <c r="CO339" s="446"/>
      <c r="CP339" s="446"/>
      <c r="CQ339" s="446"/>
      <c r="CR339" s="446"/>
      <c r="CS339" s="446"/>
    </row>
    <row r="340" spans="57:97" ht="12" hidden="1" x14ac:dyDescent="0.2">
      <c r="BE340" s="432">
        <v>213</v>
      </c>
      <c r="BF340" s="432"/>
      <c r="BG340" s="432"/>
      <c r="BH340" s="216">
        <f>BH338*30.2/130.2</f>
        <v>5970.4147465437791</v>
      </c>
      <c r="BI340" s="435">
        <f>BI339*30.2%</f>
        <v>1194.0829493087558</v>
      </c>
      <c r="BJ340" s="435"/>
      <c r="BK340" s="435"/>
      <c r="BL340" s="435"/>
      <c r="BM340" s="435"/>
      <c r="BN340" s="435">
        <f>BN339*30.2%</f>
        <v>4776.3317972350233</v>
      </c>
      <c r="BO340" s="435"/>
      <c r="BP340" s="435"/>
      <c r="BQ340" s="435"/>
      <c r="BR340" s="435"/>
      <c r="BS340" s="435"/>
      <c r="BT340" s="435"/>
    </row>
    <row r="341" spans="57:97" ht="8.25" hidden="1" customHeight="1" x14ac:dyDescent="0.2"/>
    <row r="342" spans="57:97" ht="8.25" hidden="1" customHeight="1" x14ac:dyDescent="0.2"/>
    <row r="343" spans="57:97" ht="12" hidden="1" x14ac:dyDescent="0.2">
      <c r="BE343" s="432" t="s">
        <v>594</v>
      </c>
      <c r="BF343" s="432"/>
      <c r="BG343" s="432"/>
      <c r="BH343" s="432"/>
      <c r="BI343" s="432"/>
      <c r="BJ343" s="432"/>
      <c r="BK343" s="432"/>
      <c r="BL343" s="432"/>
      <c r="BM343" s="432"/>
      <c r="BN343" s="432"/>
      <c r="BO343" s="432"/>
      <c r="BP343" s="432"/>
      <c r="BQ343" s="432"/>
      <c r="BR343" s="432"/>
      <c r="BS343" s="432"/>
      <c r="BT343" s="432"/>
      <c r="BU343" s="432"/>
      <c r="BV343" s="432"/>
      <c r="BW343" s="432"/>
      <c r="BX343" s="432"/>
      <c r="BY343" s="432"/>
      <c r="BZ343" s="432"/>
      <c r="CA343" s="432"/>
    </row>
    <row r="344" spans="57:97" ht="12" hidden="1" x14ac:dyDescent="0.2">
      <c r="BE344" s="432" t="s">
        <v>126</v>
      </c>
      <c r="BF344" s="432"/>
      <c r="BG344" s="432"/>
      <c r="BH344" s="433">
        <f>300*54</f>
        <v>16200</v>
      </c>
      <c r="BI344" s="433"/>
      <c r="BJ344" s="433"/>
      <c r="BK344" s="433"/>
      <c r="BL344" s="433"/>
      <c r="BM344" s="340" t="s">
        <v>127</v>
      </c>
      <c r="BN344" s="340"/>
      <c r="BO344" s="340"/>
      <c r="BP344" s="340"/>
      <c r="BQ344" s="340"/>
      <c r="BR344" s="340"/>
      <c r="BS344" s="340"/>
      <c r="BT344" s="340"/>
    </row>
    <row r="345" spans="57:97" ht="15" hidden="1" x14ac:dyDescent="0.25">
      <c r="BE345" s="434">
        <v>0.6</v>
      </c>
      <c r="BF345" s="432"/>
      <c r="BG345" s="432"/>
      <c r="BH345" s="216">
        <f>BH344*BE345</f>
        <v>9720</v>
      </c>
      <c r="BI345" s="432" t="s">
        <v>128</v>
      </c>
      <c r="BJ345" s="432"/>
      <c r="BK345" s="432"/>
      <c r="BL345" s="432"/>
      <c r="BM345" s="432"/>
      <c r="BN345" s="432" t="s">
        <v>129</v>
      </c>
      <c r="BO345" s="432"/>
      <c r="BP345" s="432"/>
      <c r="BQ345" s="432"/>
      <c r="BR345" s="432"/>
      <c r="BS345" s="432"/>
      <c r="BT345" s="432"/>
      <c r="CD345" s="444" t="s">
        <v>368</v>
      </c>
      <c r="CE345" s="441"/>
      <c r="CF345" s="441"/>
      <c r="CG345" s="441"/>
      <c r="CH345" s="441"/>
      <c r="CI345" s="441"/>
      <c r="CJ345" s="441"/>
      <c r="CM345" s="444" t="s">
        <v>366</v>
      </c>
      <c r="CN345" s="441"/>
      <c r="CO345" s="441"/>
      <c r="CP345" s="441"/>
      <c r="CQ345" s="441"/>
      <c r="CR345" s="441"/>
      <c r="CS345" s="441"/>
    </row>
    <row r="346" spans="57:97" ht="15" hidden="1" x14ac:dyDescent="0.25">
      <c r="BE346" s="432">
        <v>211</v>
      </c>
      <c r="BF346" s="432"/>
      <c r="BG346" s="432"/>
      <c r="BH346" s="216">
        <f>BH345-BH347</f>
        <v>7465.4377880184329</v>
      </c>
      <c r="BI346" s="435">
        <f>BH346*0.2</f>
        <v>1493.0875576036867</v>
      </c>
      <c r="BJ346" s="435"/>
      <c r="BK346" s="435"/>
      <c r="BL346" s="435"/>
      <c r="BM346" s="435"/>
      <c r="BN346" s="436">
        <f>BH346-BI346</f>
        <v>5972.350230414746</v>
      </c>
      <c r="BO346" s="445"/>
      <c r="BP346" s="445"/>
      <c r="BQ346" s="445"/>
      <c r="BR346" s="445"/>
      <c r="BS346" s="445"/>
      <c r="BT346" s="445"/>
      <c r="CD346" s="437">
        <f>BI346*15/20</f>
        <v>1119.8156682027652</v>
      </c>
      <c r="CE346" s="446"/>
      <c r="CF346" s="446"/>
      <c r="CG346" s="446"/>
      <c r="CH346" s="446"/>
      <c r="CI346" s="446"/>
      <c r="CJ346" s="446"/>
      <c r="CM346" s="437">
        <f>BI346*5/20</f>
        <v>373.27188940092168</v>
      </c>
      <c r="CN346" s="446"/>
      <c r="CO346" s="446"/>
      <c r="CP346" s="446"/>
      <c r="CQ346" s="446"/>
      <c r="CR346" s="446"/>
      <c r="CS346" s="446"/>
    </row>
    <row r="347" spans="57:97" ht="12" hidden="1" x14ac:dyDescent="0.2">
      <c r="BE347" s="432">
        <v>213</v>
      </c>
      <c r="BF347" s="432"/>
      <c r="BG347" s="432"/>
      <c r="BH347" s="216">
        <f>BH345*30.2/130.2</f>
        <v>2254.5622119815671</v>
      </c>
      <c r="BI347" s="435">
        <f>BI346*30.2%</f>
        <v>450.91244239631339</v>
      </c>
      <c r="BJ347" s="435"/>
      <c r="BK347" s="435"/>
      <c r="BL347" s="435"/>
      <c r="BM347" s="435"/>
      <c r="BN347" s="435">
        <f>BN346*30.2%</f>
        <v>1803.6497695852531</v>
      </c>
      <c r="BO347" s="435"/>
      <c r="BP347" s="435"/>
      <c r="BQ347" s="435"/>
      <c r="BR347" s="435"/>
      <c r="BS347" s="435"/>
      <c r="BT347" s="435"/>
    </row>
    <row r="348" spans="57:97" ht="8.25" hidden="1" customHeight="1" x14ac:dyDescent="0.2"/>
    <row r="349" spans="57:97" ht="8.25" hidden="1" customHeight="1" x14ac:dyDescent="0.2"/>
    <row r="350" spans="57:97" ht="8.25" hidden="1" customHeight="1" x14ac:dyDescent="0.2"/>
    <row r="351" spans="57:97" ht="12" hidden="1" x14ac:dyDescent="0.2">
      <c r="BE351" s="432" t="s">
        <v>604</v>
      </c>
      <c r="BF351" s="432"/>
      <c r="BG351" s="432"/>
      <c r="BH351" s="432"/>
      <c r="BI351" s="432"/>
      <c r="BJ351" s="432"/>
      <c r="BK351" s="432"/>
      <c r="BL351" s="432"/>
      <c r="BM351" s="432"/>
      <c r="BN351" s="432"/>
      <c r="BO351" s="432"/>
      <c r="BP351" s="432"/>
      <c r="BQ351" s="432"/>
      <c r="BR351" s="432"/>
      <c r="BS351" s="432"/>
      <c r="BT351" s="432"/>
      <c r="BU351" s="432"/>
      <c r="BV351" s="432"/>
      <c r="BW351" s="432"/>
      <c r="BX351" s="432"/>
      <c r="BY351" s="432"/>
      <c r="BZ351" s="432"/>
      <c r="CA351" s="432"/>
    </row>
    <row r="352" spans="57:97" ht="12" hidden="1" x14ac:dyDescent="0.2">
      <c r="BE352" s="432" t="s">
        <v>126</v>
      </c>
      <c r="BF352" s="432"/>
      <c r="BG352" s="432"/>
      <c r="BH352" s="433">
        <f>300*25</f>
        <v>7500</v>
      </c>
      <c r="BI352" s="433"/>
      <c r="BJ352" s="433"/>
      <c r="BK352" s="433"/>
      <c r="BL352" s="433"/>
      <c r="BM352" s="348" t="s">
        <v>127</v>
      </c>
      <c r="BN352" s="348"/>
      <c r="BO352" s="348"/>
      <c r="BP352" s="348"/>
      <c r="BQ352" s="348"/>
      <c r="BR352" s="348"/>
      <c r="BS352" s="348"/>
      <c r="BT352" s="348"/>
    </row>
    <row r="353" spans="57:97" ht="15" hidden="1" x14ac:dyDescent="0.25">
      <c r="BE353" s="434">
        <v>0.6</v>
      </c>
      <c r="BF353" s="432"/>
      <c r="BG353" s="432"/>
      <c r="BH353" s="216">
        <f>BH352*BE353</f>
        <v>4500</v>
      </c>
      <c r="BI353" s="432" t="s">
        <v>128</v>
      </c>
      <c r="BJ353" s="432"/>
      <c r="BK353" s="432"/>
      <c r="BL353" s="432"/>
      <c r="BM353" s="432"/>
      <c r="BN353" s="432" t="s">
        <v>129</v>
      </c>
      <c r="BO353" s="432"/>
      <c r="BP353" s="432"/>
      <c r="BQ353" s="432"/>
      <c r="BR353" s="432"/>
      <c r="BS353" s="432"/>
      <c r="BT353" s="432"/>
      <c r="CD353" s="444" t="s">
        <v>368</v>
      </c>
      <c r="CE353" s="441"/>
      <c r="CF353" s="441"/>
      <c r="CG353" s="441"/>
      <c r="CH353" s="441"/>
      <c r="CI353" s="441"/>
      <c r="CJ353" s="441"/>
      <c r="CM353" s="444" t="s">
        <v>366</v>
      </c>
      <c r="CN353" s="441"/>
      <c r="CO353" s="441"/>
      <c r="CP353" s="441"/>
      <c r="CQ353" s="441"/>
      <c r="CR353" s="441"/>
      <c r="CS353" s="441"/>
    </row>
    <row r="354" spans="57:97" ht="15" hidden="1" x14ac:dyDescent="0.25">
      <c r="BE354" s="432">
        <v>211</v>
      </c>
      <c r="BF354" s="432"/>
      <c r="BG354" s="432"/>
      <c r="BH354" s="216">
        <f>BH353-BH355</f>
        <v>3456.221198156682</v>
      </c>
      <c r="BI354" s="435">
        <f>BH354*0.2</f>
        <v>691.24423963133643</v>
      </c>
      <c r="BJ354" s="435"/>
      <c r="BK354" s="435"/>
      <c r="BL354" s="435"/>
      <c r="BM354" s="435"/>
      <c r="BN354" s="436">
        <f>BH354-BI354</f>
        <v>2764.9769585253457</v>
      </c>
      <c r="BO354" s="445"/>
      <c r="BP354" s="445"/>
      <c r="BQ354" s="445"/>
      <c r="BR354" s="445"/>
      <c r="BS354" s="445"/>
      <c r="BT354" s="445"/>
      <c r="CD354" s="437">
        <f>BI354*15/20</f>
        <v>518.43317972350235</v>
      </c>
      <c r="CE354" s="446"/>
      <c r="CF354" s="446"/>
      <c r="CG354" s="446"/>
      <c r="CH354" s="446"/>
      <c r="CI354" s="446"/>
      <c r="CJ354" s="446"/>
      <c r="CM354" s="437">
        <f>BI354*5/20</f>
        <v>172.81105990783411</v>
      </c>
      <c r="CN354" s="446"/>
      <c r="CO354" s="446"/>
      <c r="CP354" s="446"/>
      <c r="CQ354" s="446"/>
      <c r="CR354" s="446"/>
      <c r="CS354" s="446"/>
    </row>
    <row r="355" spans="57:97" ht="12" hidden="1" x14ac:dyDescent="0.2">
      <c r="BE355" s="432">
        <v>213</v>
      </c>
      <c r="BF355" s="432"/>
      <c r="BG355" s="432"/>
      <c r="BH355" s="216">
        <f>BH353*30.2/130.2</f>
        <v>1043.778801843318</v>
      </c>
      <c r="BI355" s="435">
        <f>BI354*30.2%</f>
        <v>208.7557603686636</v>
      </c>
      <c r="BJ355" s="435"/>
      <c r="BK355" s="435"/>
      <c r="BL355" s="435"/>
      <c r="BM355" s="435"/>
      <c r="BN355" s="435">
        <f>BN354*30.2%</f>
        <v>835.02304147465441</v>
      </c>
      <c r="BO355" s="435"/>
      <c r="BP355" s="435"/>
      <c r="BQ355" s="435"/>
      <c r="BR355" s="435"/>
      <c r="BS355" s="435"/>
      <c r="BT355" s="435"/>
    </row>
    <row r="356" spans="57:97" ht="12" hidden="1" x14ac:dyDescent="0.2"/>
    <row r="357" spans="57:97" ht="8.25" hidden="1" customHeight="1" x14ac:dyDescent="0.2"/>
    <row r="358" spans="57:97" ht="12" hidden="1" x14ac:dyDescent="0.2">
      <c r="BE358" s="432" t="s">
        <v>635</v>
      </c>
      <c r="BF358" s="432"/>
      <c r="BG358" s="432"/>
      <c r="BH358" s="432"/>
      <c r="BI358" s="432"/>
      <c r="BJ358" s="432"/>
      <c r="BK358" s="432"/>
      <c r="BL358" s="432"/>
      <c r="BM358" s="432"/>
      <c r="BN358" s="432"/>
      <c r="BO358" s="432"/>
      <c r="BP358" s="432"/>
      <c r="BQ358" s="432"/>
      <c r="BR358" s="432"/>
      <c r="BS358" s="432"/>
      <c r="BT358" s="432"/>
      <c r="BU358" s="432"/>
      <c r="BV358" s="432"/>
      <c r="BW358" s="432"/>
      <c r="BX358" s="432"/>
      <c r="BY358" s="432"/>
      <c r="BZ358" s="432"/>
      <c r="CA358" s="432"/>
    </row>
    <row r="359" spans="57:97" ht="12" hidden="1" x14ac:dyDescent="0.2">
      <c r="BE359" s="432" t="s">
        <v>126</v>
      </c>
      <c r="BF359" s="432"/>
      <c r="BG359" s="432"/>
      <c r="BH359" s="433">
        <f>300*117</f>
        <v>35100</v>
      </c>
      <c r="BI359" s="433"/>
      <c r="BJ359" s="433"/>
      <c r="BK359" s="433"/>
      <c r="BL359" s="433"/>
      <c r="BM359" s="382" t="s">
        <v>127</v>
      </c>
      <c r="BN359" s="382"/>
      <c r="BO359" s="382"/>
      <c r="BP359" s="382"/>
      <c r="BQ359" s="382"/>
      <c r="BR359" s="382"/>
      <c r="BS359" s="382"/>
      <c r="BT359" s="382"/>
    </row>
    <row r="360" spans="57:97" ht="15" hidden="1" x14ac:dyDescent="0.25">
      <c r="BE360" s="434">
        <v>0.6</v>
      </c>
      <c r="BF360" s="432"/>
      <c r="BG360" s="432"/>
      <c r="BH360" s="216">
        <f>BH359*BE360</f>
        <v>21060</v>
      </c>
      <c r="BI360" s="432" t="s">
        <v>128</v>
      </c>
      <c r="BJ360" s="432"/>
      <c r="BK360" s="432"/>
      <c r="BL360" s="432"/>
      <c r="BM360" s="432"/>
      <c r="BN360" s="432" t="s">
        <v>129</v>
      </c>
      <c r="BO360" s="432"/>
      <c r="BP360" s="432"/>
      <c r="BQ360" s="432"/>
      <c r="BR360" s="432"/>
      <c r="BS360" s="432"/>
      <c r="BT360" s="432"/>
      <c r="CD360" s="444" t="s">
        <v>368</v>
      </c>
      <c r="CE360" s="441"/>
      <c r="CF360" s="441"/>
      <c r="CG360" s="441"/>
      <c r="CH360" s="441"/>
      <c r="CI360" s="441"/>
      <c r="CJ360" s="441"/>
      <c r="CM360" s="444" t="s">
        <v>366</v>
      </c>
      <c r="CN360" s="441"/>
      <c r="CO360" s="441"/>
      <c r="CP360" s="441"/>
      <c r="CQ360" s="441"/>
      <c r="CR360" s="441"/>
      <c r="CS360" s="441"/>
    </row>
    <row r="361" spans="57:97" ht="15" hidden="1" x14ac:dyDescent="0.25">
      <c r="BE361" s="432">
        <v>211</v>
      </c>
      <c r="BF361" s="432"/>
      <c r="BG361" s="432"/>
      <c r="BH361" s="216">
        <f>BH360-BH362</f>
        <v>16175.115207373272</v>
      </c>
      <c r="BI361" s="435">
        <f>BH361*0.2</f>
        <v>3235.0230414746547</v>
      </c>
      <c r="BJ361" s="435"/>
      <c r="BK361" s="435"/>
      <c r="BL361" s="435"/>
      <c r="BM361" s="435"/>
      <c r="BN361" s="436">
        <f>BH361-BI361</f>
        <v>12940.092165898617</v>
      </c>
      <c r="BO361" s="445"/>
      <c r="BP361" s="445"/>
      <c r="BQ361" s="445"/>
      <c r="BR361" s="445"/>
      <c r="BS361" s="445"/>
      <c r="BT361" s="445"/>
      <c r="CD361" s="437">
        <f>BI361*15/20</f>
        <v>2426.2672811059911</v>
      </c>
      <c r="CE361" s="446"/>
      <c r="CF361" s="446"/>
      <c r="CG361" s="446"/>
      <c r="CH361" s="446"/>
      <c r="CI361" s="446"/>
      <c r="CJ361" s="446"/>
      <c r="CM361" s="437">
        <f>BI361*5/20</f>
        <v>808.75576036866369</v>
      </c>
      <c r="CN361" s="446"/>
      <c r="CO361" s="446"/>
      <c r="CP361" s="446"/>
      <c r="CQ361" s="446"/>
      <c r="CR361" s="446"/>
      <c r="CS361" s="446"/>
    </row>
    <row r="362" spans="57:97" ht="12" hidden="1" x14ac:dyDescent="0.2">
      <c r="BE362" s="432">
        <v>213</v>
      </c>
      <c r="BF362" s="432"/>
      <c r="BG362" s="432"/>
      <c r="BH362" s="216">
        <f>BH360*30.2/130.2</f>
        <v>4884.8847926267281</v>
      </c>
      <c r="BI362" s="435">
        <f>BI361*30.2%</f>
        <v>976.97695852534571</v>
      </c>
      <c r="BJ362" s="435"/>
      <c r="BK362" s="435"/>
      <c r="BL362" s="435"/>
      <c r="BM362" s="435"/>
      <c r="BN362" s="435">
        <f>BN361*30.2%</f>
        <v>3907.9078341013824</v>
      </c>
      <c r="BO362" s="435"/>
      <c r="BP362" s="435"/>
      <c r="BQ362" s="435"/>
      <c r="BR362" s="435"/>
      <c r="BS362" s="435"/>
      <c r="BT362" s="435"/>
    </row>
    <row r="363" spans="57:97" ht="8.25" hidden="1" customHeight="1" x14ac:dyDescent="0.2"/>
    <row r="364" spans="57:97" ht="8.25" hidden="1" customHeight="1" x14ac:dyDescent="0.2"/>
    <row r="365" spans="57:97" ht="12" hidden="1" x14ac:dyDescent="0.2">
      <c r="BE365" s="432" t="s">
        <v>649</v>
      </c>
      <c r="BF365" s="432"/>
      <c r="BG365" s="432"/>
      <c r="BH365" s="432"/>
      <c r="BI365" s="432"/>
      <c r="BJ365" s="432"/>
      <c r="BK365" s="432"/>
      <c r="BL365" s="432"/>
      <c r="BM365" s="432"/>
      <c r="BN365" s="432"/>
      <c r="BO365" s="432"/>
      <c r="BP365" s="432"/>
      <c r="BQ365" s="432"/>
      <c r="BR365" s="432"/>
      <c r="BS365" s="432"/>
      <c r="BT365" s="432"/>
      <c r="BU365" s="432"/>
      <c r="BV365" s="432"/>
      <c r="BW365" s="432"/>
      <c r="BX365" s="432"/>
      <c r="BY365" s="432"/>
      <c r="BZ365" s="432"/>
      <c r="CA365" s="432"/>
    </row>
    <row r="366" spans="57:97" ht="12" hidden="1" x14ac:dyDescent="0.2">
      <c r="BE366" s="432" t="s">
        <v>126</v>
      </c>
      <c r="BF366" s="432"/>
      <c r="BG366" s="432"/>
      <c r="BH366" s="433">
        <f>300*103</f>
        <v>30900</v>
      </c>
      <c r="BI366" s="433"/>
      <c r="BJ366" s="433"/>
      <c r="BK366" s="433"/>
      <c r="BL366" s="433"/>
      <c r="BM366" s="385" t="s">
        <v>127</v>
      </c>
      <c r="BN366" s="385"/>
      <c r="BO366" s="385"/>
      <c r="BP366" s="385"/>
      <c r="BQ366" s="385"/>
      <c r="BR366" s="385"/>
      <c r="BS366" s="385"/>
      <c r="BT366" s="385"/>
    </row>
    <row r="367" spans="57:97" ht="15" hidden="1" x14ac:dyDescent="0.25">
      <c r="BE367" s="434">
        <v>0.6</v>
      </c>
      <c r="BF367" s="432"/>
      <c r="BG367" s="432"/>
      <c r="BH367" s="216">
        <f>BH366*BE367</f>
        <v>18540</v>
      </c>
      <c r="BI367" s="432" t="s">
        <v>128</v>
      </c>
      <c r="BJ367" s="432"/>
      <c r="BK367" s="432"/>
      <c r="BL367" s="432"/>
      <c r="BM367" s="432"/>
      <c r="BN367" s="432" t="s">
        <v>129</v>
      </c>
      <c r="BO367" s="432"/>
      <c r="BP367" s="432"/>
      <c r="BQ367" s="432"/>
      <c r="BR367" s="432"/>
      <c r="BS367" s="432"/>
      <c r="BT367" s="432"/>
      <c r="CD367" s="444" t="s">
        <v>368</v>
      </c>
      <c r="CE367" s="441"/>
      <c r="CF367" s="441"/>
      <c r="CG367" s="441"/>
      <c r="CH367" s="441"/>
      <c r="CI367" s="441"/>
      <c r="CJ367" s="441"/>
      <c r="CM367" s="444" t="s">
        <v>366</v>
      </c>
      <c r="CN367" s="441"/>
      <c r="CO367" s="441"/>
      <c r="CP367" s="441"/>
      <c r="CQ367" s="441"/>
      <c r="CR367" s="441"/>
      <c r="CS367" s="441"/>
    </row>
    <row r="368" spans="57:97" ht="15" hidden="1" x14ac:dyDescent="0.25">
      <c r="BE368" s="432">
        <v>211</v>
      </c>
      <c r="BF368" s="432"/>
      <c r="BG368" s="432"/>
      <c r="BH368" s="216">
        <f>BH367-BH369</f>
        <v>14239.63133640553</v>
      </c>
      <c r="BI368" s="435">
        <f>BH368*0.2</f>
        <v>2847.926267281106</v>
      </c>
      <c r="BJ368" s="435"/>
      <c r="BK368" s="435"/>
      <c r="BL368" s="435"/>
      <c r="BM368" s="435"/>
      <c r="BN368" s="436">
        <f>BH368-BI368</f>
        <v>11391.705069124424</v>
      </c>
      <c r="BO368" s="445"/>
      <c r="BP368" s="445"/>
      <c r="BQ368" s="445"/>
      <c r="BR368" s="445"/>
      <c r="BS368" s="445"/>
      <c r="BT368" s="445"/>
      <c r="CD368" s="437">
        <f>BI368*15/20</f>
        <v>2135.9447004608292</v>
      </c>
      <c r="CE368" s="446"/>
      <c r="CF368" s="446"/>
      <c r="CG368" s="446"/>
      <c r="CH368" s="446"/>
      <c r="CI368" s="446"/>
      <c r="CJ368" s="446"/>
      <c r="CM368" s="437">
        <f>BI368*5/20</f>
        <v>711.9815668202765</v>
      </c>
      <c r="CN368" s="446"/>
      <c r="CO368" s="446"/>
      <c r="CP368" s="446"/>
      <c r="CQ368" s="446"/>
      <c r="CR368" s="446"/>
      <c r="CS368" s="446"/>
    </row>
    <row r="369" spans="57:72" ht="12" hidden="1" x14ac:dyDescent="0.2">
      <c r="BE369" s="432">
        <v>213</v>
      </c>
      <c r="BF369" s="432"/>
      <c r="BG369" s="432"/>
      <c r="BH369" s="216">
        <f>BH367*30.2/130.2</f>
        <v>4300.3686635944705</v>
      </c>
      <c r="BI369" s="435">
        <f>BI368*30.2%</f>
        <v>860.07373271889401</v>
      </c>
      <c r="BJ369" s="435"/>
      <c r="BK369" s="435"/>
      <c r="BL369" s="435"/>
      <c r="BM369" s="435"/>
      <c r="BN369" s="435">
        <f>BN368*30.2%</f>
        <v>3440.294930875576</v>
      </c>
      <c r="BO369" s="435"/>
      <c r="BP369" s="435"/>
      <c r="BQ369" s="435"/>
      <c r="BR369" s="435"/>
      <c r="BS369" s="435"/>
      <c r="BT369" s="435"/>
    </row>
    <row r="370" spans="57:72" ht="8.25" hidden="1" customHeight="1" x14ac:dyDescent="0.2"/>
  </sheetData>
  <mergeCells count="831">
    <mergeCell ref="CD361:CJ361"/>
    <mergeCell ref="CM361:CS361"/>
    <mergeCell ref="CM345:CS345"/>
    <mergeCell ref="BE346:BG346"/>
    <mergeCell ref="BI346:BM346"/>
    <mergeCell ref="BN346:BT346"/>
    <mergeCell ref="CD346:CJ346"/>
    <mergeCell ref="CM346:CS346"/>
    <mergeCell ref="BE351:CA351"/>
    <mergeCell ref="BE352:BG352"/>
    <mergeCell ref="BH352:BL352"/>
    <mergeCell ref="BE353:BG353"/>
    <mergeCell ref="BI353:BM353"/>
    <mergeCell ref="BN353:BT353"/>
    <mergeCell ref="CD353:CJ353"/>
    <mergeCell ref="CD345:CJ345"/>
    <mergeCell ref="BE347:BG347"/>
    <mergeCell ref="BI347:BM347"/>
    <mergeCell ref="BN347:BT347"/>
    <mergeCell ref="BE358:CA358"/>
    <mergeCell ref="BE359:BG359"/>
    <mergeCell ref="BH359:BL359"/>
    <mergeCell ref="BE360:BG360"/>
    <mergeCell ref="BI360:BM360"/>
    <mergeCell ref="CD338:CJ338"/>
    <mergeCell ref="CM338:CS338"/>
    <mergeCell ref="BE339:BG339"/>
    <mergeCell ref="BI339:BM339"/>
    <mergeCell ref="BN339:BT339"/>
    <mergeCell ref="CD339:CJ339"/>
    <mergeCell ref="CM339:CS339"/>
    <mergeCell ref="CD360:CJ360"/>
    <mergeCell ref="CM360:CS360"/>
    <mergeCell ref="BN360:BT360"/>
    <mergeCell ref="BE340:BG340"/>
    <mergeCell ref="BI340:BM340"/>
    <mergeCell ref="BN340:BT340"/>
    <mergeCell ref="BE344:BG344"/>
    <mergeCell ref="BH344:BL344"/>
    <mergeCell ref="BE345:BG345"/>
    <mergeCell ref="BI345:BM345"/>
    <mergeCell ref="BN345:BT345"/>
    <mergeCell ref="CM353:CS353"/>
    <mergeCell ref="BE354:BG354"/>
    <mergeCell ref="BI354:BM354"/>
    <mergeCell ref="BN354:BT354"/>
    <mergeCell ref="CD354:CJ354"/>
    <mergeCell ref="CM354:CS354"/>
    <mergeCell ref="BE336:CA336"/>
    <mergeCell ref="BE337:BG337"/>
    <mergeCell ref="BH337:BL337"/>
    <mergeCell ref="BE338:BG338"/>
    <mergeCell ref="BE343:CA343"/>
    <mergeCell ref="BE330:CA330"/>
    <mergeCell ref="BE331:BG331"/>
    <mergeCell ref="BH331:BL331"/>
    <mergeCell ref="BE332:BG332"/>
    <mergeCell ref="BI332:BM332"/>
    <mergeCell ref="BN332:BT332"/>
    <mergeCell ref="BI338:BM338"/>
    <mergeCell ref="BN338:BT338"/>
    <mergeCell ref="BE334:BG334"/>
    <mergeCell ref="BI334:BM334"/>
    <mergeCell ref="BN334:BT334"/>
    <mergeCell ref="CD332:CJ332"/>
    <mergeCell ref="CM332:CS332"/>
    <mergeCell ref="BE333:BG333"/>
    <mergeCell ref="BI333:BM333"/>
    <mergeCell ref="BN333:BT333"/>
    <mergeCell ref="CD333:CJ333"/>
    <mergeCell ref="CM333:CS333"/>
    <mergeCell ref="CD263:CJ263"/>
    <mergeCell ref="CM263:CS263"/>
    <mergeCell ref="BE264:BG264"/>
    <mergeCell ref="BI264:BM264"/>
    <mergeCell ref="BN264:BT264"/>
    <mergeCell ref="CD264:CJ264"/>
    <mergeCell ref="BE325:BG325"/>
    <mergeCell ref="BI325:BM325"/>
    <mergeCell ref="BN325:BT325"/>
    <mergeCell ref="BE321:CA321"/>
    <mergeCell ref="BE322:BG322"/>
    <mergeCell ref="BH322:BL322"/>
    <mergeCell ref="BE323:BG323"/>
    <mergeCell ref="BI323:BM323"/>
    <mergeCell ref="BN323:BT323"/>
    <mergeCell ref="BI324:BM324"/>
    <mergeCell ref="BN324:BT324"/>
    <mergeCell ref="CM264:CS264"/>
    <mergeCell ref="CM278:CS278"/>
    <mergeCell ref="BE279:BG279"/>
    <mergeCell ref="BI279:BM279"/>
    <mergeCell ref="BN279:BT279"/>
    <mergeCell ref="CD279:CJ279"/>
    <mergeCell ref="CM279:CS279"/>
    <mergeCell ref="BE261:CA261"/>
    <mergeCell ref="BE262:BG262"/>
    <mergeCell ref="BH262:BL262"/>
    <mergeCell ref="BE263:BG263"/>
    <mergeCell ref="BI263:BM263"/>
    <mergeCell ref="BN263:BT263"/>
    <mergeCell ref="BE272:BG272"/>
    <mergeCell ref="BI272:BM272"/>
    <mergeCell ref="BN272:BT272"/>
    <mergeCell ref="BE265:BG265"/>
    <mergeCell ref="BI265:BM265"/>
    <mergeCell ref="BN265:BT265"/>
    <mergeCell ref="BE269:CA269"/>
    <mergeCell ref="BE270:BG270"/>
    <mergeCell ref="BH270:BL270"/>
    <mergeCell ref="BE271:BG271"/>
    <mergeCell ref="BI271:BM271"/>
    <mergeCell ref="BE225:BG225"/>
    <mergeCell ref="BI225:BM225"/>
    <mergeCell ref="BN225:BT225"/>
    <mergeCell ref="BE240:BG240"/>
    <mergeCell ref="BI240:BM240"/>
    <mergeCell ref="BN240:BT240"/>
    <mergeCell ref="BE243:CA243"/>
    <mergeCell ref="BE244:BG244"/>
    <mergeCell ref="BH244:BL244"/>
    <mergeCell ref="CD230:CJ230"/>
    <mergeCell ref="CM230:CS230"/>
    <mergeCell ref="CD231:CJ231"/>
    <mergeCell ref="CM231:CS231"/>
    <mergeCell ref="BE228:CA228"/>
    <mergeCell ref="BE229:BG229"/>
    <mergeCell ref="BH229:BL229"/>
    <mergeCell ref="BE230:BG230"/>
    <mergeCell ref="BI230:BM230"/>
    <mergeCell ref="BN230:BT230"/>
    <mergeCell ref="BE231:BG231"/>
    <mergeCell ref="BI231:BM231"/>
    <mergeCell ref="BN231:BT231"/>
    <mergeCell ref="BE221:CA221"/>
    <mergeCell ref="BE222:BG222"/>
    <mergeCell ref="BH222:BL222"/>
    <mergeCell ref="BE223:BG223"/>
    <mergeCell ref="BI223:BM223"/>
    <mergeCell ref="BN223:BT223"/>
    <mergeCell ref="BE224:BG224"/>
    <mergeCell ref="BI224:BM224"/>
    <mergeCell ref="BN224:BT224"/>
    <mergeCell ref="BE192:BG192"/>
    <mergeCell ref="BI192:BM192"/>
    <mergeCell ref="BN192:BT192"/>
    <mergeCell ref="BE188:CA188"/>
    <mergeCell ref="BE189:BG189"/>
    <mergeCell ref="BH189:BL189"/>
    <mergeCell ref="BE190:BG190"/>
    <mergeCell ref="BI190:BM190"/>
    <mergeCell ref="BN190:BT190"/>
    <mergeCell ref="BE191:BG191"/>
    <mergeCell ref="BI191:BM191"/>
    <mergeCell ref="BN191:BT191"/>
    <mergeCell ref="BE185:BG185"/>
    <mergeCell ref="BI185:BM185"/>
    <mergeCell ref="BN185:BT185"/>
    <mergeCell ref="BE181:CA181"/>
    <mergeCell ref="BE182:BG182"/>
    <mergeCell ref="BH182:BL182"/>
    <mergeCell ref="BE183:BG183"/>
    <mergeCell ref="BI183:BM183"/>
    <mergeCell ref="BN183:BT183"/>
    <mergeCell ref="BE184:BG184"/>
    <mergeCell ref="BI184:BM184"/>
    <mergeCell ref="BN184:BT184"/>
    <mergeCell ref="BE162:BG162"/>
    <mergeCell ref="BI162:BM162"/>
    <mergeCell ref="BN162:BT162"/>
    <mergeCell ref="BE178:BG178"/>
    <mergeCell ref="BI178:BM178"/>
    <mergeCell ref="BN178:BT178"/>
    <mergeCell ref="BE174:CA174"/>
    <mergeCell ref="BE175:BG175"/>
    <mergeCell ref="BH175:BL175"/>
    <mergeCell ref="BE176:BG176"/>
    <mergeCell ref="BI176:BM176"/>
    <mergeCell ref="BN176:BT176"/>
    <mergeCell ref="BE177:BG177"/>
    <mergeCell ref="BI177:BM177"/>
    <mergeCell ref="BN177:BT177"/>
    <mergeCell ref="BE155:BG155"/>
    <mergeCell ref="BI155:BM155"/>
    <mergeCell ref="BN155:BT155"/>
    <mergeCell ref="BE151:CA151"/>
    <mergeCell ref="BE153:BG153"/>
    <mergeCell ref="BE154:BG154"/>
    <mergeCell ref="BI154:BM154"/>
    <mergeCell ref="BN154:BT154"/>
    <mergeCell ref="BE152:CA152"/>
    <mergeCell ref="BH153:BL153"/>
    <mergeCell ref="BE139:BG139"/>
    <mergeCell ref="BI139:BM139"/>
    <mergeCell ref="BN139:BT139"/>
    <mergeCell ref="BE135:CA135"/>
    <mergeCell ref="BE136:BG136"/>
    <mergeCell ref="BH136:BL136"/>
    <mergeCell ref="BE137:BG137"/>
    <mergeCell ref="BI137:BM137"/>
    <mergeCell ref="BN137:BT137"/>
    <mergeCell ref="BE138:BG138"/>
    <mergeCell ref="BI138:BM138"/>
    <mergeCell ref="BN138:BT138"/>
    <mergeCell ref="A12:S12"/>
    <mergeCell ref="U12:W12"/>
    <mergeCell ref="A14:S14"/>
    <mergeCell ref="U14:W14"/>
    <mergeCell ref="A16:S16"/>
    <mergeCell ref="U16:W16"/>
    <mergeCell ref="A7:BA7"/>
    <mergeCell ref="A8:BA8"/>
    <mergeCell ref="C10:E10"/>
    <mergeCell ref="G10:L10"/>
    <mergeCell ref="N10:Q10"/>
    <mergeCell ref="AH10:AI10"/>
    <mergeCell ref="AJ10:AL10"/>
    <mergeCell ref="AN10:AT10"/>
    <mergeCell ref="AV10:AY10"/>
    <mergeCell ref="Y16:AA16"/>
    <mergeCell ref="U10:AG10"/>
    <mergeCell ref="AX19:BB19"/>
    <mergeCell ref="A20:G22"/>
    <mergeCell ref="H20:AB22"/>
    <mergeCell ref="AC20:AG22"/>
    <mergeCell ref="AH20:AM22"/>
    <mergeCell ref="AN20:AR22"/>
    <mergeCell ref="AS20:AW22"/>
    <mergeCell ref="AX20:BB22"/>
    <mergeCell ref="H34:M34"/>
    <mergeCell ref="AS34:AW34"/>
    <mergeCell ref="AX34:BB34"/>
    <mergeCell ref="AO35:AR35"/>
    <mergeCell ref="AS35:AW35"/>
    <mergeCell ref="AX35:BB35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H51:K51"/>
    <mergeCell ref="AS51:AW51"/>
    <mergeCell ref="AX51:BB51"/>
    <mergeCell ref="AO52:AR52"/>
    <mergeCell ref="AS52:AW52"/>
    <mergeCell ref="AX52:BB52"/>
    <mergeCell ref="AX37:BB39"/>
    <mergeCell ref="A40:BB40"/>
    <mergeCell ref="A41:G50"/>
    <mergeCell ref="H41:Y50"/>
    <mergeCell ref="Z41:AB50"/>
    <mergeCell ref="AC41:AG43"/>
    <mergeCell ref="AH41:AM43"/>
    <mergeCell ref="AN41:AR43"/>
    <mergeCell ref="AS41:AW43"/>
    <mergeCell ref="AX41:BB43"/>
    <mergeCell ref="A37:G39"/>
    <mergeCell ref="H37:AB39"/>
    <mergeCell ref="AC37:AG39"/>
    <mergeCell ref="AH37:AM39"/>
    <mergeCell ref="AN37:AR39"/>
    <mergeCell ref="AS37:AW39"/>
    <mergeCell ref="R59:V59"/>
    <mergeCell ref="Z61:AB61"/>
    <mergeCell ref="H61:X61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AX63:BB66"/>
    <mergeCell ref="AS67:AW67"/>
    <mergeCell ref="AX67:BB67"/>
    <mergeCell ref="N63:P63"/>
    <mergeCell ref="R63:V63"/>
    <mergeCell ref="H65:X65"/>
    <mergeCell ref="H63:M64"/>
    <mergeCell ref="A63:G66"/>
    <mergeCell ref="AC63:AG66"/>
    <mergeCell ref="AH63:AM66"/>
    <mergeCell ref="AN63:AR66"/>
    <mergeCell ref="AS63:AW66"/>
    <mergeCell ref="Z65:AB65"/>
    <mergeCell ref="AO68:AR68"/>
    <mergeCell ref="AS68:AW68"/>
    <mergeCell ref="AX68:BB68"/>
    <mergeCell ref="A70:N70"/>
    <mergeCell ref="O70:AN70"/>
    <mergeCell ref="AO70:AU70"/>
    <mergeCell ref="AV70:BB70"/>
    <mergeCell ref="AV76:BB76"/>
    <mergeCell ref="A77:P77"/>
    <mergeCell ref="Q77:W77"/>
    <mergeCell ref="X77:AD77"/>
    <mergeCell ref="AE77:AL77"/>
    <mergeCell ref="AM77:AU77"/>
    <mergeCell ref="AV77:BB77"/>
    <mergeCell ref="O71:AN71"/>
    <mergeCell ref="AO71:AU71"/>
    <mergeCell ref="AV71:BB71"/>
    <mergeCell ref="AO72:AU72"/>
    <mergeCell ref="AV72:BB72"/>
    <mergeCell ref="A76:P76"/>
    <mergeCell ref="Q76:W76"/>
    <mergeCell ref="X76:AD76"/>
    <mergeCell ref="AE76:AL76"/>
    <mergeCell ref="AM76:AU76"/>
    <mergeCell ref="AV79:BB79"/>
    <mergeCell ref="A80:P80"/>
    <mergeCell ref="AE80:AL80"/>
    <mergeCell ref="AN80:AP80"/>
    <mergeCell ref="AQ80:AT80"/>
    <mergeCell ref="AV80:BB80"/>
    <mergeCell ref="A78:P78"/>
    <mergeCell ref="Q78:W81"/>
    <mergeCell ref="X78:AD81"/>
    <mergeCell ref="AE78:AL78"/>
    <mergeCell ref="AM78:AU78"/>
    <mergeCell ref="AV78:BB78"/>
    <mergeCell ref="A79:P79"/>
    <mergeCell ref="AE79:AL79"/>
    <mergeCell ref="AN79:AP79"/>
    <mergeCell ref="AQ79:AT79"/>
    <mergeCell ref="A81:P81"/>
    <mergeCell ref="AE81:AL81"/>
    <mergeCell ref="AV81:BB81"/>
    <mergeCell ref="A82:P82"/>
    <mergeCell ref="Q82:W82"/>
    <mergeCell ref="X82:AD82"/>
    <mergeCell ref="AE82:AL82"/>
    <mergeCell ref="AM82:AU82"/>
    <mergeCell ref="AV82:BB82"/>
    <mergeCell ref="A86:Z86"/>
    <mergeCell ref="AA86:AF86"/>
    <mergeCell ref="AG86:AL86"/>
    <mergeCell ref="AM86:AT86"/>
    <mergeCell ref="AU86:BB86"/>
    <mergeCell ref="A87:Z87"/>
    <mergeCell ref="AA87:AF87"/>
    <mergeCell ref="AG87:AL87"/>
    <mergeCell ref="AM87:AT87"/>
    <mergeCell ref="AU87:BB87"/>
    <mergeCell ref="AU90:BB90"/>
    <mergeCell ref="A91:Z91"/>
    <mergeCell ref="AA91:AF91"/>
    <mergeCell ref="AU91:BB91"/>
    <mergeCell ref="A92:Z92"/>
    <mergeCell ref="AA92:AF92"/>
    <mergeCell ref="AU92:BB92"/>
    <mergeCell ref="A88:Z88"/>
    <mergeCell ref="AA88:AF88"/>
    <mergeCell ref="AG88:AL109"/>
    <mergeCell ref="AM88:AT109"/>
    <mergeCell ref="AU88:BB88"/>
    <mergeCell ref="A89:Z89"/>
    <mergeCell ref="AA89:AF89"/>
    <mergeCell ref="AU89:BB89"/>
    <mergeCell ref="A90:Z90"/>
    <mergeCell ref="AA90:AF90"/>
    <mergeCell ref="A95:Z95"/>
    <mergeCell ref="AA95:AF95"/>
    <mergeCell ref="AU95:BB95"/>
    <mergeCell ref="A96:Z96"/>
    <mergeCell ref="AA96:AF96"/>
    <mergeCell ref="AU96:BB96"/>
    <mergeCell ref="A93:Z93"/>
    <mergeCell ref="AA93:AF93"/>
    <mergeCell ref="AU93:BB93"/>
    <mergeCell ref="A94:Z94"/>
    <mergeCell ref="AA94:AF94"/>
    <mergeCell ref="AU94:BB94"/>
    <mergeCell ref="A99:Z99"/>
    <mergeCell ref="AA99:AF99"/>
    <mergeCell ref="AU99:BB99"/>
    <mergeCell ref="A100:Z100"/>
    <mergeCell ref="AA100:AF100"/>
    <mergeCell ref="AU100:BB100"/>
    <mergeCell ref="A97:Z97"/>
    <mergeCell ref="AA97:AF97"/>
    <mergeCell ref="AU97:BB97"/>
    <mergeCell ref="A98:Z98"/>
    <mergeCell ref="AA98:AF98"/>
    <mergeCell ref="AU98:BB98"/>
    <mergeCell ref="A103:Z103"/>
    <mergeCell ref="AA103:AF103"/>
    <mergeCell ref="AU103:BB103"/>
    <mergeCell ref="A104:Z104"/>
    <mergeCell ref="AA104:AF104"/>
    <mergeCell ref="AU104:BB104"/>
    <mergeCell ref="A101:Z101"/>
    <mergeCell ref="AA101:AF101"/>
    <mergeCell ref="AU101:BB101"/>
    <mergeCell ref="A102:Z102"/>
    <mergeCell ref="AA102:AF102"/>
    <mergeCell ref="AU102:BB102"/>
    <mergeCell ref="A108:Z108"/>
    <mergeCell ref="AA108:AF108"/>
    <mergeCell ref="AU108:BB108"/>
    <mergeCell ref="A109:Z109"/>
    <mergeCell ref="AA109:AF109"/>
    <mergeCell ref="AU109:BB109"/>
    <mergeCell ref="A106:Z106"/>
    <mergeCell ref="AA106:AF106"/>
    <mergeCell ref="AU106:BB106"/>
    <mergeCell ref="A107:Z107"/>
    <mergeCell ref="AA107:AF107"/>
    <mergeCell ref="AU107:BB107"/>
    <mergeCell ref="A110:Z110"/>
    <mergeCell ref="AA110:AF110"/>
    <mergeCell ref="AG110:AL110"/>
    <mergeCell ref="AM110:AT110"/>
    <mergeCell ref="AU110:BB110"/>
    <mergeCell ref="A114:Z114"/>
    <mergeCell ref="AA114:AF114"/>
    <mergeCell ref="AG114:AL114"/>
    <mergeCell ref="AM114:AT114"/>
    <mergeCell ref="AU114:BB114"/>
    <mergeCell ref="A117:Z117"/>
    <mergeCell ref="AA117:AF117"/>
    <mergeCell ref="AU117:BB117"/>
    <mergeCell ref="A118:Z118"/>
    <mergeCell ref="AA118:AF118"/>
    <mergeCell ref="AU118:BB118"/>
    <mergeCell ref="A115:Z115"/>
    <mergeCell ref="AA115:AF115"/>
    <mergeCell ref="AG115:AL115"/>
    <mergeCell ref="AM115:AT115"/>
    <mergeCell ref="AU115:BB115"/>
    <mergeCell ref="A116:Z116"/>
    <mergeCell ref="AA116:AF116"/>
    <mergeCell ref="AG116:AL121"/>
    <mergeCell ref="AM116:AT121"/>
    <mergeCell ref="AU116:BB116"/>
    <mergeCell ref="A121:Z121"/>
    <mergeCell ref="AA121:AF121"/>
    <mergeCell ref="AU121:BB121"/>
    <mergeCell ref="A122:Z122"/>
    <mergeCell ref="AA122:AF122"/>
    <mergeCell ref="AG122:AL122"/>
    <mergeCell ref="AM122:AT122"/>
    <mergeCell ref="AU122:BB122"/>
    <mergeCell ref="A119:Z119"/>
    <mergeCell ref="AA119:AF119"/>
    <mergeCell ref="AU119:BB119"/>
    <mergeCell ref="A120:Z120"/>
    <mergeCell ref="AA120:AF120"/>
    <mergeCell ref="AU120:BB120"/>
    <mergeCell ref="AD126:AP126"/>
    <mergeCell ref="AQ126:AT126"/>
    <mergeCell ref="AU126:AX126"/>
    <mergeCell ref="AY126:BB126"/>
    <mergeCell ref="H127:L127"/>
    <mergeCell ref="M127:Q127"/>
    <mergeCell ref="AD127:AI127"/>
    <mergeCell ref="AJ127:AP127"/>
    <mergeCell ref="AQ127:AT127"/>
    <mergeCell ref="AU127:AX127"/>
    <mergeCell ref="H126:L126"/>
    <mergeCell ref="M126:Q126"/>
    <mergeCell ref="R126:U127"/>
    <mergeCell ref="V126:Y127"/>
    <mergeCell ref="Z126:AC127"/>
    <mergeCell ref="AY127:BB127"/>
    <mergeCell ref="A128:G128"/>
    <mergeCell ref="H128:L128"/>
    <mergeCell ref="M128:Q128"/>
    <mergeCell ref="R128:U128"/>
    <mergeCell ref="V128:Y128"/>
    <mergeCell ref="Z128:AC128"/>
    <mergeCell ref="AD128:AI128"/>
    <mergeCell ref="AJ128:AP128"/>
    <mergeCell ref="AQ128:AT128"/>
    <mergeCell ref="A126:G127"/>
    <mergeCell ref="AU128:AX128"/>
    <mergeCell ref="AY128:BB128"/>
    <mergeCell ref="A129:G129"/>
    <mergeCell ref="H129:L129"/>
    <mergeCell ref="M129:Q129"/>
    <mergeCell ref="R129:U132"/>
    <mergeCell ref="V129:Y132"/>
    <mergeCell ref="Z129:AC132"/>
    <mergeCell ref="AD129:AI129"/>
    <mergeCell ref="AJ129:AP129"/>
    <mergeCell ref="AQ129:AT129"/>
    <mergeCell ref="AU129:AX129"/>
    <mergeCell ref="AY129:BB129"/>
    <mergeCell ref="A130:G130"/>
    <mergeCell ref="H130:L130"/>
    <mergeCell ref="M130:Q130"/>
    <mergeCell ref="AD130:AI130"/>
    <mergeCell ref="AJ130:AP130"/>
    <mergeCell ref="AQ130:AT130"/>
    <mergeCell ref="AU130:AX130"/>
    <mergeCell ref="AY130:BB130"/>
    <mergeCell ref="A131:G131"/>
    <mergeCell ref="H131:L131"/>
    <mergeCell ref="M131:Q131"/>
    <mergeCell ref="AD131:AI131"/>
    <mergeCell ref="AJ131:AP131"/>
    <mergeCell ref="AQ131:AT131"/>
    <mergeCell ref="AU131:AX131"/>
    <mergeCell ref="AY131:BB131"/>
    <mergeCell ref="AU132:AX132"/>
    <mergeCell ref="AY132:BB132"/>
    <mergeCell ref="A133:G133"/>
    <mergeCell ref="H133:L133"/>
    <mergeCell ref="M133:Q133"/>
    <mergeCell ref="R133:U133"/>
    <mergeCell ref="V133:Y133"/>
    <mergeCell ref="Z133:AC133"/>
    <mergeCell ref="AD133:AI133"/>
    <mergeCell ref="AJ133:AP133"/>
    <mergeCell ref="A132:G132"/>
    <mergeCell ref="H132:L132"/>
    <mergeCell ref="M132:Q132"/>
    <mergeCell ref="AD132:AI132"/>
    <mergeCell ref="AJ132:AP132"/>
    <mergeCell ref="AQ132:AT132"/>
    <mergeCell ref="AQ133:AT133"/>
    <mergeCell ref="AU133:AX133"/>
    <mergeCell ref="AY133:BB133"/>
    <mergeCell ref="A134:F134"/>
    <mergeCell ref="H134:L134"/>
    <mergeCell ref="M134:Q134"/>
    <mergeCell ref="R134:U134"/>
    <mergeCell ref="V134:Y134"/>
    <mergeCell ref="Z134:AC134"/>
    <mergeCell ref="AD134:AI134"/>
    <mergeCell ref="AJ134:AP134"/>
    <mergeCell ref="AQ134:AT134"/>
    <mergeCell ref="AU134:AX134"/>
    <mergeCell ref="AY134:BB134"/>
    <mergeCell ref="B139:S140"/>
    <mergeCell ref="AM139:BC140"/>
    <mergeCell ref="AD135:AI135"/>
    <mergeCell ref="AJ135:AP135"/>
    <mergeCell ref="AQ135:AT135"/>
    <mergeCell ref="AU135:AX135"/>
    <mergeCell ref="AY135:BB135"/>
    <mergeCell ref="BC136:BD136"/>
    <mergeCell ref="A135:G135"/>
    <mergeCell ref="H135:L135"/>
    <mergeCell ref="M135:Q135"/>
    <mergeCell ref="R135:U135"/>
    <mergeCell ref="V135:Y135"/>
    <mergeCell ref="Z135:AC135"/>
    <mergeCell ref="BC137:BD137"/>
    <mergeCell ref="B138:S138"/>
    <mergeCell ref="BC138:BD138"/>
    <mergeCell ref="AM138:BB138"/>
    <mergeCell ref="BE147:BG147"/>
    <mergeCell ref="BI147:BM147"/>
    <mergeCell ref="BN147:BT147"/>
    <mergeCell ref="BE143:CA143"/>
    <mergeCell ref="BE144:BG144"/>
    <mergeCell ref="BH144:BL144"/>
    <mergeCell ref="BE145:BG145"/>
    <mergeCell ref="BI145:BM145"/>
    <mergeCell ref="BN145:BT145"/>
    <mergeCell ref="BE146:BG146"/>
    <mergeCell ref="BI146:BM146"/>
    <mergeCell ref="BN146:BT146"/>
    <mergeCell ref="BE156:BG156"/>
    <mergeCell ref="BI156:BM156"/>
    <mergeCell ref="BN156:BT156"/>
    <mergeCell ref="BE171:BG171"/>
    <mergeCell ref="BI171:BM171"/>
    <mergeCell ref="BN171:BT171"/>
    <mergeCell ref="BE167:CA167"/>
    <mergeCell ref="BE168:BG168"/>
    <mergeCell ref="BH168:BL168"/>
    <mergeCell ref="BE169:BG169"/>
    <mergeCell ref="BI169:BM169"/>
    <mergeCell ref="BN169:BT169"/>
    <mergeCell ref="BE170:BG170"/>
    <mergeCell ref="BI170:BM170"/>
    <mergeCell ref="BN170:BT170"/>
    <mergeCell ref="BE163:BG163"/>
    <mergeCell ref="BI163:BM163"/>
    <mergeCell ref="BN163:BT163"/>
    <mergeCell ref="BE159:CA159"/>
    <mergeCell ref="BE160:BG160"/>
    <mergeCell ref="BH160:BL160"/>
    <mergeCell ref="BE161:BG161"/>
    <mergeCell ref="BI161:BM161"/>
    <mergeCell ref="BN161:BT161"/>
    <mergeCell ref="BE199:BG199"/>
    <mergeCell ref="BI199:BM199"/>
    <mergeCell ref="BN199:BT199"/>
    <mergeCell ref="BE195:CA195"/>
    <mergeCell ref="BE196:BG196"/>
    <mergeCell ref="BH196:BL196"/>
    <mergeCell ref="BE197:BG197"/>
    <mergeCell ref="BI197:BM197"/>
    <mergeCell ref="BN197:BT197"/>
    <mergeCell ref="BE198:BG198"/>
    <mergeCell ref="BI198:BM198"/>
    <mergeCell ref="BN198:BT198"/>
    <mergeCell ref="BE206:BG206"/>
    <mergeCell ref="BI206:BM206"/>
    <mergeCell ref="BN206:BT206"/>
    <mergeCell ref="BE202:CA202"/>
    <mergeCell ref="BE203:BG203"/>
    <mergeCell ref="BH203:BL203"/>
    <mergeCell ref="BE204:BG204"/>
    <mergeCell ref="BI204:BM204"/>
    <mergeCell ref="BN204:BT204"/>
    <mergeCell ref="BE205:BG205"/>
    <mergeCell ref="BI205:BM205"/>
    <mergeCell ref="BN205:BT205"/>
    <mergeCell ref="BE213:BG213"/>
    <mergeCell ref="BI213:BM213"/>
    <mergeCell ref="BN213:BT213"/>
    <mergeCell ref="BE209:CA209"/>
    <mergeCell ref="BE210:BG210"/>
    <mergeCell ref="BH210:BL210"/>
    <mergeCell ref="BE211:BG211"/>
    <mergeCell ref="BI211:BM211"/>
    <mergeCell ref="BN211:BT211"/>
    <mergeCell ref="BE212:BG212"/>
    <mergeCell ref="BI212:BM212"/>
    <mergeCell ref="BN212:BT212"/>
    <mergeCell ref="BE218:BG218"/>
    <mergeCell ref="BI218:BM218"/>
    <mergeCell ref="BN218:BT218"/>
    <mergeCell ref="BE214:CA214"/>
    <mergeCell ref="BE215:BG215"/>
    <mergeCell ref="BH215:BL215"/>
    <mergeCell ref="BE216:BG216"/>
    <mergeCell ref="BI216:BM216"/>
    <mergeCell ref="BN216:BT216"/>
    <mergeCell ref="BE217:BG217"/>
    <mergeCell ref="BI217:BM217"/>
    <mergeCell ref="BN217:BT217"/>
    <mergeCell ref="CM238:CS238"/>
    <mergeCell ref="BE239:BG239"/>
    <mergeCell ref="BI239:BM239"/>
    <mergeCell ref="BN239:BT239"/>
    <mergeCell ref="CD239:CJ239"/>
    <mergeCell ref="CM239:CS239"/>
    <mergeCell ref="BE232:BG232"/>
    <mergeCell ref="BI232:BM232"/>
    <mergeCell ref="BN232:BT232"/>
    <mergeCell ref="CD238:CJ238"/>
    <mergeCell ref="BE236:CA236"/>
    <mergeCell ref="BE237:BG237"/>
    <mergeCell ref="BH237:BL237"/>
    <mergeCell ref="BE238:BG238"/>
    <mergeCell ref="BI238:BM238"/>
    <mergeCell ref="BN238:BT238"/>
    <mergeCell ref="CD245:CJ245"/>
    <mergeCell ref="CM245:CS245"/>
    <mergeCell ref="BE246:BG246"/>
    <mergeCell ref="BI246:BM246"/>
    <mergeCell ref="BN246:BT246"/>
    <mergeCell ref="CD246:CJ246"/>
    <mergeCell ref="CM246:CS246"/>
    <mergeCell ref="CD256:CJ256"/>
    <mergeCell ref="CM256:CS256"/>
    <mergeCell ref="BE245:BG245"/>
    <mergeCell ref="BI245:BM245"/>
    <mergeCell ref="BN245:BT245"/>
    <mergeCell ref="CD257:CJ257"/>
    <mergeCell ref="CM257:CS257"/>
    <mergeCell ref="BE247:BG247"/>
    <mergeCell ref="BI247:BM247"/>
    <mergeCell ref="BN247:BT247"/>
    <mergeCell ref="BE258:BG258"/>
    <mergeCell ref="BI258:BM258"/>
    <mergeCell ref="BN258:BT258"/>
    <mergeCell ref="BE254:CA254"/>
    <mergeCell ref="BE255:BG255"/>
    <mergeCell ref="BH255:BL255"/>
    <mergeCell ref="BE256:BG256"/>
    <mergeCell ref="BI256:BM256"/>
    <mergeCell ref="BN256:BT256"/>
    <mergeCell ref="BE257:BG257"/>
    <mergeCell ref="BI257:BM257"/>
    <mergeCell ref="BN257:BT257"/>
    <mergeCell ref="CD271:CJ271"/>
    <mergeCell ref="CM271:CS271"/>
    <mergeCell ref="CD272:CJ272"/>
    <mergeCell ref="CM272:CS272"/>
    <mergeCell ref="BE273:BG273"/>
    <mergeCell ref="BE276:CA276"/>
    <mergeCell ref="BI273:BM273"/>
    <mergeCell ref="BN273:BT273"/>
    <mergeCell ref="BE283:CA283"/>
    <mergeCell ref="BN271:BT271"/>
    <mergeCell ref="BN280:BT280"/>
    <mergeCell ref="CM285:CS285"/>
    <mergeCell ref="BE286:BG286"/>
    <mergeCell ref="BI286:BM286"/>
    <mergeCell ref="BN286:BT286"/>
    <mergeCell ref="CD286:CJ286"/>
    <mergeCell ref="CM286:CS286"/>
    <mergeCell ref="CD292:CJ292"/>
    <mergeCell ref="CM292:CS292"/>
    <mergeCell ref="BI292:BM292"/>
    <mergeCell ref="BN292:BT292"/>
    <mergeCell ref="BE285:BG285"/>
    <mergeCell ref="BI285:BM285"/>
    <mergeCell ref="BN285:BT285"/>
    <mergeCell ref="BE287:BG287"/>
    <mergeCell ref="BI302:BM302"/>
    <mergeCell ref="BN302:BT302"/>
    <mergeCell ref="BE293:BG293"/>
    <mergeCell ref="BI293:BM293"/>
    <mergeCell ref="BN293:BT293"/>
    <mergeCell ref="CM300:CS300"/>
    <mergeCell ref="CM301:CS301"/>
    <mergeCell ref="BI287:BM287"/>
    <mergeCell ref="BN287:BT287"/>
    <mergeCell ref="BE294:BG294"/>
    <mergeCell ref="BI294:BM294"/>
    <mergeCell ref="BN294:BT294"/>
    <mergeCell ref="BE290:CA290"/>
    <mergeCell ref="BE291:BG291"/>
    <mergeCell ref="BH291:BL291"/>
    <mergeCell ref="BE292:BG292"/>
    <mergeCell ref="CD293:CJ293"/>
    <mergeCell ref="BE298:CA298"/>
    <mergeCell ref="BE299:BG299"/>
    <mergeCell ref="BH299:BL299"/>
    <mergeCell ref="BN300:BT300"/>
    <mergeCell ref="BE300:BG300"/>
    <mergeCell ref="CM293:CS293"/>
    <mergeCell ref="A105:Z105"/>
    <mergeCell ref="AA105:AF105"/>
    <mergeCell ref="AU105:BB105"/>
    <mergeCell ref="CD309:CJ309"/>
    <mergeCell ref="CD285:CJ285"/>
    <mergeCell ref="CD278:CJ278"/>
    <mergeCell ref="BE277:BG277"/>
    <mergeCell ref="BH277:BL277"/>
    <mergeCell ref="BE278:BG278"/>
    <mergeCell ref="BI278:BM278"/>
    <mergeCell ref="BN278:BT278"/>
    <mergeCell ref="CD300:CJ300"/>
    <mergeCell ref="BE301:BG301"/>
    <mergeCell ref="BI301:BM301"/>
    <mergeCell ref="BN301:BT301"/>
    <mergeCell ref="CD301:CJ301"/>
    <mergeCell ref="BI300:BM300"/>
    <mergeCell ref="CD308:CJ308"/>
    <mergeCell ref="BE306:CA306"/>
    <mergeCell ref="BE284:BG284"/>
    <mergeCell ref="BH284:BL284"/>
    <mergeCell ref="BE280:BG280"/>
    <mergeCell ref="BI280:BM280"/>
    <mergeCell ref="BE302:BG302"/>
    <mergeCell ref="BE307:BG307"/>
    <mergeCell ref="BE308:BG308"/>
    <mergeCell ref="BI308:BM308"/>
    <mergeCell ref="BN308:BT308"/>
    <mergeCell ref="BE309:BG309"/>
    <mergeCell ref="BI309:BM309"/>
    <mergeCell ref="BN309:BT309"/>
    <mergeCell ref="CD316:CJ316"/>
    <mergeCell ref="CM309:CS309"/>
    <mergeCell ref="CM308:CS308"/>
    <mergeCell ref="BH307:BL307"/>
    <mergeCell ref="BE315:BG315"/>
    <mergeCell ref="BH315:BL315"/>
    <mergeCell ref="BE316:BG316"/>
    <mergeCell ref="BI316:BM316"/>
    <mergeCell ref="BN316:BT316"/>
    <mergeCell ref="CD323:CJ323"/>
    <mergeCell ref="CM323:CS323"/>
    <mergeCell ref="BE324:BG324"/>
    <mergeCell ref="CD324:CJ324"/>
    <mergeCell ref="CM316:CS316"/>
    <mergeCell ref="CM324:CS324"/>
    <mergeCell ref="BE369:BG369"/>
    <mergeCell ref="BI369:BM369"/>
    <mergeCell ref="BN369:BT369"/>
    <mergeCell ref="BE355:BG355"/>
    <mergeCell ref="BI355:BM355"/>
    <mergeCell ref="BN355:BT355"/>
    <mergeCell ref="BE365:CA365"/>
    <mergeCell ref="BE366:BG366"/>
    <mergeCell ref="BH366:BL366"/>
    <mergeCell ref="BE367:BG367"/>
    <mergeCell ref="BI367:BM367"/>
    <mergeCell ref="BN367:BT367"/>
    <mergeCell ref="BE361:BG361"/>
    <mergeCell ref="BI361:BM361"/>
    <mergeCell ref="BN361:BT361"/>
    <mergeCell ref="BE362:BG362"/>
    <mergeCell ref="BI362:BM362"/>
    <mergeCell ref="BN362:BT362"/>
    <mergeCell ref="AQ2:AS2"/>
    <mergeCell ref="AT2:AU2"/>
    <mergeCell ref="AW2:BB2"/>
    <mergeCell ref="AW5:BC5"/>
    <mergeCell ref="CD367:CJ367"/>
    <mergeCell ref="CM367:CS367"/>
    <mergeCell ref="BE368:BG368"/>
    <mergeCell ref="BI368:BM368"/>
    <mergeCell ref="BN368:BT368"/>
    <mergeCell ref="CD368:CJ368"/>
    <mergeCell ref="CM368:CS368"/>
    <mergeCell ref="CM329:CR329"/>
    <mergeCell ref="BE317:BG317"/>
    <mergeCell ref="BI317:BM317"/>
    <mergeCell ref="BN317:BT317"/>
    <mergeCell ref="CD317:CJ317"/>
    <mergeCell ref="CM317:CS317"/>
    <mergeCell ref="BE310:BG310"/>
    <mergeCell ref="BI310:BM310"/>
    <mergeCell ref="BN310:BT310"/>
    <mergeCell ref="BE318:BG318"/>
    <mergeCell ref="BI318:BM318"/>
    <mergeCell ref="BN318:BT318"/>
    <mergeCell ref="BE314:CA314"/>
  </mergeCells>
  <pageMargins left="0" right="0" top="0" bottom="0" header="0.31496062992125984" footer="0.31496062992125984"/>
  <pageSetup paperSize="9" scale="73" fitToHeight="0" orientation="portrait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79998168889431442"/>
    <pageSetUpPr fitToPage="1"/>
  </sheetPr>
  <dimension ref="A1:CG247"/>
  <sheetViews>
    <sheetView topLeftCell="A213" zoomScale="90" zoomScaleNormal="90" workbookViewId="0">
      <selection activeCell="BR246" sqref="BR246:BW246"/>
    </sheetView>
  </sheetViews>
  <sheetFormatPr defaultColWidth="1.85546875" defaultRowHeight="8.25" customHeight="1" x14ac:dyDescent="0.2"/>
  <cols>
    <col min="1" max="6" width="1.85546875" style="117"/>
    <col min="7" max="7" width="6.85546875" style="117" customWidth="1"/>
    <col min="8" max="16" width="1.85546875" style="117"/>
    <col min="17" max="17" width="3.85546875" style="117" customWidth="1"/>
    <col min="18" max="20" width="1.85546875" style="117"/>
    <col min="21" max="21" width="4.42578125" style="117" customWidth="1"/>
    <col min="22" max="23" width="1.85546875" style="117"/>
    <col min="24" max="24" width="3.140625" style="117" customWidth="1"/>
    <col min="25" max="26" width="1.85546875" style="117"/>
    <col min="27" max="27" width="4.28515625" style="117" customWidth="1"/>
    <col min="28" max="31" width="1.85546875" style="117"/>
    <col min="32" max="32" width="2.7109375" style="117" customWidth="1"/>
    <col min="33" max="38" width="1.85546875" style="117"/>
    <col min="39" max="39" width="2" style="117" customWidth="1"/>
    <col min="40" max="44" width="1.85546875" style="117"/>
    <col min="45" max="45" width="5.85546875" style="117" customWidth="1"/>
    <col min="46" max="46" width="2.28515625" style="117" customWidth="1"/>
    <col min="47" max="47" width="1.85546875" style="117"/>
    <col min="48" max="48" width="8.5703125" style="117" customWidth="1"/>
    <col min="49" max="51" width="1.85546875" style="117"/>
    <col min="52" max="52" width="2.28515625" style="117" customWidth="1"/>
    <col min="53" max="53" width="1.85546875" style="117"/>
    <col min="54" max="54" width="4.42578125" style="117" customWidth="1"/>
    <col min="55" max="16384" width="1.85546875" style="117"/>
  </cols>
  <sheetData>
    <row r="1" spans="1:56" s="100" customFormat="1" ht="15" customHeight="1" x14ac:dyDescent="0.25">
      <c r="AV1" s="100" t="s">
        <v>83</v>
      </c>
    </row>
    <row r="2" spans="1:56" s="100" customFormat="1" ht="15" x14ac:dyDescent="0.25">
      <c r="AP2" s="915" t="s">
        <v>678</v>
      </c>
      <c r="AQ2" s="915"/>
      <c r="AR2" s="915"/>
      <c r="AS2" s="916"/>
      <c r="AT2" s="916"/>
      <c r="AU2" s="916"/>
      <c r="AV2" s="916"/>
      <c r="AW2" s="916"/>
      <c r="AX2" s="916"/>
      <c r="AY2" s="916"/>
      <c r="AZ2" s="916"/>
      <c r="BA2" s="916"/>
    </row>
    <row r="3" spans="1:56" s="100" customFormat="1" ht="15" customHeight="1" x14ac:dyDescent="0.25">
      <c r="AP3" s="100" t="s">
        <v>91</v>
      </c>
    </row>
    <row r="4" spans="1:56" s="100" customFormat="1" ht="5.0999999999999996" customHeight="1" x14ac:dyDescent="0.25"/>
    <row r="5" spans="1:56" s="100" customFormat="1" ht="15" customHeight="1" x14ac:dyDescent="0.25">
      <c r="AL5" s="157"/>
      <c r="AM5" s="157"/>
      <c r="AN5" s="157"/>
      <c r="AO5" s="157"/>
      <c r="AP5" s="156"/>
      <c r="AQ5" s="156"/>
      <c r="AR5" s="156"/>
      <c r="AS5" s="156"/>
      <c r="AT5" s="156"/>
      <c r="AU5" s="156"/>
      <c r="AV5" s="878" t="s">
        <v>222</v>
      </c>
      <c r="AW5" s="443"/>
      <c r="AX5" s="443"/>
      <c r="AY5" s="443"/>
      <c r="AZ5" s="443"/>
      <c r="BA5" s="443"/>
      <c r="BB5" s="443"/>
      <c r="BC5" s="392"/>
      <c r="BD5" s="392"/>
    </row>
    <row r="6" spans="1:56" s="100" customFormat="1" ht="9.9499999999999993" customHeight="1" x14ac:dyDescent="0.25">
      <c r="AK6" s="157"/>
      <c r="AL6" s="157"/>
      <c r="AM6" s="157"/>
      <c r="AN6" s="157"/>
      <c r="AO6" s="157"/>
      <c r="AP6" s="157"/>
      <c r="AQ6" s="157"/>
      <c r="AR6" s="157"/>
    </row>
    <row r="7" spans="1:56" s="100" customFormat="1" ht="15" customHeight="1" x14ac:dyDescent="0.25">
      <c r="A7" s="756" t="s">
        <v>0</v>
      </c>
      <c r="B7" s="756"/>
      <c r="C7" s="756"/>
      <c r="D7" s="756"/>
      <c r="E7" s="756"/>
      <c r="F7" s="756"/>
      <c r="G7" s="756"/>
      <c r="H7" s="756"/>
      <c r="I7" s="756"/>
      <c r="J7" s="756"/>
      <c r="K7" s="756"/>
      <c r="L7" s="756"/>
      <c r="M7" s="756"/>
      <c r="N7" s="756"/>
      <c r="O7" s="756"/>
      <c r="P7" s="756"/>
      <c r="Q7" s="756"/>
      <c r="R7" s="756"/>
      <c r="S7" s="756"/>
      <c r="T7" s="756"/>
      <c r="U7" s="756"/>
      <c r="V7" s="756"/>
      <c r="W7" s="756"/>
      <c r="X7" s="756"/>
      <c r="Y7" s="756"/>
      <c r="Z7" s="756"/>
      <c r="AA7" s="756"/>
      <c r="AB7" s="756"/>
      <c r="AC7" s="756"/>
      <c r="AD7" s="756"/>
      <c r="AE7" s="756"/>
      <c r="AF7" s="756"/>
      <c r="AG7" s="756"/>
      <c r="AH7" s="756"/>
      <c r="AI7" s="756"/>
      <c r="AJ7" s="756"/>
      <c r="AK7" s="756"/>
      <c r="AL7" s="756"/>
      <c r="AM7" s="756"/>
      <c r="AN7" s="756"/>
      <c r="AO7" s="756"/>
      <c r="AP7" s="756"/>
      <c r="AQ7" s="756"/>
      <c r="AR7" s="756"/>
      <c r="AS7" s="756"/>
      <c r="AT7" s="756"/>
      <c r="AU7" s="756"/>
      <c r="AV7" s="756"/>
      <c r="AW7" s="756"/>
      <c r="AX7" s="756"/>
      <c r="AY7" s="756"/>
      <c r="AZ7" s="756"/>
      <c r="BA7" s="756"/>
    </row>
    <row r="8" spans="1:56" s="100" customFormat="1" ht="23.25" customHeight="1" x14ac:dyDescent="0.25">
      <c r="A8" s="1359" t="s">
        <v>124</v>
      </c>
      <c r="B8" s="1359"/>
      <c r="C8" s="1359"/>
      <c r="D8" s="1359"/>
      <c r="E8" s="1359"/>
      <c r="F8" s="1359"/>
      <c r="G8" s="1359"/>
      <c r="H8" s="1359"/>
      <c r="I8" s="1359"/>
      <c r="J8" s="1359"/>
      <c r="K8" s="1359"/>
      <c r="L8" s="1359"/>
      <c r="M8" s="1359"/>
      <c r="N8" s="1359"/>
      <c r="O8" s="1359"/>
      <c r="P8" s="1359"/>
      <c r="Q8" s="1359"/>
      <c r="R8" s="1359"/>
      <c r="S8" s="1359"/>
      <c r="T8" s="1359"/>
      <c r="U8" s="1359"/>
      <c r="V8" s="1359"/>
      <c r="W8" s="1359"/>
      <c r="X8" s="1359"/>
      <c r="Y8" s="1359"/>
      <c r="Z8" s="1359"/>
      <c r="AA8" s="1359"/>
      <c r="AB8" s="1359"/>
      <c r="AC8" s="1359"/>
      <c r="AD8" s="1359"/>
      <c r="AE8" s="1359"/>
      <c r="AF8" s="1359"/>
      <c r="AG8" s="1359"/>
      <c r="AH8" s="1359"/>
      <c r="AI8" s="1359"/>
      <c r="AJ8" s="1359"/>
      <c r="AK8" s="1359"/>
      <c r="AL8" s="1359"/>
      <c r="AM8" s="1359"/>
      <c r="AN8" s="1359"/>
      <c r="AO8" s="1359"/>
      <c r="AP8" s="1359"/>
      <c r="AQ8" s="1359"/>
      <c r="AR8" s="1359"/>
      <c r="AS8" s="1359"/>
      <c r="AT8" s="1359"/>
      <c r="AU8" s="1359"/>
      <c r="AV8" s="1359"/>
      <c r="AW8" s="1359"/>
      <c r="AX8" s="1359"/>
      <c r="AY8" s="1359"/>
      <c r="AZ8" s="1359"/>
      <c r="BA8" s="1359"/>
    </row>
    <row r="10" spans="1:56" s="100" customFormat="1" ht="15" customHeight="1" x14ac:dyDescent="0.25">
      <c r="A10" s="158"/>
      <c r="B10" s="158" t="s">
        <v>113</v>
      </c>
      <c r="C10" s="757">
        <v>1</v>
      </c>
      <c r="D10" s="757"/>
      <c r="E10" s="757"/>
      <c r="F10" s="158"/>
      <c r="G10" s="757" t="s">
        <v>675</v>
      </c>
      <c r="H10" s="757"/>
      <c r="I10" s="757"/>
      <c r="J10" s="757"/>
      <c r="K10" s="757"/>
      <c r="L10" s="757"/>
      <c r="M10" s="158"/>
      <c r="N10" s="756">
        <v>2021</v>
      </c>
      <c r="O10" s="756"/>
      <c r="P10" s="756"/>
      <c r="Q10" s="756"/>
      <c r="R10" s="158"/>
      <c r="S10" s="158" t="s">
        <v>114</v>
      </c>
      <c r="T10" s="158"/>
      <c r="U10" s="756" t="s">
        <v>115</v>
      </c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758"/>
      <c r="AI10" s="758"/>
      <c r="AJ10" s="757">
        <v>31</v>
      </c>
      <c r="AK10" s="757"/>
      <c r="AL10" s="757"/>
      <c r="AM10" s="158"/>
      <c r="AN10" s="757" t="s">
        <v>116</v>
      </c>
      <c r="AO10" s="757"/>
      <c r="AP10" s="757"/>
      <c r="AQ10" s="757"/>
      <c r="AR10" s="757"/>
      <c r="AS10" s="757"/>
      <c r="AT10" s="757"/>
      <c r="AU10" s="158"/>
      <c r="AV10" s="756">
        <v>2021</v>
      </c>
      <c r="AW10" s="756"/>
      <c r="AX10" s="756"/>
      <c r="AY10" s="756"/>
      <c r="AZ10" s="158"/>
      <c r="BA10" s="158" t="s">
        <v>114</v>
      </c>
    </row>
    <row r="11" spans="1:56" ht="15.75" customHeight="1" x14ac:dyDescent="0.2"/>
    <row r="12" spans="1:56" s="100" customFormat="1" ht="12" customHeight="1" x14ac:dyDescent="0.25">
      <c r="A12" s="760" t="s">
        <v>1</v>
      </c>
      <c r="B12" s="760"/>
      <c r="C12" s="760"/>
      <c r="D12" s="760"/>
      <c r="E12" s="760"/>
      <c r="F12" s="760"/>
      <c r="G12" s="760"/>
      <c r="H12" s="760"/>
      <c r="I12" s="760"/>
      <c r="J12" s="760"/>
      <c r="K12" s="760"/>
      <c r="L12" s="760"/>
      <c r="M12" s="760"/>
      <c r="N12" s="760"/>
      <c r="O12" s="760"/>
      <c r="P12" s="760"/>
      <c r="Q12" s="760"/>
      <c r="R12" s="760"/>
      <c r="S12" s="760"/>
      <c r="U12" s="761">
        <v>1</v>
      </c>
      <c r="V12" s="761"/>
      <c r="W12" s="761"/>
    </row>
    <row r="13" spans="1:56" s="100" customFormat="1" ht="5.0999999999999996" customHeight="1" x14ac:dyDescent="0.25">
      <c r="A13" s="117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</row>
    <row r="14" spans="1:56" s="100" customFormat="1" ht="12" customHeight="1" x14ac:dyDescent="0.25">
      <c r="A14" s="760" t="s">
        <v>2</v>
      </c>
      <c r="B14" s="760"/>
      <c r="C14" s="760"/>
      <c r="D14" s="760"/>
      <c r="E14" s="760"/>
      <c r="F14" s="760"/>
      <c r="G14" s="760"/>
      <c r="H14" s="760"/>
      <c r="I14" s="760"/>
      <c r="J14" s="760"/>
      <c r="K14" s="760"/>
      <c r="L14" s="760"/>
      <c r="M14" s="760"/>
      <c r="N14" s="760"/>
      <c r="O14" s="760"/>
      <c r="P14" s="760"/>
      <c r="Q14" s="760"/>
      <c r="R14" s="760"/>
      <c r="S14" s="760"/>
      <c r="U14" s="761">
        <v>1</v>
      </c>
      <c r="V14" s="761"/>
      <c r="W14" s="761"/>
    </row>
    <row r="15" spans="1:56" s="100" customFormat="1" ht="5.0999999999999996" customHeight="1" x14ac:dyDescent="0.25">
      <c r="A15" s="117"/>
      <c r="B15" s="117"/>
      <c r="C15" s="117"/>
      <c r="D15" s="117"/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</row>
    <row r="16" spans="1:56" s="100" customFormat="1" ht="12" customHeight="1" x14ac:dyDescent="0.25">
      <c r="A16" s="760" t="s">
        <v>3</v>
      </c>
      <c r="B16" s="760"/>
      <c r="C16" s="760"/>
      <c r="D16" s="760"/>
      <c r="E16" s="760"/>
      <c r="F16" s="760"/>
      <c r="G16" s="760"/>
      <c r="H16" s="760"/>
      <c r="I16" s="760"/>
      <c r="J16" s="760"/>
      <c r="K16" s="760"/>
      <c r="L16" s="760"/>
      <c r="M16" s="760"/>
      <c r="N16" s="760"/>
      <c r="O16" s="760"/>
      <c r="P16" s="760"/>
      <c r="Q16" s="760"/>
      <c r="R16" s="760"/>
      <c r="S16" s="760"/>
      <c r="U16" s="761">
        <v>1</v>
      </c>
      <c r="V16" s="761"/>
      <c r="W16" s="761"/>
      <c r="X16" s="83" t="s">
        <v>4</v>
      </c>
      <c r="Y16" s="761">
        <v>1</v>
      </c>
      <c r="Z16" s="761"/>
      <c r="AA16" s="761"/>
    </row>
    <row r="17" spans="1:54" ht="5.0999999999999996" customHeight="1" x14ac:dyDescent="0.2"/>
    <row r="18" spans="1:54" s="159" customFormat="1" ht="15" customHeight="1" thickBot="1" x14ac:dyDescent="0.25">
      <c r="A18" s="159" t="s">
        <v>5</v>
      </c>
      <c r="C18" s="159" t="s">
        <v>6</v>
      </c>
      <c r="AN18" s="160"/>
      <c r="AO18" s="160"/>
      <c r="AP18" s="160"/>
      <c r="AQ18" s="160"/>
      <c r="AR18" s="160"/>
    </row>
    <row r="19" spans="1:54" ht="12" customHeight="1" thickBot="1" x14ac:dyDescent="0.25">
      <c r="AJ19" s="161"/>
      <c r="AK19" s="161"/>
      <c r="AL19" s="161"/>
      <c r="AM19" s="161"/>
      <c r="AN19" s="162"/>
      <c r="AO19" s="162"/>
      <c r="AP19" s="163"/>
      <c r="AQ19" s="163" t="s">
        <v>530</v>
      </c>
      <c r="AR19" s="162"/>
      <c r="AS19" s="164"/>
      <c r="AX19" s="708">
        <v>15600</v>
      </c>
      <c r="AY19" s="709"/>
      <c r="AZ19" s="709"/>
      <c r="BA19" s="709"/>
      <c r="BB19" s="710"/>
    </row>
    <row r="20" spans="1:54" ht="12" customHeight="1" x14ac:dyDescent="0.2">
      <c r="A20" s="687" t="s">
        <v>8</v>
      </c>
      <c r="B20" s="688"/>
      <c r="C20" s="688"/>
      <c r="D20" s="688"/>
      <c r="E20" s="688"/>
      <c r="F20" s="688"/>
      <c r="G20" s="689"/>
      <c r="H20" s="696" t="s">
        <v>9</v>
      </c>
      <c r="I20" s="688"/>
      <c r="J20" s="688"/>
      <c r="K20" s="688"/>
      <c r="L20" s="688"/>
      <c r="M20" s="688"/>
      <c r="N20" s="688"/>
      <c r="O20" s="688"/>
      <c r="P20" s="688"/>
      <c r="Q20" s="688"/>
      <c r="R20" s="688"/>
      <c r="S20" s="688"/>
      <c r="T20" s="688"/>
      <c r="U20" s="688"/>
      <c r="V20" s="688"/>
      <c r="W20" s="688"/>
      <c r="X20" s="688"/>
      <c r="Y20" s="688"/>
      <c r="Z20" s="688"/>
      <c r="AA20" s="688"/>
      <c r="AB20" s="689"/>
      <c r="AC20" s="696" t="s">
        <v>10</v>
      </c>
      <c r="AD20" s="688"/>
      <c r="AE20" s="688"/>
      <c r="AF20" s="688"/>
      <c r="AG20" s="689"/>
      <c r="AH20" s="671" t="s">
        <v>419</v>
      </c>
      <c r="AI20" s="739"/>
      <c r="AJ20" s="739"/>
      <c r="AK20" s="739"/>
      <c r="AL20" s="739"/>
      <c r="AM20" s="740"/>
      <c r="AN20" s="671" t="s">
        <v>12</v>
      </c>
      <c r="AO20" s="672"/>
      <c r="AP20" s="672"/>
      <c r="AQ20" s="672"/>
      <c r="AR20" s="699"/>
      <c r="AS20" s="671" t="s">
        <v>13</v>
      </c>
      <c r="AT20" s="672"/>
      <c r="AU20" s="672"/>
      <c r="AV20" s="672"/>
      <c r="AW20" s="673"/>
      <c r="AX20" s="671" t="s">
        <v>14</v>
      </c>
      <c r="AY20" s="672"/>
      <c r="AZ20" s="672"/>
      <c r="BA20" s="672"/>
      <c r="BB20" s="673"/>
    </row>
    <row r="21" spans="1:54" ht="12" customHeight="1" x14ac:dyDescent="0.2">
      <c r="A21" s="690"/>
      <c r="B21" s="691"/>
      <c r="C21" s="691"/>
      <c r="D21" s="691"/>
      <c r="E21" s="691"/>
      <c r="F21" s="691"/>
      <c r="G21" s="692"/>
      <c r="H21" s="697"/>
      <c r="I21" s="691"/>
      <c r="J21" s="691"/>
      <c r="K21" s="691"/>
      <c r="L21" s="691"/>
      <c r="M21" s="691"/>
      <c r="N21" s="691"/>
      <c r="O21" s="691"/>
      <c r="P21" s="691"/>
      <c r="Q21" s="691"/>
      <c r="R21" s="691"/>
      <c r="S21" s="691"/>
      <c r="T21" s="691"/>
      <c r="U21" s="691"/>
      <c r="V21" s="691"/>
      <c r="W21" s="691"/>
      <c r="X21" s="691"/>
      <c r="Y21" s="691"/>
      <c r="Z21" s="691"/>
      <c r="AA21" s="691"/>
      <c r="AB21" s="692"/>
      <c r="AC21" s="697"/>
      <c r="AD21" s="691"/>
      <c r="AE21" s="691"/>
      <c r="AF21" s="691"/>
      <c r="AG21" s="692"/>
      <c r="AH21" s="741"/>
      <c r="AI21" s="742"/>
      <c r="AJ21" s="742"/>
      <c r="AK21" s="742"/>
      <c r="AL21" s="742"/>
      <c r="AM21" s="743"/>
      <c r="AN21" s="674"/>
      <c r="AO21" s="675"/>
      <c r="AP21" s="675"/>
      <c r="AQ21" s="675"/>
      <c r="AR21" s="700"/>
      <c r="AS21" s="674"/>
      <c r="AT21" s="675"/>
      <c r="AU21" s="675"/>
      <c r="AV21" s="675"/>
      <c r="AW21" s="676"/>
      <c r="AX21" s="674"/>
      <c r="AY21" s="675"/>
      <c r="AZ21" s="675"/>
      <c r="BA21" s="675"/>
      <c r="BB21" s="676"/>
    </row>
    <row r="22" spans="1:54" ht="12" customHeight="1" thickBot="1" x14ac:dyDescent="0.25">
      <c r="A22" s="693"/>
      <c r="B22" s="694"/>
      <c r="C22" s="694"/>
      <c r="D22" s="694"/>
      <c r="E22" s="694"/>
      <c r="F22" s="694"/>
      <c r="G22" s="695"/>
      <c r="H22" s="698"/>
      <c r="I22" s="694"/>
      <c r="J22" s="694"/>
      <c r="K22" s="694"/>
      <c r="L22" s="694"/>
      <c r="M22" s="694"/>
      <c r="N22" s="694"/>
      <c r="O22" s="694"/>
      <c r="P22" s="694"/>
      <c r="Q22" s="694"/>
      <c r="R22" s="694"/>
      <c r="S22" s="694"/>
      <c r="T22" s="694"/>
      <c r="U22" s="694"/>
      <c r="V22" s="694"/>
      <c r="W22" s="694"/>
      <c r="X22" s="694"/>
      <c r="Y22" s="694"/>
      <c r="Z22" s="694"/>
      <c r="AA22" s="694"/>
      <c r="AB22" s="695"/>
      <c r="AC22" s="698"/>
      <c r="AD22" s="694"/>
      <c r="AE22" s="694"/>
      <c r="AF22" s="694"/>
      <c r="AG22" s="695"/>
      <c r="AH22" s="744"/>
      <c r="AI22" s="745"/>
      <c r="AJ22" s="745"/>
      <c r="AK22" s="745"/>
      <c r="AL22" s="745"/>
      <c r="AM22" s="746"/>
      <c r="AN22" s="677"/>
      <c r="AO22" s="678"/>
      <c r="AP22" s="678"/>
      <c r="AQ22" s="678"/>
      <c r="AR22" s="701"/>
      <c r="AS22" s="677"/>
      <c r="AT22" s="678"/>
      <c r="AU22" s="678"/>
      <c r="AV22" s="678"/>
      <c r="AW22" s="679"/>
      <c r="AX22" s="677"/>
      <c r="AY22" s="678"/>
      <c r="AZ22" s="678"/>
      <c r="BA22" s="678"/>
      <c r="BB22" s="679"/>
    </row>
    <row r="23" spans="1:54" ht="22.5" customHeight="1" thickBot="1" x14ac:dyDescent="0.25">
      <c r="A23" s="532" t="s">
        <v>15</v>
      </c>
      <c r="B23" s="533"/>
      <c r="C23" s="533"/>
      <c r="D23" s="533"/>
      <c r="E23" s="533"/>
      <c r="F23" s="533"/>
      <c r="G23" s="533"/>
      <c r="H23" s="533"/>
      <c r="I23" s="533"/>
      <c r="J23" s="533"/>
      <c r="K23" s="533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533"/>
      <c r="AA23" s="533"/>
      <c r="AB23" s="533"/>
      <c r="AC23" s="533"/>
      <c r="AD23" s="533"/>
      <c r="AE23" s="533"/>
      <c r="AF23" s="533"/>
      <c r="AG23" s="533"/>
      <c r="AH23" s="533"/>
      <c r="AI23" s="533"/>
      <c r="AJ23" s="533"/>
      <c r="AK23" s="533"/>
      <c r="AL23" s="533"/>
      <c r="AM23" s="533"/>
      <c r="AN23" s="533"/>
      <c r="AO23" s="533"/>
      <c r="AP23" s="533"/>
      <c r="AQ23" s="533"/>
      <c r="AR23" s="533"/>
      <c r="AS23" s="533"/>
      <c r="AT23" s="533"/>
      <c r="AU23" s="533"/>
      <c r="AV23" s="533"/>
      <c r="AW23" s="533"/>
      <c r="AX23" s="533"/>
      <c r="AY23" s="533"/>
      <c r="AZ23" s="533"/>
      <c r="BA23" s="533"/>
      <c r="BB23" s="680"/>
    </row>
    <row r="24" spans="1:54" ht="4.5" customHeight="1" x14ac:dyDescent="0.2">
      <c r="A24" s="1357" t="s">
        <v>117</v>
      </c>
      <c r="B24" s="573"/>
      <c r="C24" s="573"/>
      <c r="D24" s="573"/>
      <c r="E24" s="573"/>
      <c r="F24" s="573"/>
      <c r="G24" s="574"/>
      <c r="H24" s="714" t="s">
        <v>16</v>
      </c>
      <c r="I24" s="704"/>
      <c r="J24" s="704"/>
      <c r="K24" s="704"/>
      <c r="L24" s="704"/>
      <c r="M24" s="704"/>
      <c r="N24" s="704"/>
      <c r="O24" s="704"/>
      <c r="P24" s="704"/>
      <c r="Q24" s="704"/>
      <c r="R24" s="704"/>
      <c r="S24" s="704"/>
      <c r="T24" s="704"/>
      <c r="U24" s="704"/>
      <c r="V24" s="704"/>
      <c r="W24" s="704"/>
      <c r="X24" s="704"/>
      <c r="Y24" s="704"/>
      <c r="Z24" s="723">
        <v>0.2</v>
      </c>
      <c r="AA24" s="723"/>
      <c r="AB24" s="723"/>
      <c r="AC24" s="781">
        <f>(AX51+AX83)*Z24*AH24</f>
        <v>112.66666666666669</v>
      </c>
      <c r="AD24" s="781"/>
      <c r="AE24" s="781"/>
      <c r="AF24" s="781"/>
      <c r="AG24" s="781"/>
      <c r="AH24" s="668">
        <v>2</v>
      </c>
      <c r="AI24" s="668"/>
      <c r="AJ24" s="668"/>
      <c r="AK24" s="668"/>
      <c r="AL24" s="668"/>
      <c r="AM24" s="668"/>
      <c r="AN24" s="781">
        <f>AC24/U12</f>
        <v>112.66666666666669</v>
      </c>
      <c r="AO24" s="781"/>
      <c r="AP24" s="781"/>
      <c r="AQ24" s="781"/>
      <c r="AR24" s="781"/>
      <c r="AS24" s="668" t="s">
        <v>17</v>
      </c>
      <c r="AT24" s="668"/>
      <c r="AU24" s="668"/>
      <c r="AV24" s="668"/>
      <c r="AW24" s="668"/>
      <c r="AX24" s="781" t="s">
        <v>17</v>
      </c>
      <c r="AY24" s="781"/>
      <c r="AZ24" s="781"/>
      <c r="BA24" s="781"/>
      <c r="BB24" s="782"/>
    </row>
    <row r="25" spans="1:54" s="165" customFormat="1" ht="11.25" customHeight="1" x14ac:dyDescent="0.2">
      <c r="A25" s="1357"/>
      <c r="B25" s="573"/>
      <c r="C25" s="573"/>
      <c r="D25" s="573"/>
      <c r="E25" s="573"/>
      <c r="F25" s="573"/>
      <c r="G25" s="574"/>
      <c r="H25" s="714"/>
      <c r="I25" s="704"/>
      <c r="J25" s="704"/>
      <c r="K25" s="704"/>
      <c r="L25" s="704"/>
      <c r="M25" s="704"/>
      <c r="N25" s="704"/>
      <c r="O25" s="704"/>
      <c r="P25" s="704"/>
      <c r="Q25" s="704"/>
      <c r="R25" s="704"/>
      <c r="S25" s="704"/>
      <c r="T25" s="704"/>
      <c r="U25" s="704"/>
      <c r="V25" s="704"/>
      <c r="W25" s="704"/>
      <c r="X25" s="704"/>
      <c r="Y25" s="704"/>
      <c r="Z25" s="726"/>
      <c r="AA25" s="726"/>
      <c r="AB25" s="726"/>
      <c r="AC25" s="601"/>
      <c r="AD25" s="601"/>
      <c r="AE25" s="601"/>
      <c r="AF25" s="601"/>
      <c r="AG25" s="601"/>
      <c r="AH25" s="664"/>
      <c r="AI25" s="664"/>
      <c r="AJ25" s="664"/>
      <c r="AK25" s="664"/>
      <c r="AL25" s="664"/>
      <c r="AM25" s="664"/>
      <c r="AN25" s="601"/>
      <c r="AO25" s="601"/>
      <c r="AP25" s="601"/>
      <c r="AQ25" s="601"/>
      <c r="AR25" s="601"/>
      <c r="AS25" s="664"/>
      <c r="AT25" s="664"/>
      <c r="AU25" s="664"/>
      <c r="AV25" s="664"/>
      <c r="AW25" s="664"/>
      <c r="AX25" s="601"/>
      <c r="AY25" s="601"/>
      <c r="AZ25" s="601"/>
      <c r="BA25" s="601"/>
      <c r="BB25" s="655"/>
    </row>
    <row r="26" spans="1:54" s="165" customFormat="1" ht="5.0999999999999996" customHeight="1" x14ac:dyDescent="0.2">
      <c r="A26" s="1354" t="s">
        <v>89</v>
      </c>
      <c r="B26" s="1355"/>
      <c r="C26" s="1355"/>
      <c r="D26" s="1355"/>
      <c r="E26" s="1355"/>
      <c r="F26" s="1355"/>
      <c r="G26" s="1356"/>
      <c r="H26" s="714"/>
      <c r="I26" s="704"/>
      <c r="J26" s="704"/>
      <c r="K26" s="704"/>
      <c r="L26" s="704"/>
      <c r="M26" s="704"/>
      <c r="N26" s="704"/>
      <c r="O26" s="704"/>
      <c r="P26" s="704"/>
      <c r="Q26" s="704"/>
      <c r="R26" s="704"/>
      <c r="S26" s="704"/>
      <c r="T26" s="704"/>
      <c r="U26" s="704"/>
      <c r="V26" s="704"/>
      <c r="W26" s="704"/>
      <c r="X26" s="704"/>
      <c r="Y26" s="704"/>
      <c r="Z26" s="726"/>
      <c r="AA26" s="726"/>
      <c r="AB26" s="726"/>
      <c r="AC26" s="601"/>
      <c r="AD26" s="601"/>
      <c r="AE26" s="601"/>
      <c r="AF26" s="601"/>
      <c r="AG26" s="601"/>
      <c r="AH26" s="664"/>
      <c r="AI26" s="664"/>
      <c r="AJ26" s="664"/>
      <c r="AK26" s="664"/>
      <c r="AL26" s="664"/>
      <c r="AM26" s="664"/>
      <c r="AN26" s="601"/>
      <c r="AO26" s="601"/>
      <c r="AP26" s="601"/>
      <c r="AQ26" s="601"/>
      <c r="AR26" s="601"/>
      <c r="AS26" s="664"/>
      <c r="AT26" s="664"/>
      <c r="AU26" s="664"/>
      <c r="AV26" s="664"/>
      <c r="AW26" s="664"/>
      <c r="AX26" s="601"/>
      <c r="AY26" s="601"/>
      <c r="AZ26" s="601"/>
      <c r="BA26" s="601"/>
      <c r="BB26" s="655"/>
    </row>
    <row r="27" spans="1:54" s="165" customFormat="1" ht="27.75" customHeight="1" x14ac:dyDescent="0.2">
      <c r="A27" s="1357"/>
      <c r="B27" s="573"/>
      <c r="C27" s="573"/>
      <c r="D27" s="573"/>
      <c r="E27" s="573"/>
      <c r="F27" s="573"/>
      <c r="G27" s="574"/>
      <c r="H27" s="714"/>
      <c r="I27" s="704"/>
      <c r="J27" s="704"/>
      <c r="K27" s="704"/>
      <c r="L27" s="704"/>
      <c r="M27" s="704"/>
      <c r="N27" s="704"/>
      <c r="O27" s="704"/>
      <c r="P27" s="704"/>
      <c r="Q27" s="704"/>
      <c r="R27" s="704"/>
      <c r="S27" s="704"/>
      <c r="T27" s="704"/>
      <c r="U27" s="704"/>
      <c r="V27" s="704"/>
      <c r="W27" s="704"/>
      <c r="X27" s="704"/>
      <c r="Y27" s="704"/>
      <c r="Z27" s="726"/>
      <c r="AA27" s="726"/>
      <c r="AB27" s="726"/>
      <c r="AC27" s="601"/>
      <c r="AD27" s="601"/>
      <c r="AE27" s="601"/>
      <c r="AF27" s="601"/>
      <c r="AG27" s="601"/>
      <c r="AH27" s="664"/>
      <c r="AI27" s="664"/>
      <c r="AJ27" s="664"/>
      <c r="AK27" s="664"/>
      <c r="AL27" s="664"/>
      <c r="AM27" s="664"/>
      <c r="AN27" s="601"/>
      <c r="AO27" s="601"/>
      <c r="AP27" s="601"/>
      <c r="AQ27" s="601"/>
      <c r="AR27" s="601"/>
      <c r="AS27" s="664"/>
      <c r="AT27" s="664"/>
      <c r="AU27" s="664"/>
      <c r="AV27" s="664"/>
      <c r="AW27" s="664"/>
      <c r="AX27" s="601"/>
      <c r="AY27" s="601"/>
      <c r="AZ27" s="601"/>
      <c r="BA27" s="601"/>
      <c r="BB27" s="655"/>
    </row>
    <row r="28" spans="1:54" ht="5.0999999999999996" hidden="1" customHeight="1" x14ac:dyDescent="0.2">
      <c r="A28" s="1357"/>
      <c r="B28" s="573"/>
      <c r="C28" s="573"/>
      <c r="D28" s="573"/>
      <c r="E28" s="573"/>
      <c r="F28" s="573"/>
      <c r="G28" s="574"/>
      <c r="H28" s="714"/>
      <c r="I28" s="704"/>
      <c r="J28" s="704"/>
      <c r="K28" s="704"/>
      <c r="L28" s="704"/>
      <c r="M28" s="704"/>
      <c r="N28" s="704"/>
      <c r="O28" s="704"/>
      <c r="P28" s="704"/>
      <c r="Q28" s="704"/>
      <c r="R28" s="704"/>
      <c r="S28" s="704"/>
      <c r="T28" s="704"/>
      <c r="U28" s="704"/>
      <c r="V28" s="704"/>
      <c r="W28" s="704"/>
      <c r="X28" s="704"/>
      <c r="Y28" s="704"/>
      <c r="Z28" s="726"/>
      <c r="AA28" s="726"/>
      <c r="AB28" s="726"/>
      <c r="AC28" s="601"/>
      <c r="AD28" s="601"/>
      <c r="AE28" s="601"/>
      <c r="AF28" s="601"/>
      <c r="AG28" s="601"/>
      <c r="AH28" s="664"/>
      <c r="AI28" s="664"/>
      <c r="AJ28" s="664"/>
      <c r="AK28" s="664"/>
      <c r="AL28" s="664"/>
      <c r="AM28" s="664"/>
      <c r="AN28" s="601"/>
      <c r="AO28" s="601"/>
      <c r="AP28" s="601"/>
      <c r="AQ28" s="601"/>
      <c r="AR28" s="601"/>
      <c r="AS28" s="664"/>
      <c r="AT28" s="664"/>
      <c r="AU28" s="664"/>
      <c r="AV28" s="664"/>
      <c r="AW28" s="664"/>
      <c r="AX28" s="601"/>
      <c r="AY28" s="601"/>
      <c r="AZ28" s="601"/>
      <c r="BA28" s="601"/>
      <c r="BB28" s="655"/>
    </row>
    <row r="29" spans="1:54" s="165" customFormat="1" ht="11.25" hidden="1" customHeight="1" x14ac:dyDescent="0.2">
      <c r="A29" s="1357"/>
      <c r="B29" s="573"/>
      <c r="C29" s="573"/>
      <c r="D29" s="573"/>
      <c r="E29" s="573"/>
      <c r="F29" s="573"/>
      <c r="G29" s="574"/>
      <c r="H29" s="714"/>
      <c r="I29" s="704"/>
      <c r="J29" s="704"/>
      <c r="K29" s="704"/>
      <c r="L29" s="704"/>
      <c r="M29" s="704"/>
      <c r="N29" s="704"/>
      <c r="O29" s="704"/>
      <c r="P29" s="704"/>
      <c r="Q29" s="704"/>
      <c r="R29" s="704"/>
      <c r="S29" s="704"/>
      <c r="T29" s="704"/>
      <c r="U29" s="704"/>
      <c r="V29" s="704"/>
      <c r="W29" s="704"/>
      <c r="X29" s="704"/>
      <c r="Y29" s="704"/>
      <c r="Z29" s="726"/>
      <c r="AA29" s="726"/>
      <c r="AB29" s="726"/>
      <c r="AC29" s="601"/>
      <c r="AD29" s="601"/>
      <c r="AE29" s="601"/>
      <c r="AF29" s="601"/>
      <c r="AG29" s="601"/>
      <c r="AH29" s="664"/>
      <c r="AI29" s="664"/>
      <c r="AJ29" s="664"/>
      <c r="AK29" s="664"/>
      <c r="AL29" s="664"/>
      <c r="AM29" s="664"/>
      <c r="AN29" s="601"/>
      <c r="AO29" s="601"/>
      <c r="AP29" s="601"/>
      <c r="AQ29" s="601"/>
      <c r="AR29" s="601"/>
      <c r="AS29" s="664"/>
      <c r="AT29" s="664"/>
      <c r="AU29" s="664"/>
      <c r="AV29" s="664"/>
      <c r="AW29" s="664"/>
      <c r="AX29" s="601"/>
      <c r="AY29" s="601"/>
      <c r="AZ29" s="601"/>
      <c r="BA29" s="601"/>
      <c r="BB29" s="655"/>
    </row>
    <row r="30" spans="1:54" s="165" customFormat="1" ht="5.0999999999999996" hidden="1" customHeight="1" x14ac:dyDescent="0.2">
      <c r="A30" s="1357"/>
      <c r="B30" s="573"/>
      <c r="C30" s="573"/>
      <c r="D30" s="573"/>
      <c r="E30" s="573"/>
      <c r="F30" s="573"/>
      <c r="G30" s="574"/>
      <c r="H30" s="714"/>
      <c r="I30" s="704"/>
      <c r="J30" s="704"/>
      <c r="K30" s="704"/>
      <c r="L30" s="704"/>
      <c r="M30" s="704"/>
      <c r="N30" s="704"/>
      <c r="O30" s="704"/>
      <c r="P30" s="704"/>
      <c r="Q30" s="704"/>
      <c r="R30" s="704"/>
      <c r="S30" s="704"/>
      <c r="T30" s="704"/>
      <c r="U30" s="704"/>
      <c r="V30" s="704"/>
      <c r="W30" s="704"/>
      <c r="X30" s="704"/>
      <c r="Y30" s="704"/>
      <c r="Z30" s="726"/>
      <c r="AA30" s="726"/>
      <c r="AB30" s="726"/>
      <c r="AC30" s="601"/>
      <c r="AD30" s="601"/>
      <c r="AE30" s="601"/>
      <c r="AF30" s="601"/>
      <c r="AG30" s="601"/>
      <c r="AH30" s="664"/>
      <c r="AI30" s="664"/>
      <c r="AJ30" s="664"/>
      <c r="AK30" s="664"/>
      <c r="AL30" s="664"/>
      <c r="AM30" s="664"/>
      <c r="AN30" s="601"/>
      <c r="AO30" s="601"/>
      <c r="AP30" s="601"/>
      <c r="AQ30" s="601"/>
      <c r="AR30" s="601"/>
      <c r="AS30" s="664"/>
      <c r="AT30" s="664"/>
      <c r="AU30" s="664"/>
      <c r="AV30" s="664"/>
      <c r="AW30" s="664"/>
      <c r="AX30" s="601"/>
      <c r="AY30" s="601"/>
      <c r="AZ30" s="601"/>
      <c r="BA30" s="601"/>
      <c r="BB30" s="655"/>
    </row>
    <row r="31" spans="1:54" s="165" customFormat="1" ht="11.25" hidden="1" customHeight="1" x14ac:dyDescent="0.2">
      <c r="A31" s="1357"/>
      <c r="B31" s="573"/>
      <c r="C31" s="573"/>
      <c r="D31" s="573"/>
      <c r="E31" s="573"/>
      <c r="F31" s="573"/>
      <c r="G31" s="574"/>
      <c r="H31" s="714"/>
      <c r="I31" s="704"/>
      <c r="J31" s="704"/>
      <c r="K31" s="704"/>
      <c r="L31" s="704"/>
      <c r="M31" s="704"/>
      <c r="N31" s="704"/>
      <c r="O31" s="704"/>
      <c r="P31" s="704"/>
      <c r="Q31" s="704"/>
      <c r="R31" s="704"/>
      <c r="S31" s="704"/>
      <c r="T31" s="704"/>
      <c r="U31" s="704"/>
      <c r="V31" s="704"/>
      <c r="W31" s="704"/>
      <c r="X31" s="704"/>
      <c r="Y31" s="704"/>
      <c r="Z31" s="726"/>
      <c r="AA31" s="726"/>
      <c r="AB31" s="726"/>
      <c r="AC31" s="601"/>
      <c r="AD31" s="601"/>
      <c r="AE31" s="601"/>
      <c r="AF31" s="601"/>
      <c r="AG31" s="601"/>
      <c r="AH31" s="664"/>
      <c r="AI31" s="664"/>
      <c r="AJ31" s="664"/>
      <c r="AK31" s="664"/>
      <c r="AL31" s="664"/>
      <c r="AM31" s="664"/>
      <c r="AN31" s="601"/>
      <c r="AO31" s="601"/>
      <c r="AP31" s="601"/>
      <c r="AQ31" s="601"/>
      <c r="AR31" s="601"/>
      <c r="AS31" s="664"/>
      <c r="AT31" s="664"/>
      <c r="AU31" s="664"/>
      <c r="AV31" s="664"/>
      <c r="AW31" s="664"/>
      <c r="AX31" s="601"/>
      <c r="AY31" s="601"/>
      <c r="AZ31" s="601"/>
      <c r="BA31" s="601"/>
      <c r="BB31" s="655"/>
    </row>
    <row r="32" spans="1:54" ht="5.0999999999999996" hidden="1" customHeight="1" x14ac:dyDescent="0.2">
      <c r="A32" s="1357"/>
      <c r="B32" s="573"/>
      <c r="C32" s="573"/>
      <c r="D32" s="573"/>
      <c r="E32" s="573"/>
      <c r="F32" s="573"/>
      <c r="G32" s="574"/>
      <c r="H32" s="714"/>
      <c r="I32" s="704"/>
      <c r="J32" s="704"/>
      <c r="K32" s="704"/>
      <c r="L32" s="704"/>
      <c r="M32" s="704"/>
      <c r="N32" s="704"/>
      <c r="O32" s="704"/>
      <c r="P32" s="704"/>
      <c r="Q32" s="704"/>
      <c r="R32" s="704"/>
      <c r="S32" s="704"/>
      <c r="T32" s="704"/>
      <c r="U32" s="704"/>
      <c r="V32" s="704"/>
      <c r="W32" s="704"/>
      <c r="X32" s="704"/>
      <c r="Y32" s="704"/>
      <c r="Z32" s="726"/>
      <c r="AA32" s="726"/>
      <c r="AB32" s="726"/>
      <c r="AC32" s="601"/>
      <c r="AD32" s="601"/>
      <c r="AE32" s="601"/>
      <c r="AF32" s="601"/>
      <c r="AG32" s="601"/>
      <c r="AH32" s="664"/>
      <c r="AI32" s="664"/>
      <c r="AJ32" s="664"/>
      <c r="AK32" s="664"/>
      <c r="AL32" s="664"/>
      <c r="AM32" s="664"/>
      <c r="AN32" s="601"/>
      <c r="AO32" s="601"/>
      <c r="AP32" s="601"/>
      <c r="AQ32" s="601"/>
      <c r="AR32" s="601"/>
      <c r="AS32" s="664"/>
      <c r="AT32" s="664"/>
      <c r="AU32" s="664"/>
      <c r="AV32" s="664"/>
      <c r="AW32" s="664"/>
      <c r="AX32" s="601"/>
      <c r="AY32" s="601"/>
      <c r="AZ32" s="601"/>
      <c r="BA32" s="601"/>
      <c r="BB32" s="655"/>
    </row>
    <row r="33" spans="1:54" s="165" customFormat="1" ht="3.75" customHeight="1" thickBot="1" x14ac:dyDescent="0.25">
      <c r="A33" s="1358"/>
      <c r="B33" s="860"/>
      <c r="C33" s="860"/>
      <c r="D33" s="860"/>
      <c r="E33" s="860"/>
      <c r="F33" s="860"/>
      <c r="G33" s="861"/>
      <c r="H33" s="770"/>
      <c r="I33" s="721"/>
      <c r="J33" s="721"/>
      <c r="K33" s="721"/>
      <c r="L33" s="721"/>
      <c r="M33" s="721"/>
      <c r="N33" s="721"/>
      <c r="O33" s="721"/>
      <c r="P33" s="721"/>
      <c r="Q33" s="721"/>
      <c r="R33" s="721"/>
      <c r="S33" s="721"/>
      <c r="T33" s="721"/>
      <c r="U33" s="721"/>
      <c r="V33" s="721"/>
      <c r="W33" s="721"/>
      <c r="X33" s="721"/>
      <c r="Y33" s="721"/>
      <c r="Z33" s="729"/>
      <c r="AA33" s="729"/>
      <c r="AB33" s="729"/>
      <c r="AC33" s="656"/>
      <c r="AD33" s="656"/>
      <c r="AE33" s="656"/>
      <c r="AF33" s="656"/>
      <c r="AG33" s="656"/>
      <c r="AH33" s="683"/>
      <c r="AI33" s="683"/>
      <c r="AJ33" s="683"/>
      <c r="AK33" s="683"/>
      <c r="AL33" s="683"/>
      <c r="AM33" s="683"/>
      <c r="AN33" s="656"/>
      <c r="AO33" s="656"/>
      <c r="AP33" s="656"/>
      <c r="AQ33" s="656"/>
      <c r="AR33" s="656"/>
      <c r="AS33" s="683"/>
      <c r="AT33" s="683"/>
      <c r="AU33" s="683"/>
      <c r="AV33" s="683"/>
      <c r="AW33" s="683"/>
      <c r="AX33" s="656"/>
      <c r="AY33" s="656"/>
      <c r="AZ33" s="656"/>
      <c r="BA33" s="656"/>
      <c r="BB33" s="657"/>
    </row>
    <row r="34" spans="1:54" s="167" customFormat="1" ht="11.25" customHeight="1" x14ac:dyDescent="0.2">
      <c r="A34" s="166"/>
      <c r="B34" s="166"/>
      <c r="C34" s="166"/>
      <c r="D34" s="166"/>
      <c r="E34" s="166"/>
      <c r="F34" s="166"/>
      <c r="G34" s="166"/>
      <c r="H34" s="776"/>
      <c r="I34" s="776"/>
      <c r="J34" s="776"/>
      <c r="K34" s="776"/>
      <c r="L34" s="776"/>
      <c r="M34" s="776"/>
      <c r="P34" s="168"/>
      <c r="Q34" s="95"/>
      <c r="R34" s="169" t="s">
        <v>18</v>
      </c>
      <c r="S34" s="170"/>
      <c r="T34" s="170"/>
      <c r="U34" s="171"/>
      <c r="V34" s="171"/>
      <c r="W34" s="171"/>
      <c r="X34" s="171"/>
      <c r="Y34" s="171"/>
      <c r="Z34" s="162"/>
      <c r="AA34" s="162"/>
      <c r="AB34" s="162"/>
      <c r="AC34" s="171"/>
      <c r="AD34" s="171" t="s">
        <v>19</v>
      </c>
      <c r="AE34" s="171" t="s">
        <v>20</v>
      </c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2"/>
      <c r="AS34" s="453">
        <f>AN24</f>
        <v>112.66666666666669</v>
      </c>
      <c r="AT34" s="453"/>
      <c r="AU34" s="453"/>
      <c r="AV34" s="453"/>
      <c r="AW34" s="453"/>
      <c r="AX34" s="453">
        <f>AC24</f>
        <v>112.66666666666669</v>
      </c>
      <c r="AY34" s="453"/>
      <c r="AZ34" s="453"/>
      <c r="BA34" s="453"/>
      <c r="BB34" s="454"/>
    </row>
    <row r="35" spans="1:54" s="167" customFormat="1" ht="11.25" customHeight="1" thickBot="1" x14ac:dyDescent="0.25">
      <c r="A35" s="166"/>
      <c r="B35" s="166"/>
      <c r="C35" s="166"/>
      <c r="D35" s="166"/>
      <c r="E35" s="166"/>
      <c r="F35" s="166"/>
      <c r="G35" s="166"/>
      <c r="H35" s="173"/>
      <c r="I35" s="173"/>
      <c r="J35" s="173"/>
      <c r="K35" s="173"/>
      <c r="L35" s="173"/>
      <c r="M35" s="173"/>
      <c r="P35" s="168"/>
      <c r="Q35" s="174"/>
      <c r="R35" s="175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 t="s">
        <v>19</v>
      </c>
      <c r="AE35" s="176" t="s">
        <v>21</v>
      </c>
      <c r="AF35" s="176"/>
      <c r="AG35" s="176"/>
      <c r="AH35" s="176"/>
      <c r="AI35" s="176"/>
      <c r="AJ35" s="176"/>
      <c r="AK35" s="176"/>
      <c r="AL35" s="176"/>
      <c r="AM35" s="176"/>
      <c r="AN35" s="176"/>
      <c r="AO35" s="630">
        <v>0.30199999999999999</v>
      </c>
      <c r="AP35" s="631"/>
      <c r="AQ35" s="631"/>
      <c r="AR35" s="632"/>
      <c r="AS35" s="463">
        <f>AX35/U12</f>
        <v>34.025333333333336</v>
      </c>
      <c r="AT35" s="463"/>
      <c r="AU35" s="463"/>
      <c r="AV35" s="463"/>
      <c r="AW35" s="463"/>
      <c r="AX35" s="463">
        <f>AX34*AO35</f>
        <v>34.025333333333336</v>
      </c>
      <c r="AY35" s="463"/>
      <c r="AZ35" s="463"/>
      <c r="BA35" s="463"/>
      <c r="BB35" s="633"/>
    </row>
    <row r="36" spans="1:54" s="167" customFormat="1" ht="5.0999999999999996" customHeight="1" thickBot="1" x14ac:dyDescent="0.25">
      <c r="A36" s="166"/>
      <c r="B36" s="166"/>
      <c r="C36" s="166"/>
      <c r="D36" s="166"/>
      <c r="E36" s="166"/>
      <c r="F36" s="166"/>
      <c r="G36" s="166"/>
      <c r="H36" s="173"/>
      <c r="I36" s="173"/>
      <c r="J36" s="173"/>
      <c r="K36" s="173"/>
      <c r="L36" s="173"/>
      <c r="M36" s="173"/>
      <c r="P36" s="168"/>
      <c r="Q36" s="174"/>
      <c r="R36" s="174"/>
      <c r="S36" s="174"/>
      <c r="U36" s="174"/>
      <c r="V36" s="174"/>
      <c r="W36" s="174"/>
      <c r="Z36" s="162"/>
      <c r="AA36" s="162"/>
      <c r="AB36" s="162"/>
      <c r="AC36" s="177"/>
      <c r="AD36" s="177"/>
      <c r="AE36" s="177"/>
      <c r="AF36" s="177"/>
      <c r="AG36" s="177"/>
      <c r="AH36" s="177"/>
      <c r="AI36" s="177"/>
      <c r="AJ36" s="177"/>
      <c r="AK36" s="177"/>
      <c r="AL36" s="177"/>
      <c r="AM36" s="177"/>
      <c r="AN36" s="177"/>
      <c r="AO36" s="177"/>
      <c r="AP36" s="177"/>
      <c r="AQ36" s="177"/>
      <c r="AR36" s="177"/>
      <c r="AS36" s="178"/>
      <c r="AT36" s="179"/>
      <c r="AU36" s="179"/>
      <c r="AV36" s="179"/>
      <c r="AW36" s="179"/>
      <c r="AX36" s="178"/>
      <c r="AY36" s="179"/>
      <c r="AZ36" s="179"/>
      <c r="BA36" s="179"/>
      <c r="BB36" s="179"/>
    </row>
    <row r="37" spans="1:54" s="167" customFormat="1" ht="12" customHeight="1" x14ac:dyDescent="0.2">
      <c r="A37" s="687" t="s">
        <v>8</v>
      </c>
      <c r="B37" s="688"/>
      <c r="C37" s="688"/>
      <c r="D37" s="688"/>
      <c r="E37" s="688"/>
      <c r="F37" s="688"/>
      <c r="G37" s="689"/>
      <c r="H37" s="696" t="s">
        <v>9</v>
      </c>
      <c r="I37" s="688"/>
      <c r="J37" s="688"/>
      <c r="K37" s="688"/>
      <c r="L37" s="688"/>
      <c r="M37" s="688"/>
      <c r="N37" s="688"/>
      <c r="O37" s="688"/>
      <c r="P37" s="688"/>
      <c r="Q37" s="688"/>
      <c r="R37" s="688"/>
      <c r="S37" s="688"/>
      <c r="T37" s="688"/>
      <c r="U37" s="688"/>
      <c r="V37" s="688"/>
      <c r="W37" s="688"/>
      <c r="X37" s="688"/>
      <c r="Y37" s="688"/>
      <c r="Z37" s="688"/>
      <c r="AA37" s="688"/>
      <c r="AB37" s="689"/>
      <c r="AC37" s="696" t="s">
        <v>10</v>
      </c>
      <c r="AD37" s="688"/>
      <c r="AE37" s="688"/>
      <c r="AF37" s="688"/>
      <c r="AG37" s="689"/>
      <c r="AH37" s="671" t="s">
        <v>420</v>
      </c>
      <c r="AI37" s="739"/>
      <c r="AJ37" s="739"/>
      <c r="AK37" s="739"/>
      <c r="AL37" s="739"/>
      <c r="AM37" s="740"/>
      <c r="AN37" s="671" t="s">
        <v>12</v>
      </c>
      <c r="AO37" s="672"/>
      <c r="AP37" s="672"/>
      <c r="AQ37" s="672"/>
      <c r="AR37" s="699"/>
      <c r="AS37" s="671" t="s">
        <v>13</v>
      </c>
      <c r="AT37" s="672"/>
      <c r="AU37" s="672"/>
      <c r="AV37" s="672"/>
      <c r="AW37" s="673"/>
      <c r="AX37" s="671" t="s">
        <v>14</v>
      </c>
      <c r="AY37" s="672"/>
      <c r="AZ37" s="672"/>
      <c r="BA37" s="672"/>
      <c r="BB37" s="673"/>
    </row>
    <row r="38" spans="1:54" s="167" customFormat="1" ht="12" customHeight="1" x14ac:dyDescent="0.2">
      <c r="A38" s="690"/>
      <c r="B38" s="691"/>
      <c r="C38" s="691"/>
      <c r="D38" s="691"/>
      <c r="E38" s="691"/>
      <c r="F38" s="691"/>
      <c r="G38" s="692"/>
      <c r="H38" s="697"/>
      <c r="I38" s="691"/>
      <c r="J38" s="691"/>
      <c r="K38" s="691"/>
      <c r="L38" s="691"/>
      <c r="M38" s="691"/>
      <c r="N38" s="691"/>
      <c r="O38" s="691"/>
      <c r="P38" s="691"/>
      <c r="Q38" s="691"/>
      <c r="R38" s="691"/>
      <c r="S38" s="691"/>
      <c r="T38" s="691"/>
      <c r="U38" s="691"/>
      <c r="V38" s="691"/>
      <c r="W38" s="691"/>
      <c r="X38" s="691"/>
      <c r="Y38" s="691"/>
      <c r="Z38" s="691"/>
      <c r="AA38" s="691"/>
      <c r="AB38" s="692"/>
      <c r="AC38" s="697"/>
      <c r="AD38" s="691"/>
      <c r="AE38" s="691"/>
      <c r="AF38" s="691"/>
      <c r="AG38" s="692"/>
      <c r="AH38" s="741"/>
      <c r="AI38" s="742"/>
      <c r="AJ38" s="742"/>
      <c r="AK38" s="742"/>
      <c r="AL38" s="742"/>
      <c r="AM38" s="743"/>
      <c r="AN38" s="674"/>
      <c r="AO38" s="675"/>
      <c r="AP38" s="675"/>
      <c r="AQ38" s="675"/>
      <c r="AR38" s="700"/>
      <c r="AS38" s="674"/>
      <c r="AT38" s="675"/>
      <c r="AU38" s="675"/>
      <c r="AV38" s="675"/>
      <c r="AW38" s="676"/>
      <c r="AX38" s="674"/>
      <c r="AY38" s="675"/>
      <c r="AZ38" s="675"/>
      <c r="BA38" s="675"/>
      <c r="BB38" s="676"/>
    </row>
    <row r="39" spans="1:54" s="167" customFormat="1" ht="11.25" customHeight="1" thickBot="1" x14ac:dyDescent="0.25">
      <c r="A39" s="693"/>
      <c r="B39" s="694"/>
      <c r="C39" s="694"/>
      <c r="D39" s="694"/>
      <c r="E39" s="694"/>
      <c r="F39" s="694"/>
      <c r="G39" s="695"/>
      <c r="H39" s="698"/>
      <c r="I39" s="694"/>
      <c r="J39" s="694"/>
      <c r="K39" s="694"/>
      <c r="L39" s="694"/>
      <c r="M39" s="694"/>
      <c r="N39" s="694"/>
      <c r="O39" s="694"/>
      <c r="P39" s="694"/>
      <c r="Q39" s="694"/>
      <c r="R39" s="694"/>
      <c r="S39" s="694"/>
      <c r="T39" s="694"/>
      <c r="U39" s="694"/>
      <c r="V39" s="694"/>
      <c r="W39" s="694"/>
      <c r="X39" s="694"/>
      <c r="Y39" s="694"/>
      <c r="Z39" s="694"/>
      <c r="AA39" s="694"/>
      <c r="AB39" s="695"/>
      <c r="AC39" s="698"/>
      <c r="AD39" s="694"/>
      <c r="AE39" s="694"/>
      <c r="AF39" s="694"/>
      <c r="AG39" s="695"/>
      <c r="AH39" s="744"/>
      <c r="AI39" s="745"/>
      <c r="AJ39" s="745"/>
      <c r="AK39" s="745"/>
      <c r="AL39" s="745"/>
      <c r="AM39" s="746"/>
      <c r="AN39" s="677"/>
      <c r="AO39" s="678"/>
      <c r="AP39" s="678"/>
      <c r="AQ39" s="678"/>
      <c r="AR39" s="701"/>
      <c r="AS39" s="677"/>
      <c r="AT39" s="678"/>
      <c r="AU39" s="678"/>
      <c r="AV39" s="678"/>
      <c r="AW39" s="679"/>
      <c r="AX39" s="677"/>
      <c r="AY39" s="678"/>
      <c r="AZ39" s="678"/>
      <c r="BA39" s="678"/>
      <c r="BB39" s="679"/>
    </row>
    <row r="40" spans="1:54" ht="18.75" customHeight="1" thickBot="1" x14ac:dyDescent="0.25">
      <c r="A40" s="731" t="s">
        <v>23</v>
      </c>
      <c r="B40" s="732"/>
      <c r="C40" s="732"/>
      <c r="D40" s="732"/>
      <c r="E40" s="732"/>
      <c r="F40" s="732"/>
      <c r="G40" s="732"/>
      <c r="H40" s="732"/>
      <c r="I40" s="732"/>
      <c r="J40" s="732"/>
      <c r="K40" s="732"/>
      <c r="L40" s="732"/>
      <c r="M40" s="732"/>
      <c r="N40" s="732"/>
      <c r="O40" s="732"/>
      <c r="P40" s="732"/>
      <c r="Q40" s="732"/>
      <c r="R40" s="732"/>
      <c r="S40" s="732"/>
      <c r="T40" s="732"/>
      <c r="U40" s="732"/>
      <c r="V40" s="732"/>
      <c r="W40" s="732"/>
      <c r="X40" s="732"/>
      <c r="Y40" s="732"/>
      <c r="Z40" s="732"/>
      <c r="AA40" s="732"/>
      <c r="AB40" s="732"/>
      <c r="AC40" s="732"/>
      <c r="AD40" s="732"/>
      <c r="AE40" s="732"/>
      <c r="AF40" s="732"/>
      <c r="AG40" s="732"/>
      <c r="AH40" s="732"/>
      <c r="AI40" s="732"/>
      <c r="AJ40" s="732"/>
      <c r="AK40" s="732"/>
      <c r="AL40" s="732"/>
      <c r="AM40" s="732"/>
      <c r="AN40" s="732"/>
      <c r="AO40" s="732"/>
      <c r="AP40" s="732"/>
      <c r="AQ40" s="732"/>
      <c r="AR40" s="732"/>
      <c r="AS40" s="732"/>
      <c r="AT40" s="732"/>
      <c r="AU40" s="732"/>
      <c r="AV40" s="732"/>
      <c r="AW40" s="732"/>
      <c r="AX40" s="732"/>
      <c r="AY40" s="732"/>
      <c r="AZ40" s="732"/>
      <c r="BA40" s="732"/>
      <c r="BB40" s="733"/>
    </row>
    <row r="41" spans="1:54" ht="36" customHeight="1" x14ac:dyDescent="0.2">
      <c r="A41" s="747"/>
      <c r="B41" s="748"/>
      <c r="C41" s="748"/>
      <c r="D41" s="748"/>
      <c r="E41" s="748"/>
      <c r="F41" s="748"/>
      <c r="G41" s="749"/>
      <c r="H41" s="718" t="s">
        <v>16</v>
      </c>
      <c r="I41" s="712"/>
      <c r="J41" s="712"/>
      <c r="K41" s="712"/>
      <c r="L41" s="712"/>
      <c r="M41" s="712"/>
      <c r="N41" s="712"/>
      <c r="O41" s="712"/>
      <c r="P41" s="712"/>
      <c r="Q41" s="712"/>
      <c r="R41" s="712"/>
      <c r="S41" s="712"/>
      <c r="T41" s="712"/>
      <c r="U41" s="712"/>
      <c r="V41" s="712"/>
      <c r="W41" s="712"/>
      <c r="X41" s="712"/>
      <c r="Y41" s="712"/>
      <c r="Z41" s="722">
        <v>0</v>
      </c>
      <c r="AA41" s="723"/>
      <c r="AB41" s="724"/>
      <c r="AC41" s="718">
        <f>R41*Z43</f>
        <v>0</v>
      </c>
      <c r="AD41" s="712"/>
      <c r="AE41" s="712"/>
      <c r="AF41" s="712"/>
      <c r="AG41" s="734"/>
      <c r="AH41" s="508">
        <v>155</v>
      </c>
      <c r="AI41" s="509"/>
      <c r="AJ41" s="509"/>
      <c r="AK41" s="509"/>
      <c r="AL41" s="509"/>
      <c r="AM41" s="510"/>
      <c r="AN41" s="711">
        <f>AC41/AH41</f>
        <v>0</v>
      </c>
      <c r="AO41" s="712"/>
      <c r="AP41" s="712"/>
      <c r="AQ41" s="712"/>
      <c r="AR41" s="734"/>
      <c r="AS41" s="508">
        <v>0</v>
      </c>
      <c r="AT41" s="509"/>
      <c r="AU41" s="509"/>
      <c r="AV41" s="509"/>
      <c r="AW41" s="510"/>
      <c r="AX41" s="662">
        <f>AN41*AS41</f>
        <v>0</v>
      </c>
      <c r="AY41" s="662"/>
      <c r="AZ41" s="662"/>
      <c r="BA41" s="662"/>
      <c r="BB41" s="684"/>
    </row>
    <row r="42" spans="1:54" s="165" customFormat="1" ht="0.75" hidden="1" customHeight="1" x14ac:dyDescent="0.2">
      <c r="A42" s="750"/>
      <c r="B42" s="751"/>
      <c r="C42" s="751"/>
      <c r="D42" s="751"/>
      <c r="E42" s="751"/>
      <c r="F42" s="751"/>
      <c r="G42" s="752"/>
      <c r="H42" s="719"/>
      <c r="I42" s="704"/>
      <c r="J42" s="704"/>
      <c r="K42" s="704"/>
      <c r="L42" s="704"/>
      <c r="M42" s="704"/>
      <c r="N42" s="704"/>
      <c r="O42" s="704"/>
      <c r="P42" s="704"/>
      <c r="Q42" s="704"/>
      <c r="R42" s="704"/>
      <c r="S42" s="704"/>
      <c r="T42" s="704"/>
      <c r="U42" s="704"/>
      <c r="V42" s="704"/>
      <c r="W42" s="704"/>
      <c r="X42" s="704"/>
      <c r="Y42" s="704"/>
      <c r="Z42" s="725"/>
      <c r="AA42" s="726"/>
      <c r="AB42" s="727"/>
      <c r="AC42" s="719"/>
      <c r="AD42" s="704"/>
      <c r="AE42" s="704"/>
      <c r="AF42" s="704"/>
      <c r="AG42" s="735"/>
      <c r="AH42" s="511"/>
      <c r="AI42" s="512"/>
      <c r="AJ42" s="512"/>
      <c r="AK42" s="512"/>
      <c r="AL42" s="512"/>
      <c r="AM42" s="513"/>
      <c r="AN42" s="714"/>
      <c r="AO42" s="704"/>
      <c r="AP42" s="704"/>
      <c r="AQ42" s="704"/>
      <c r="AR42" s="735"/>
      <c r="AS42" s="511"/>
      <c r="AT42" s="512"/>
      <c r="AU42" s="512"/>
      <c r="AV42" s="512"/>
      <c r="AW42" s="513"/>
      <c r="AX42" s="601"/>
      <c r="AY42" s="601"/>
      <c r="AZ42" s="601"/>
      <c r="BA42" s="601"/>
      <c r="BB42" s="655"/>
    </row>
    <row r="43" spans="1:54" ht="18" customHeight="1" x14ac:dyDescent="0.2">
      <c r="A43" s="750"/>
      <c r="B43" s="751"/>
      <c r="C43" s="751"/>
      <c r="D43" s="751"/>
      <c r="E43" s="751"/>
      <c r="F43" s="751"/>
      <c r="G43" s="752"/>
      <c r="H43" s="719"/>
      <c r="I43" s="704"/>
      <c r="J43" s="704"/>
      <c r="K43" s="704"/>
      <c r="L43" s="704"/>
      <c r="M43" s="704"/>
      <c r="N43" s="704"/>
      <c r="O43" s="704"/>
      <c r="P43" s="704"/>
      <c r="Q43" s="704"/>
      <c r="R43" s="704"/>
      <c r="S43" s="704"/>
      <c r="T43" s="704"/>
      <c r="U43" s="704"/>
      <c r="V43" s="704"/>
      <c r="W43" s="704"/>
      <c r="X43" s="704"/>
      <c r="Y43" s="704"/>
      <c r="Z43" s="725"/>
      <c r="AA43" s="726"/>
      <c r="AB43" s="727"/>
      <c r="AC43" s="719"/>
      <c r="AD43" s="704"/>
      <c r="AE43" s="704"/>
      <c r="AF43" s="704"/>
      <c r="AG43" s="735"/>
      <c r="AH43" s="511"/>
      <c r="AI43" s="512"/>
      <c r="AJ43" s="512"/>
      <c r="AK43" s="512"/>
      <c r="AL43" s="512"/>
      <c r="AM43" s="513"/>
      <c r="AN43" s="714"/>
      <c r="AO43" s="704"/>
      <c r="AP43" s="704"/>
      <c r="AQ43" s="704"/>
      <c r="AR43" s="735"/>
      <c r="AS43" s="511"/>
      <c r="AT43" s="512"/>
      <c r="AU43" s="512"/>
      <c r="AV43" s="512"/>
      <c r="AW43" s="513"/>
      <c r="AX43" s="601"/>
      <c r="AY43" s="601"/>
      <c r="AZ43" s="601"/>
      <c r="BA43" s="601"/>
      <c r="BB43" s="655"/>
    </row>
    <row r="44" spans="1:54" s="165" customFormat="1" ht="21" hidden="1" customHeight="1" x14ac:dyDescent="0.2">
      <c r="A44" s="750"/>
      <c r="B44" s="751"/>
      <c r="C44" s="751"/>
      <c r="D44" s="751"/>
      <c r="E44" s="751"/>
      <c r="F44" s="751"/>
      <c r="G44" s="752"/>
      <c r="H44" s="719"/>
      <c r="I44" s="704"/>
      <c r="J44" s="704"/>
      <c r="K44" s="704"/>
      <c r="L44" s="704"/>
      <c r="M44" s="704"/>
      <c r="N44" s="704"/>
      <c r="O44" s="704"/>
      <c r="P44" s="704"/>
      <c r="Q44" s="704"/>
      <c r="R44" s="704"/>
      <c r="S44" s="704"/>
      <c r="T44" s="704"/>
      <c r="U44" s="704"/>
      <c r="V44" s="704"/>
      <c r="W44" s="704"/>
      <c r="X44" s="704"/>
      <c r="Y44" s="704"/>
      <c r="Z44" s="725"/>
      <c r="AA44" s="726"/>
      <c r="AB44" s="727"/>
      <c r="AC44" s="719"/>
      <c r="AD44" s="704"/>
      <c r="AE44" s="704"/>
      <c r="AF44" s="704"/>
      <c r="AG44" s="735"/>
      <c r="AH44" s="511"/>
      <c r="AI44" s="512"/>
      <c r="AJ44" s="512"/>
      <c r="AK44" s="512"/>
      <c r="AL44" s="512"/>
      <c r="AM44" s="513"/>
      <c r="AN44" s="714"/>
      <c r="AO44" s="704"/>
      <c r="AP44" s="704"/>
      <c r="AQ44" s="704"/>
      <c r="AR44" s="735"/>
      <c r="AS44" s="511"/>
      <c r="AT44" s="512"/>
      <c r="AU44" s="512"/>
      <c r="AV44" s="512"/>
      <c r="AW44" s="513"/>
      <c r="AX44" s="601"/>
      <c r="AY44" s="601"/>
      <c r="AZ44" s="601"/>
      <c r="BA44" s="601"/>
      <c r="BB44" s="655"/>
    </row>
    <row r="45" spans="1:54" s="165" customFormat="1" ht="21.75" hidden="1" customHeight="1" x14ac:dyDescent="0.2">
      <c r="A45" s="750"/>
      <c r="B45" s="751"/>
      <c r="C45" s="751"/>
      <c r="D45" s="751"/>
      <c r="E45" s="751"/>
      <c r="F45" s="751"/>
      <c r="G45" s="752"/>
      <c r="H45" s="719"/>
      <c r="I45" s="704"/>
      <c r="J45" s="704"/>
      <c r="K45" s="704"/>
      <c r="L45" s="704"/>
      <c r="M45" s="704"/>
      <c r="N45" s="704"/>
      <c r="O45" s="704"/>
      <c r="P45" s="704"/>
      <c r="Q45" s="704"/>
      <c r="R45" s="704"/>
      <c r="S45" s="704"/>
      <c r="T45" s="704"/>
      <c r="U45" s="704"/>
      <c r="V45" s="704"/>
      <c r="W45" s="704"/>
      <c r="X45" s="704"/>
      <c r="Y45" s="704"/>
      <c r="Z45" s="725"/>
      <c r="AA45" s="726"/>
      <c r="AB45" s="727"/>
      <c r="AC45" s="719"/>
      <c r="AD45" s="704"/>
      <c r="AE45" s="704"/>
      <c r="AF45" s="704"/>
      <c r="AG45" s="735"/>
      <c r="AH45" s="511"/>
      <c r="AI45" s="512"/>
      <c r="AJ45" s="512"/>
      <c r="AK45" s="512"/>
      <c r="AL45" s="512"/>
      <c r="AM45" s="513"/>
      <c r="AN45" s="714"/>
      <c r="AO45" s="704"/>
      <c r="AP45" s="704"/>
      <c r="AQ45" s="704"/>
      <c r="AR45" s="735"/>
      <c r="AS45" s="511"/>
      <c r="AT45" s="512"/>
      <c r="AU45" s="512"/>
      <c r="AV45" s="512"/>
      <c r="AW45" s="513"/>
      <c r="AX45" s="601"/>
      <c r="AY45" s="601"/>
      <c r="AZ45" s="601"/>
      <c r="BA45" s="601"/>
      <c r="BB45" s="655"/>
    </row>
    <row r="46" spans="1:54" s="165" customFormat="1" ht="24" hidden="1" customHeight="1" x14ac:dyDescent="0.2">
      <c r="A46" s="750"/>
      <c r="B46" s="751"/>
      <c r="C46" s="751"/>
      <c r="D46" s="751"/>
      <c r="E46" s="751"/>
      <c r="F46" s="751"/>
      <c r="G46" s="752"/>
      <c r="H46" s="719"/>
      <c r="I46" s="704"/>
      <c r="J46" s="704"/>
      <c r="K46" s="704"/>
      <c r="L46" s="704"/>
      <c r="M46" s="704"/>
      <c r="N46" s="704"/>
      <c r="O46" s="704"/>
      <c r="P46" s="704"/>
      <c r="Q46" s="704"/>
      <c r="R46" s="704"/>
      <c r="S46" s="704"/>
      <c r="T46" s="704"/>
      <c r="U46" s="704"/>
      <c r="V46" s="704"/>
      <c r="W46" s="704"/>
      <c r="X46" s="704"/>
      <c r="Y46" s="704"/>
      <c r="Z46" s="725"/>
      <c r="AA46" s="726"/>
      <c r="AB46" s="727"/>
      <c r="AC46" s="719"/>
      <c r="AD46" s="704"/>
      <c r="AE46" s="704"/>
      <c r="AF46" s="704"/>
      <c r="AG46" s="735"/>
      <c r="AH46" s="511"/>
      <c r="AI46" s="512"/>
      <c r="AJ46" s="512"/>
      <c r="AK46" s="512"/>
      <c r="AL46" s="512"/>
      <c r="AM46" s="513"/>
      <c r="AN46" s="714"/>
      <c r="AO46" s="704"/>
      <c r="AP46" s="704"/>
      <c r="AQ46" s="704"/>
      <c r="AR46" s="735"/>
      <c r="AS46" s="511"/>
      <c r="AT46" s="512"/>
      <c r="AU46" s="512"/>
      <c r="AV46" s="512"/>
      <c r="AW46" s="513"/>
      <c r="AX46" s="601"/>
      <c r="AY46" s="601"/>
      <c r="AZ46" s="601"/>
      <c r="BA46" s="601"/>
      <c r="BB46" s="655"/>
    </row>
    <row r="47" spans="1:54" s="165" customFormat="1" ht="18" hidden="1" customHeight="1" x14ac:dyDescent="0.2">
      <c r="A47" s="750"/>
      <c r="B47" s="751"/>
      <c r="C47" s="751"/>
      <c r="D47" s="751"/>
      <c r="E47" s="751"/>
      <c r="F47" s="751"/>
      <c r="G47" s="752"/>
      <c r="H47" s="719"/>
      <c r="I47" s="704"/>
      <c r="J47" s="704"/>
      <c r="K47" s="704"/>
      <c r="L47" s="704"/>
      <c r="M47" s="704"/>
      <c r="N47" s="704"/>
      <c r="O47" s="704"/>
      <c r="P47" s="704"/>
      <c r="Q47" s="704"/>
      <c r="R47" s="704"/>
      <c r="S47" s="704"/>
      <c r="T47" s="704"/>
      <c r="U47" s="704"/>
      <c r="V47" s="704"/>
      <c r="W47" s="704"/>
      <c r="X47" s="704"/>
      <c r="Y47" s="704"/>
      <c r="Z47" s="725"/>
      <c r="AA47" s="726"/>
      <c r="AB47" s="727"/>
      <c r="AC47" s="719"/>
      <c r="AD47" s="704"/>
      <c r="AE47" s="704"/>
      <c r="AF47" s="704"/>
      <c r="AG47" s="735"/>
      <c r="AH47" s="511"/>
      <c r="AI47" s="512"/>
      <c r="AJ47" s="512"/>
      <c r="AK47" s="512"/>
      <c r="AL47" s="512"/>
      <c r="AM47" s="513"/>
      <c r="AN47" s="714"/>
      <c r="AO47" s="704"/>
      <c r="AP47" s="704"/>
      <c r="AQ47" s="704"/>
      <c r="AR47" s="735"/>
      <c r="AS47" s="511"/>
      <c r="AT47" s="512"/>
      <c r="AU47" s="512"/>
      <c r="AV47" s="512"/>
      <c r="AW47" s="513"/>
      <c r="AX47" s="601"/>
      <c r="AY47" s="601"/>
      <c r="AZ47" s="601"/>
      <c r="BA47" s="601"/>
      <c r="BB47" s="655"/>
    </row>
    <row r="48" spans="1:54" s="165" customFormat="1" ht="17.25" hidden="1" customHeight="1" x14ac:dyDescent="0.2">
      <c r="A48" s="750"/>
      <c r="B48" s="751"/>
      <c r="C48" s="751"/>
      <c r="D48" s="751"/>
      <c r="E48" s="751"/>
      <c r="F48" s="751"/>
      <c r="G48" s="752"/>
      <c r="H48" s="719"/>
      <c r="I48" s="704"/>
      <c r="J48" s="704"/>
      <c r="K48" s="704"/>
      <c r="L48" s="704"/>
      <c r="M48" s="704"/>
      <c r="N48" s="704"/>
      <c r="O48" s="704"/>
      <c r="P48" s="704"/>
      <c r="Q48" s="704"/>
      <c r="R48" s="704"/>
      <c r="S48" s="704"/>
      <c r="T48" s="704"/>
      <c r="U48" s="704"/>
      <c r="V48" s="704"/>
      <c r="W48" s="704"/>
      <c r="X48" s="704"/>
      <c r="Y48" s="704"/>
      <c r="Z48" s="725"/>
      <c r="AA48" s="726"/>
      <c r="AB48" s="727"/>
      <c r="AC48" s="719"/>
      <c r="AD48" s="704"/>
      <c r="AE48" s="704"/>
      <c r="AF48" s="704"/>
      <c r="AG48" s="735"/>
      <c r="AH48" s="511"/>
      <c r="AI48" s="512"/>
      <c r="AJ48" s="512"/>
      <c r="AK48" s="512"/>
      <c r="AL48" s="512"/>
      <c r="AM48" s="513"/>
      <c r="AN48" s="714"/>
      <c r="AO48" s="704"/>
      <c r="AP48" s="704"/>
      <c r="AQ48" s="704"/>
      <c r="AR48" s="735"/>
      <c r="AS48" s="511"/>
      <c r="AT48" s="512"/>
      <c r="AU48" s="512"/>
      <c r="AV48" s="512"/>
      <c r="AW48" s="513"/>
      <c r="AX48" s="601"/>
      <c r="AY48" s="601"/>
      <c r="AZ48" s="601"/>
      <c r="BA48" s="601"/>
      <c r="BB48" s="655"/>
    </row>
    <row r="49" spans="1:54" s="165" customFormat="1" ht="14.25" hidden="1" customHeight="1" x14ac:dyDescent="0.2">
      <c r="A49" s="750"/>
      <c r="B49" s="751"/>
      <c r="C49" s="751"/>
      <c r="D49" s="751"/>
      <c r="E49" s="751"/>
      <c r="F49" s="751"/>
      <c r="G49" s="752"/>
      <c r="H49" s="719"/>
      <c r="I49" s="704"/>
      <c r="J49" s="704"/>
      <c r="K49" s="704"/>
      <c r="L49" s="704"/>
      <c r="M49" s="704"/>
      <c r="N49" s="704"/>
      <c r="O49" s="704"/>
      <c r="P49" s="704"/>
      <c r="Q49" s="704"/>
      <c r="R49" s="704"/>
      <c r="S49" s="704"/>
      <c r="T49" s="704"/>
      <c r="U49" s="704"/>
      <c r="V49" s="704"/>
      <c r="W49" s="704"/>
      <c r="X49" s="704"/>
      <c r="Y49" s="704"/>
      <c r="Z49" s="725"/>
      <c r="AA49" s="726"/>
      <c r="AB49" s="727"/>
      <c r="AC49" s="719"/>
      <c r="AD49" s="704"/>
      <c r="AE49" s="704"/>
      <c r="AF49" s="704"/>
      <c r="AG49" s="735"/>
      <c r="AH49" s="511"/>
      <c r="AI49" s="512"/>
      <c r="AJ49" s="512"/>
      <c r="AK49" s="512"/>
      <c r="AL49" s="512"/>
      <c r="AM49" s="513"/>
      <c r="AN49" s="714"/>
      <c r="AO49" s="704"/>
      <c r="AP49" s="704"/>
      <c r="AQ49" s="704"/>
      <c r="AR49" s="735"/>
      <c r="AS49" s="511"/>
      <c r="AT49" s="512"/>
      <c r="AU49" s="512"/>
      <c r="AV49" s="512"/>
      <c r="AW49" s="513"/>
      <c r="AX49" s="601"/>
      <c r="AY49" s="601"/>
      <c r="AZ49" s="601"/>
      <c r="BA49" s="601"/>
      <c r="BB49" s="655"/>
    </row>
    <row r="50" spans="1:54" ht="8.25" customHeight="1" thickBot="1" x14ac:dyDescent="0.25">
      <c r="A50" s="753"/>
      <c r="B50" s="754"/>
      <c r="C50" s="754"/>
      <c r="D50" s="754"/>
      <c r="E50" s="754"/>
      <c r="F50" s="754"/>
      <c r="G50" s="755"/>
      <c r="H50" s="720"/>
      <c r="I50" s="721"/>
      <c r="J50" s="721"/>
      <c r="K50" s="721"/>
      <c r="L50" s="721"/>
      <c r="M50" s="721"/>
      <c r="N50" s="721"/>
      <c r="O50" s="721"/>
      <c r="P50" s="721"/>
      <c r="Q50" s="721"/>
      <c r="R50" s="721"/>
      <c r="S50" s="721"/>
      <c r="T50" s="721"/>
      <c r="U50" s="721"/>
      <c r="V50" s="721"/>
      <c r="W50" s="721"/>
      <c r="X50" s="721"/>
      <c r="Y50" s="721"/>
      <c r="Z50" s="728"/>
      <c r="AA50" s="729"/>
      <c r="AB50" s="730"/>
      <c r="AC50" s="720"/>
      <c r="AD50" s="721"/>
      <c r="AE50" s="721"/>
      <c r="AF50" s="721"/>
      <c r="AG50" s="851"/>
      <c r="AH50" s="514"/>
      <c r="AI50" s="515"/>
      <c r="AJ50" s="515"/>
      <c r="AK50" s="515"/>
      <c r="AL50" s="515"/>
      <c r="AM50" s="516"/>
      <c r="AN50" s="770"/>
      <c r="AO50" s="721"/>
      <c r="AP50" s="721"/>
      <c r="AQ50" s="721"/>
      <c r="AR50" s="851"/>
      <c r="AS50" s="514"/>
      <c r="AT50" s="515"/>
      <c r="AU50" s="515"/>
      <c r="AV50" s="515"/>
      <c r="AW50" s="516"/>
      <c r="AX50" s="656"/>
      <c r="AY50" s="656"/>
      <c r="AZ50" s="656"/>
      <c r="BA50" s="656"/>
      <c r="BB50" s="657"/>
    </row>
    <row r="51" spans="1:54" s="165" customFormat="1" ht="11.25" customHeight="1" x14ac:dyDescent="0.2">
      <c r="A51" s="166"/>
      <c r="B51" s="166"/>
      <c r="C51" s="166"/>
      <c r="D51" s="166"/>
      <c r="E51" s="166"/>
      <c r="F51" s="166"/>
      <c r="G51" s="166"/>
      <c r="H51" s="617"/>
      <c r="I51" s="617"/>
      <c r="J51" s="617"/>
      <c r="K51" s="617"/>
      <c r="L51" s="164"/>
      <c r="M51" s="164"/>
      <c r="N51" s="164"/>
      <c r="O51" s="164"/>
      <c r="P51" s="164"/>
      <c r="Q51" s="186"/>
      <c r="R51" s="187" t="s">
        <v>18</v>
      </c>
      <c r="S51" s="163"/>
      <c r="T51" s="163"/>
      <c r="U51" s="162"/>
      <c r="V51" s="162"/>
      <c r="W51" s="162"/>
      <c r="X51" s="162"/>
      <c r="Y51" s="162"/>
      <c r="Z51" s="162"/>
      <c r="AA51" s="162"/>
      <c r="AB51" s="162"/>
      <c r="AC51" s="162"/>
      <c r="AD51" s="162" t="s">
        <v>19</v>
      </c>
      <c r="AE51" s="162" t="s">
        <v>20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88"/>
      <c r="AS51" s="702">
        <f>SUM(AN41:AR50)</f>
        <v>0</v>
      </c>
      <c r="AT51" s="702"/>
      <c r="AU51" s="702"/>
      <c r="AV51" s="702"/>
      <c r="AW51" s="702"/>
      <c r="AX51" s="702">
        <f>SUM(AX41:BB44)</f>
        <v>0</v>
      </c>
      <c r="AY51" s="702"/>
      <c r="AZ51" s="702"/>
      <c r="BA51" s="702"/>
      <c r="BB51" s="703"/>
    </row>
    <row r="52" spans="1:54" s="165" customFormat="1" ht="11.25" customHeight="1" thickBot="1" x14ac:dyDescent="0.25">
      <c r="A52" s="166"/>
      <c r="B52" s="166"/>
      <c r="C52" s="166"/>
      <c r="D52" s="166"/>
      <c r="E52" s="166"/>
      <c r="F52" s="166"/>
      <c r="G52" s="166"/>
      <c r="H52" s="189"/>
      <c r="I52" s="189"/>
      <c r="J52" s="189"/>
      <c r="K52" s="189"/>
      <c r="L52" s="164"/>
      <c r="M52" s="164"/>
      <c r="N52" s="164"/>
      <c r="O52" s="164"/>
      <c r="P52" s="164"/>
      <c r="Q52" s="190"/>
      <c r="R52" s="175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 t="s">
        <v>19</v>
      </c>
      <c r="AE52" s="176" t="s">
        <v>21</v>
      </c>
      <c r="AF52" s="176"/>
      <c r="AG52" s="176"/>
      <c r="AH52" s="176"/>
      <c r="AI52" s="176"/>
      <c r="AJ52" s="176"/>
      <c r="AK52" s="176"/>
      <c r="AL52" s="176"/>
      <c r="AM52" s="176"/>
      <c r="AN52" s="176"/>
      <c r="AO52" s="630">
        <v>0.30199999999999999</v>
      </c>
      <c r="AP52" s="631"/>
      <c r="AQ52" s="631"/>
      <c r="AR52" s="632"/>
      <c r="AS52" s="463">
        <f>AS51*27.1%</f>
        <v>0</v>
      </c>
      <c r="AT52" s="463"/>
      <c r="AU52" s="463"/>
      <c r="AV52" s="463"/>
      <c r="AW52" s="463"/>
      <c r="AX52" s="463">
        <f>AX51*AO52</f>
        <v>0</v>
      </c>
      <c r="AY52" s="463"/>
      <c r="AZ52" s="463"/>
      <c r="BA52" s="463"/>
      <c r="BB52" s="633"/>
    </row>
    <row r="53" spans="1:54" s="165" customFormat="1" ht="8.25" customHeight="1" thickBot="1" x14ac:dyDescent="0.25">
      <c r="A53" s="166"/>
      <c r="B53" s="166"/>
      <c r="C53" s="166"/>
      <c r="D53" s="166"/>
      <c r="E53" s="166"/>
      <c r="F53" s="166"/>
      <c r="G53" s="166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91"/>
      <c r="AA53" s="191"/>
      <c r="AB53" s="191"/>
      <c r="AC53" s="191"/>
      <c r="AD53" s="191"/>
      <c r="AE53" s="192"/>
      <c r="AF53" s="192"/>
      <c r="AG53" s="192"/>
      <c r="AH53" s="192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</row>
    <row r="54" spans="1:54" s="165" customFormat="1" ht="12" customHeight="1" x14ac:dyDescent="0.2">
      <c r="A54" s="687" t="s">
        <v>8</v>
      </c>
      <c r="B54" s="688"/>
      <c r="C54" s="688"/>
      <c r="D54" s="688"/>
      <c r="E54" s="688"/>
      <c r="F54" s="688"/>
      <c r="G54" s="689"/>
      <c r="H54" s="696" t="s">
        <v>9</v>
      </c>
      <c r="I54" s="688"/>
      <c r="J54" s="688"/>
      <c r="K54" s="688"/>
      <c r="L54" s="688"/>
      <c r="M54" s="688"/>
      <c r="N54" s="688"/>
      <c r="O54" s="688"/>
      <c r="P54" s="688"/>
      <c r="Q54" s="688"/>
      <c r="R54" s="688"/>
      <c r="S54" s="688"/>
      <c r="T54" s="688"/>
      <c r="U54" s="688"/>
      <c r="V54" s="688"/>
      <c r="W54" s="688"/>
      <c r="X54" s="688"/>
      <c r="Y54" s="688"/>
      <c r="Z54" s="688"/>
      <c r="AA54" s="688"/>
      <c r="AB54" s="689"/>
      <c r="AC54" s="696" t="s">
        <v>10</v>
      </c>
      <c r="AD54" s="688"/>
      <c r="AE54" s="688"/>
      <c r="AF54" s="688"/>
      <c r="AG54" s="689"/>
      <c r="AH54" s="672" t="s">
        <v>24</v>
      </c>
      <c r="AI54" s="672"/>
      <c r="AJ54" s="672"/>
      <c r="AK54" s="672"/>
      <c r="AL54" s="672"/>
      <c r="AM54" s="699"/>
      <c r="AN54" s="671" t="s">
        <v>12</v>
      </c>
      <c r="AO54" s="672"/>
      <c r="AP54" s="672"/>
      <c r="AQ54" s="672"/>
      <c r="AR54" s="699"/>
      <c r="AS54" s="671" t="s">
        <v>13</v>
      </c>
      <c r="AT54" s="672"/>
      <c r="AU54" s="672"/>
      <c r="AV54" s="672"/>
      <c r="AW54" s="673"/>
      <c r="AX54" s="671" t="s">
        <v>14</v>
      </c>
      <c r="AY54" s="672"/>
      <c r="AZ54" s="672"/>
      <c r="BA54" s="672"/>
      <c r="BB54" s="673"/>
    </row>
    <row r="55" spans="1:54" s="165" customFormat="1" ht="12" customHeight="1" x14ac:dyDescent="0.2">
      <c r="A55" s="690"/>
      <c r="B55" s="691"/>
      <c r="C55" s="691"/>
      <c r="D55" s="691"/>
      <c r="E55" s="691"/>
      <c r="F55" s="691"/>
      <c r="G55" s="692"/>
      <c r="H55" s="697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1"/>
      <c r="V55" s="691"/>
      <c r="W55" s="691"/>
      <c r="X55" s="691"/>
      <c r="Y55" s="691"/>
      <c r="Z55" s="691"/>
      <c r="AA55" s="691"/>
      <c r="AB55" s="692"/>
      <c r="AC55" s="697"/>
      <c r="AD55" s="691"/>
      <c r="AE55" s="691"/>
      <c r="AF55" s="691"/>
      <c r="AG55" s="692"/>
      <c r="AH55" s="675"/>
      <c r="AI55" s="675"/>
      <c r="AJ55" s="675"/>
      <c r="AK55" s="675"/>
      <c r="AL55" s="675"/>
      <c r="AM55" s="700"/>
      <c r="AN55" s="674"/>
      <c r="AO55" s="675"/>
      <c r="AP55" s="675"/>
      <c r="AQ55" s="675"/>
      <c r="AR55" s="700"/>
      <c r="AS55" s="674"/>
      <c r="AT55" s="675"/>
      <c r="AU55" s="675"/>
      <c r="AV55" s="675"/>
      <c r="AW55" s="676"/>
      <c r="AX55" s="674"/>
      <c r="AY55" s="675"/>
      <c r="AZ55" s="675"/>
      <c r="BA55" s="675"/>
      <c r="BB55" s="676"/>
    </row>
    <row r="56" spans="1:54" s="164" customFormat="1" ht="13.5" customHeight="1" thickBot="1" x14ac:dyDescent="0.25">
      <c r="A56" s="693"/>
      <c r="B56" s="694"/>
      <c r="C56" s="694"/>
      <c r="D56" s="694"/>
      <c r="E56" s="694"/>
      <c r="F56" s="694"/>
      <c r="G56" s="695"/>
      <c r="H56" s="698"/>
      <c r="I56" s="694"/>
      <c r="J56" s="694"/>
      <c r="K56" s="694"/>
      <c r="L56" s="694"/>
      <c r="M56" s="694"/>
      <c r="N56" s="694"/>
      <c r="O56" s="694"/>
      <c r="P56" s="694"/>
      <c r="Q56" s="694"/>
      <c r="R56" s="694"/>
      <c r="S56" s="694"/>
      <c r="T56" s="694"/>
      <c r="U56" s="694"/>
      <c r="V56" s="694"/>
      <c r="W56" s="694"/>
      <c r="X56" s="694"/>
      <c r="Y56" s="694"/>
      <c r="Z56" s="694"/>
      <c r="AA56" s="694"/>
      <c r="AB56" s="695"/>
      <c r="AC56" s="698"/>
      <c r="AD56" s="694"/>
      <c r="AE56" s="694"/>
      <c r="AF56" s="694"/>
      <c r="AG56" s="695"/>
      <c r="AH56" s="678"/>
      <c r="AI56" s="678"/>
      <c r="AJ56" s="678"/>
      <c r="AK56" s="678"/>
      <c r="AL56" s="678"/>
      <c r="AM56" s="701"/>
      <c r="AN56" s="677"/>
      <c r="AO56" s="678"/>
      <c r="AP56" s="678"/>
      <c r="AQ56" s="678"/>
      <c r="AR56" s="701"/>
      <c r="AS56" s="677"/>
      <c r="AT56" s="678"/>
      <c r="AU56" s="678"/>
      <c r="AV56" s="678"/>
      <c r="AW56" s="679"/>
      <c r="AX56" s="677"/>
      <c r="AY56" s="678"/>
      <c r="AZ56" s="678"/>
      <c r="BA56" s="678"/>
      <c r="BB56" s="679"/>
    </row>
    <row r="57" spans="1:54" ht="25.5" customHeight="1" thickBot="1" x14ac:dyDescent="0.25">
      <c r="A57" s="532" t="s">
        <v>25</v>
      </c>
      <c r="B57" s="533"/>
      <c r="C57" s="533"/>
      <c r="D57" s="533"/>
      <c r="E57" s="533"/>
      <c r="F57" s="533"/>
      <c r="G57" s="533"/>
      <c r="H57" s="533"/>
      <c r="I57" s="533"/>
      <c r="J57" s="533"/>
      <c r="K57" s="533"/>
      <c r="L57" s="533"/>
      <c r="M57" s="533"/>
      <c r="N57" s="533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  <c r="Z57" s="533"/>
      <c r="AA57" s="533"/>
      <c r="AB57" s="533"/>
      <c r="AC57" s="533"/>
      <c r="AD57" s="533"/>
      <c r="AE57" s="533"/>
      <c r="AF57" s="533"/>
      <c r="AG57" s="533"/>
      <c r="AH57" s="533"/>
      <c r="AI57" s="533"/>
      <c r="AJ57" s="533"/>
      <c r="AK57" s="533"/>
      <c r="AL57" s="533"/>
      <c r="AM57" s="533"/>
      <c r="AN57" s="533"/>
      <c r="AO57" s="533"/>
      <c r="AP57" s="533"/>
      <c r="AQ57" s="533"/>
      <c r="AR57" s="533"/>
      <c r="AS57" s="533"/>
      <c r="AT57" s="533"/>
      <c r="AU57" s="533"/>
      <c r="AV57" s="533"/>
      <c r="AW57" s="533"/>
      <c r="AX57" s="533"/>
      <c r="AY57" s="533"/>
      <c r="AZ57" s="533"/>
      <c r="BA57" s="533"/>
      <c r="BB57" s="680"/>
    </row>
    <row r="58" spans="1:54" ht="13.5" hidden="1" customHeight="1" x14ac:dyDescent="0.2">
      <c r="A58" s="660" t="s">
        <v>326</v>
      </c>
      <c r="B58" s="661"/>
      <c r="C58" s="661"/>
      <c r="D58" s="661"/>
      <c r="E58" s="661"/>
      <c r="F58" s="661"/>
      <c r="G58" s="661"/>
      <c r="H58" s="92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4" t="e">
        <f>#REF!</f>
        <v>#REF!</v>
      </c>
      <c r="AA58" s="95"/>
      <c r="AB58" s="96"/>
      <c r="AC58" s="662">
        <f>((R59+(R59*U61)+(R59*Q61)+(R59*M61)+(R59*I61))*Z61)</f>
        <v>40560</v>
      </c>
      <c r="AD58" s="662"/>
      <c r="AE58" s="662"/>
      <c r="AF58" s="662"/>
      <c r="AG58" s="662"/>
      <c r="AH58" s="711">
        <v>144</v>
      </c>
      <c r="AI58" s="712"/>
      <c r="AJ58" s="712"/>
      <c r="AK58" s="712"/>
      <c r="AL58" s="712"/>
      <c r="AM58" s="734"/>
      <c r="AN58" s="662">
        <f>AC58/AH58</f>
        <v>281.66666666666669</v>
      </c>
      <c r="AO58" s="662"/>
      <c r="AP58" s="662"/>
      <c r="AQ58" s="662"/>
      <c r="AR58" s="662"/>
      <c r="AS58" s="663">
        <v>1</v>
      </c>
      <c r="AT58" s="663"/>
      <c r="AU58" s="663"/>
      <c r="AV58" s="663"/>
      <c r="AW58" s="663"/>
      <c r="AX58" s="662">
        <f>AN58*AS58</f>
        <v>281.66666666666669</v>
      </c>
      <c r="AY58" s="662"/>
      <c r="AZ58" s="662"/>
      <c r="BA58" s="662"/>
      <c r="BB58" s="684"/>
    </row>
    <row r="59" spans="1:54" s="165" customFormat="1" ht="25.9" customHeight="1" x14ac:dyDescent="0.2">
      <c r="A59" s="652"/>
      <c r="B59" s="653"/>
      <c r="C59" s="653"/>
      <c r="D59" s="653"/>
      <c r="E59" s="653"/>
      <c r="F59" s="653"/>
      <c r="G59" s="653"/>
      <c r="H59" s="685" t="s">
        <v>530</v>
      </c>
      <c r="I59" s="686"/>
      <c r="J59" s="686"/>
      <c r="K59" s="686"/>
      <c r="L59" s="686"/>
      <c r="M59" s="686"/>
      <c r="N59" s="669"/>
      <c r="O59" s="669"/>
      <c r="P59" s="669"/>
      <c r="Q59" s="84" t="s">
        <v>27</v>
      </c>
      <c r="R59" s="669">
        <v>15600</v>
      </c>
      <c r="S59" s="669"/>
      <c r="T59" s="669"/>
      <c r="U59" s="669"/>
      <c r="V59" s="669"/>
      <c r="W59" s="84"/>
      <c r="X59" s="84"/>
      <c r="Y59" s="84"/>
      <c r="Z59" s="84"/>
      <c r="AA59" s="84"/>
      <c r="AB59" s="85"/>
      <c r="AC59" s="601"/>
      <c r="AD59" s="601"/>
      <c r="AE59" s="601"/>
      <c r="AF59" s="601"/>
      <c r="AG59" s="601"/>
      <c r="AH59" s="714"/>
      <c r="AI59" s="704"/>
      <c r="AJ59" s="704"/>
      <c r="AK59" s="704"/>
      <c r="AL59" s="704"/>
      <c r="AM59" s="735"/>
      <c r="AN59" s="601"/>
      <c r="AO59" s="601"/>
      <c r="AP59" s="601"/>
      <c r="AQ59" s="601"/>
      <c r="AR59" s="601"/>
      <c r="AS59" s="664"/>
      <c r="AT59" s="664"/>
      <c r="AU59" s="664"/>
      <c r="AV59" s="664"/>
      <c r="AW59" s="664"/>
      <c r="AX59" s="601"/>
      <c r="AY59" s="601"/>
      <c r="AZ59" s="601"/>
      <c r="BA59" s="601"/>
      <c r="BB59" s="655"/>
    </row>
    <row r="60" spans="1:54" s="165" customFormat="1" ht="4.5" customHeight="1" x14ac:dyDescent="0.2">
      <c r="A60" s="652"/>
      <c r="B60" s="653"/>
      <c r="C60" s="653"/>
      <c r="D60" s="653"/>
      <c r="E60" s="653"/>
      <c r="F60" s="653"/>
      <c r="G60" s="653"/>
      <c r="H60" s="86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5"/>
      <c r="AC60" s="601"/>
      <c r="AD60" s="601"/>
      <c r="AE60" s="601"/>
      <c r="AF60" s="601"/>
      <c r="AG60" s="601"/>
      <c r="AH60" s="714"/>
      <c r="AI60" s="704"/>
      <c r="AJ60" s="704"/>
      <c r="AK60" s="704"/>
      <c r="AL60" s="704"/>
      <c r="AM60" s="735"/>
      <c r="AN60" s="601"/>
      <c r="AO60" s="601"/>
      <c r="AP60" s="601"/>
      <c r="AQ60" s="601"/>
      <c r="AR60" s="601"/>
      <c r="AS60" s="664"/>
      <c r="AT60" s="664"/>
      <c r="AU60" s="664"/>
      <c r="AV60" s="664"/>
      <c r="AW60" s="664"/>
      <c r="AX60" s="601"/>
      <c r="AY60" s="601"/>
      <c r="AZ60" s="601"/>
      <c r="BA60" s="601"/>
      <c r="BB60" s="655"/>
    </row>
    <row r="61" spans="1:54" s="165" customFormat="1" ht="11.25" customHeight="1" x14ac:dyDescent="0.2">
      <c r="A61" s="652"/>
      <c r="B61" s="653"/>
      <c r="C61" s="653"/>
      <c r="D61" s="653"/>
      <c r="E61" s="653"/>
      <c r="F61" s="653"/>
      <c r="G61" s="653"/>
      <c r="H61" s="706" t="s">
        <v>656</v>
      </c>
      <c r="I61" s="707"/>
      <c r="J61" s="707"/>
      <c r="K61" s="707"/>
      <c r="L61" s="707"/>
      <c r="M61" s="707"/>
      <c r="N61" s="707"/>
      <c r="O61" s="707"/>
      <c r="P61" s="707"/>
      <c r="Q61" s="707"/>
      <c r="R61" s="707"/>
      <c r="S61" s="707"/>
      <c r="T61" s="707"/>
      <c r="U61" s="707"/>
      <c r="V61" s="707"/>
      <c r="W61" s="707"/>
      <c r="X61" s="707"/>
      <c r="Y61" s="84" t="s">
        <v>28</v>
      </c>
      <c r="Z61" s="669">
        <v>2.6</v>
      </c>
      <c r="AA61" s="669"/>
      <c r="AB61" s="670"/>
      <c r="AC61" s="601"/>
      <c r="AD61" s="601"/>
      <c r="AE61" s="601"/>
      <c r="AF61" s="601"/>
      <c r="AG61" s="601"/>
      <c r="AH61" s="714"/>
      <c r="AI61" s="704"/>
      <c r="AJ61" s="704"/>
      <c r="AK61" s="704"/>
      <c r="AL61" s="704"/>
      <c r="AM61" s="735"/>
      <c r="AN61" s="601"/>
      <c r="AO61" s="601"/>
      <c r="AP61" s="601"/>
      <c r="AQ61" s="601"/>
      <c r="AR61" s="601"/>
      <c r="AS61" s="664"/>
      <c r="AT61" s="664"/>
      <c r="AU61" s="664"/>
      <c r="AV61" s="664"/>
      <c r="AW61" s="664"/>
      <c r="AX61" s="601"/>
      <c r="AY61" s="601"/>
      <c r="AZ61" s="601"/>
      <c r="BA61" s="601"/>
      <c r="BB61" s="655"/>
    </row>
    <row r="62" spans="1:54" s="165" customFormat="1" ht="15.75" customHeight="1" thickBot="1" x14ac:dyDescent="0.25">
      <c r="A62" s="681"/>
      <c r="B62" s="682"/>
      <c r="C62" s="682"/>
      <c r="D62" s="682"/>
      <c r="E62" s="682"/>
      <c r="F62" s="682"/>
      <c r="G62" s="682"/>
      <c r="H62" s="256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8"/>
      <c r="AC62" s="656"/>
      <c r="AD62" s="656"/>
      <c r="AE62" s="656"/>
      <c r="AF62" s="656"/>
      <c r="AG62" s="656"/>
      <c r="AH62" s="770"/>
      <c r="AI62" s="721"/>
      <c r="AJ62" s="721"/>
      <c r="AK62" s="721"/>
      <c r="AL62" s="721"/>
      <c r="AM62" s="851"/>
      <c r="AN62" s="656"/>
      <c r="AO62" s="656"/>
      <c r="AP62" s="656"/>
      <c r="AQ62" s="656"/>
      <c r="AR62" s="656"/>
      <c r="AS62" s="683"/>
      <c r="AT62" s="683"/>
      <c r="AU62" s="683"/>
      <c r="AV62" s="683"/>
      <c r="AW62" s="683"/>
      <c r="AX62" s="656"/>
      <c r="AY62" s="656"/>
      <c r="AZ62" s="656"/>
      <c r="BA62" s="656"/>
      <c r="BB62" s="657"/>
    </row>
    <row r="63" spans="1:54" ht="5.0999999999999996" hidden="1" customHeight="1" x14ac:dyDescent="0.2">
      <c r="A63" s="666"/>
      <c r="B63" s="667"/>
      <c r="C63" s="667"/>
      <c r="D63" s="667"/>
      <c r="E63" s="667"/>
      <c r="F63" s="667"/>
      <c r="G63" s="667"/>
      <c r="H63" s="193"/>
      <c r="I63" s="164"/>
      <c r="J63" s="164"/>
      <c r="K63" s="164"/>
      <c r="L63" s="164"/>
      <c r="M63" s="164"/>
      <c r="N63" s="164"/>
      <c r="O63" s="164"/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94" t="e">
        <f>#REF!</f>
        <v>#REF!</v>
      </c>
      <c r="AA63" s="191"/>
      <c r="AB63" s="195"/>
      <c r="AC63" s="477">
        <f>((R64+(R64*U66)+(R64*Q66)+(R64*M66)+(R64*I66))*Z66)*1.15</f>
        <v>0</v>
      </c>
      <c r="AD63" s="477"/>
      <c r="AE63" s="477"/>
      <c r="AF63" s="477"/>
      <c r="AG63" s="477"/>
      <c r="AH63" s="781">
        <v>1</v>
      </c>
      <c r="AI63" s="781"/>
      <c r="AJ63" s="781"/>
      <c r="AK63" s="781"/>
      <c r="AL63" s="781"/>
      <c r="AM63" s="781"/>
      <c r="AN63" s="781">
        <f>AC63/AH63</f>
        <v>0</v>
      </c>
      <c r="AO63" s="781"/>
      <c r="AP63" s="781"/>
      <c r="AQ63" s="781"/>
      <c r="AR63" s="781"/>
      <c r="AS63" s="668">
        <f t="shared" ref="AS63" si="0">U17</f>
        <v>0</v>
      </c>
      <c r="AT63" s="668"/>
      <c r="AU63" s="668"/>
      <c r="AV63" s="668"/>
      <c r="AW63" s="668"/>
      <c r="AX63" s="781">
        <f>AN63*AS63</f>
        <v>0</v>
      </c>
      <c r="AY63" s="781"/>
      <c r="AZ63" s="781"/>
      <c r="BA63" s="781"/>
      <c r="BB63" s="782"/>
    </row>
    <row r="64" spans="1:54" s="165" customFormat="1" ht="11.25" hidden="1" customHeight="1" x14ac:dyDescent="0.2">
      <c r="A64" s="652"/>
      <c r="B64" s="653"/>
      <c r="C64" s="653"/>
      <c r="D64" s="653"/>
      <c r="E64" s="653"/>
      <c r="F64" s="653"/>
      <c r="G64" s="653"/>
      <c r="H64" s="658" t="s">
        <v>26</v>
      </c>
      <c r="I64" s="659"/>
      <c r="J64" s="659"/>
      <c r="K64" s="659"/>
      <c r="L64" s="659"/>
      <c r="M64" s="659"/>
      <c r="N64" s="650">
        <v>0</v>
      </c>
      <c r="O64" s="650"/>
      <c r="P64" s="650"/>
      <c r="Q64" s="191" t="s">
        <v>27</v>
      </c>
      <c r="R64" s="650">
        <f>$AX$19*N64</f>
        <v>0</v>
      </c>
      <c r="S64" s="650"/>
      <c r="T64" s="650"/>
      <c r="U64" s="650"/>
      <c r="V64" s="650"/>
      <c r="W64" s="191" t="s">
        <v>28</v>
      </c>
      <c r="X64" s="191" t="s">
        <v>29</v>
      </c>
      <c r="Y64" s="191"/>
      <c r="Z64" s="191"/>
      <c r="AA64" s="191"/>
      <c r="AB64" s="195"/>
      <c r="AC64" s="529"/>
      <c r="AD64" s="529"/>
      <c r="AE64" s="529"/>
      <c r="AF64" s="529"/>
      <c r="AG64" s="529"/>
      <c r="AH64" s="601"/>
      <c r="AI64" s="601"/>
      <c r="AJ64" s="601"/>
      <c r="AK64" s="601"/>
      <c r="AL64" s="601"/>
      <c r="AM64" s="601"/>
      <c r="AN64" s="601"/>
      <c r="AO64" s="601"/>
      <c r="AP64" s="601"/>
      <c r="AQ64" s="601"/>
      <c r="AR64" s="601"/>
      <c r="AS64" s="664"/>
      <c r="AT64" s="664"/>
      <c r="AU64" s="664"/>
      <c r="AV64" s="664"/>
      <c r="AW64" s="664"/>
      <c r="AX64" s="601"/>
      <c r="AY64" s="601"/>
      <c r="AZ64" s="601"/>
      <c r="BA64" s="601"/>
      <c r="BB64" s="655"/>
    </row>
    <row r="65" spans="1:54" s="165" customFormat="1" ht="5.0999999999999996" hidden="1" customHeight="1" x14ac:dyDescent="0.2">
      <c r="A65" s="652"/>
      <c r="B65" s="653"/>
      <c r="C65" s="653"/>
      <c r="D65" s="653"/>
      <c r="E65" s="653"/>
      <c r="F65" s="653"/>
      <c r="G65" s="653"/>
      <c r="H65" s="196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91"/>
      <c r="AA65" s="191"/>
      <c r="AB65" s="195"/>
      <c r="AC65" s="529"/>
      <c r="AD65" s="529"/>
      <c r="AE65" s="529"/>
      <c r="AF65" s="529"/>
      <c r="AG65" s="529"/>
      <c r="AH65" s="601"/>
      <c r="AI65" s="601"/>
      <c r="AJ65" s="601"/>
      <c r="AK65" s="601"/>
      <c r="AL65" s="601"/>
      <c r="AM65" s="601"/>
      <c r="AN65" s="601"/>
      <c r="AO65" s="601"/>
      <c r="AP65" s="601"/>
      <c r="AQ65" s="601"/>
      <c r="AR65" s="601"/>
      <c r="AS65" s="664"/>
      <c r="AT65" s="664"/>
      <c r="AU65" s="664"/>
      <c r="AV65" s="664"/>
      <c r="AW65" s="664"/>
      <c r="AX65" s="601"/>
      <c r="AY65" s="601"/>
      <c r="AZ65" s="601"/>
      <c r="BA65" s="601"/>
      <c r="BB65" s="655"/>
    </row>
    <row r="66" spans="1:54" s="165" customFormat="1" ht="11.25" hidden="1" customHeight="1" x14ac:dyDescent="0.2">
      <c r="A66" s="652"/>
      <c r="B66" s="653"/>
      <c r="C66" s="653"/>
      <c r="D66" s="653"/>
      <c r="E66" s="653"/>
      <c r="F66" s="653"/>
      <c r="G66" s="653"/>
      <c r="H66" s="197" t="s">
        <v>30</v>
      </c>
      <c r="I66" s="654">
        <v>0</v>
      </c>
      <c r="J66" s="654"/>
      <c r="K66" s="654"/>
      <c r="L66" s="191" t="s">
        <v>28</v>
      </c>
      <c r="M66" s="654">
        <v>0</v>
      </c>
      <c r="N66" s="654"/>
      <c r="O66" s="654"/>
      <c r="P66" s="191" t="s">
        <v>28</v>
      </c>
      <c r="Q66" s="654"/>
      <c r="R66" s="654"/>
      <c r="S66" s="654"/>
      <c r="T66" s="191" t="s">
        <v>28</v>
      </c>
      <c r="U66" s="654"/>
      <c r="V66" s="654"/>
      <c r="W66" s="654"/>
      <c r="X66" s="191" t="s">
        <v>31</v>
      </c>
      <c r="Y66" s="191" t="s">
        <v>28</v>
      </c>
      <c r="Z66" s="650">
        <v>2.6</v>
      </c>
      <c r="AA66" s="650"/>
      <c r="AB66" s="651"/>
      <c r="AC66" s="529"/>
      <c r="AD66" s="529"/>
      <c r="AE66" s="529"/>
      <c r="AF66" s="529"/>
      <c r="AG66" s="529"/>
      <c r="AH66" s="601"/>
      <c r="AI66" s="601"/>
      <c r="AJ66" s="601"/>
      <c r="AK66" s="601"/>
      <c r="AL66" s="601"/>
      <c r="AM66" s="601"/>
      <c r="AN66" s="601"/>
      <c r="AO66" s="601"/>
      <c r="AP66" s="601"/>
      <c r="AQ66" s="601"/>
      <c r="AR66" s="601"/>
      <c r="AS66" s="664"/>
      <c r="AT66" s="664"/>
      <c r="AU66" s="664"/>
      <c r="AV66" s="664"/>
      <c r="AW66" s="664"/>
      <c r="AX66" s="601"/>
      <c r="AY66" s="601"/>
      <c r="AZ66" s="601"/>
      <c r="BA66" s="601"/>
      <c r="BB66" s="655"/>
    </row>
    <row r="67" spans="1:54" s="165" customFormat="1" ht="5.0999999999999996" hidden="1" customHeight="1" thickBot="1" x14ac:dyDescent="0.25">
      <c r="A67" s="652"/>
      <c r="B67" s="653"/>
      <c r="C67" s="653"/>
      <c r="D67" s="653"/>
      <c r="E67" s="653"/>
      <c r="F67" s="653"/>
      <c r="G67" s="653"/>
      <c r="H67" s="198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200"/>
      <c r="AA67" s="200"/>
      <c r="AB67" s="201"/>
      <c r="AC67" s="529"/>
      <c r="AD67" s="529"/>
      <c r="AE67" s="529"/>
      <c r="AF67" s="529"/>
      <c r="AG67" s="529"/>
      <c r="AH67" s="601"/>
      <c r="AI67" s="601"/>
      <c r="AJ67" s="601"/>
      <c r="AK67" s="601"/>
      <c r="AL67" s="601"/>
      <c r="AM67" s="601"/>
      <c r="AN67" s="601"/>
      <c r="AO67" s="601"/>
      <c r="AP67" s="601"/>
      <c r="AQ67" s="601"/>
      <c r="AR67" s="601"/>
      <c r="AS67" s="664"/>
      <c r="AT67" s="664"/>
      <c r="AU67" s="664"/>
      <c r="AV67" s="664"/>
      <c r="AW67" s="664"/>
      <c r="AX67" s="601"/>
      <c r="AY67" s="601"/>
      <c r="AZ67" s="601"/>
      <c r="BA67" s="601"/>
      <c r="BB67" s="655"/>
    </row>
    <row r="68" spans="1:54" s="165" customFormat="1" ht="5.0999999999999996" hidden="1" customHeight="1" x14ac:dyDescent="0.2">
      <c r="A68" s="652"/>
      <c r="B68" s="653"/>
      <c r="C68" s="653"/>
      <c r="D68" s="653"/>
      <c r="E68" s="653"/>
      <c r="F68" s="653"/>
      <c r="G68" s="653"/>
      <c r="H68" s="19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94" t="e">
        <f>#REF!</f>
        <v>#REF!</v>
      </c>
      <c r="AA68" s="191"/>
      <c r="AB68" s="195"/>
      <c r="AC68" s="507">
        <f>((R69+(R69*U71)+(R69*Q71)+(R69*M71)+(R69*I71))*Z71)*1.15</f>
        <v>0</v>
      </c>
      <c r="AD68" s="507"/>
      <c r="AE68" s="507"/>
      <c r="AF68" s="507"/>
      <c r="AG68" s="507"/>
      <c r="AH68" s="601">
        <v>1</v>
      </c>
      <c r="AI68" s="601"/>
      <c r="AJ68" s="601"/>
      <c r="AK68" s="601"/>
      <c r="AL68" s="601"/>
      <c r="AM68" s="601"/>
      <c r="AN68" s="601">
        <f>AC68/AH68</f>
        <v>0</v>
      </c>
      <c r="AO68" s="601"/>
      <c r="AP68" s="601"/>
      <c r="AQ68" s="601"/>
      <c r="AR68" s="601"/>
      <c r="AS68" s="663">
        <f t="shared" ref="AS68" si="1">U22</f>
        <v>0</v>
      </c>
      <c r="AT68" s="663"/>
      <c r="AU68" s="663"/>
      <c r="AV68" s="663"/>
      <c r="AW68" s="663"/>
      <c r="AX68" s="601">
        <f>AN68*AS68</f>
        <v>0</v>
      </c>
      <c r="AY68" s="601"/>
      <c r="AZ68" s="601"/>
      <c r="BA68" s="601"/>
      <c r="BB68" s="655"/>
    </row>
    <row r="69" spans="1:54" s="165" customFormat="1" ht="11.25" hidden="1" customHeight="1" x14ac:dyDescent="0.2">
      <c r="A69" s="652"/>
      <c r="B69" s="653"/>
      <c r="C69" s="653"/>
      <c r="D69" s="653"/>
      <c r="E69" s="653"/>
      <c r="F69" s="653"/>
      <c r="G69" s="653"/>
      <c r="H69" s="658" t="s">
        <v>26</v>
      </c>
      <c r="I69" s="659"/>
      <c r="J69" s="659"/>
      <c r="K69" s="659"/>
      <c r="L69" s="659"/>
      <c r="M69" s="659"/>
      <c r="N69" s="650">
        <v>0</v>
      </c>
      <c r="O69" s="650"/>
      <c r="P69" s="650"/>
      <c r="Q69" s="191" t="s">
        <v>27</v>
      </c>
      <c r="R69" s="650">
        <f>$AX$19*N69</f>
        <v>0</v>
      </c>
      <c r="S69" s="650"/>
      <c r="T69" s="650"/>
      <c r="U69" s="650"/>
      <c r="V69" s="650"/>
      <c r="W69" s="191" t="s">
        <v>28</v>
      </c>
      <c r="X69" s="191" t="s">
        <v>29</v>
      </c>
      <c r="Y69" s="191"/>
      <c r="Z69" s="191"/>
      <c r="AA69" s="191"/>
      <c r="AB69" s="195"/>
      <c r="AC69" s="529"/>
      <c r="AD69" s="529"/>
      <c r="AE69" s="529"/>
      <c r="AF69" s="529"/>
      <c r="AG69" s="529"/>
      <c r="AH69" s="601"/>
      <c r="AI69" s="601"/>
      <c r="AJ69" s="601"/>
      <c r="AK69" s="601"/>
      <c r="AL69" s="601"/>
      <c r="AM69" s="601"/>
      <c r="AN69" s="601"/>
      <c r="AO69" s="601"/>
      <c r="AP69" s="601"/>
      <c r="AQ69" s="601"/>
      <c r="AR69" s="601"/>
      <c r="AS69" s="664"/>
      <c r="AT69" s="664"/>
      <c r="AU69" s="664"/>
      <c r="AV69" s="664"/>
      <c r="AW69" s="664"/>
      <c r="AX69" s="601"/>
      <c r="AY69" s="601"/>
      <c r="AZ69" s="601"/>
      <c r="BA69" s="601"/>
      <c r="BB69" s="655"/>
    </row>
    <row r="70" spans="1:54" ht="5.0999999999999996" hidden="1" customHeight="1" x14ac:dyDescent="0.2">
      <c r="A70" s="652"/>
      <c r="B70" s="653"/>
      <c r="C70" s="653"/>
      <c r="D70" s="653"/>
      <c r="E70" s="653"/>
      <c r="F70" s="653"/>
      <c r="G70" s="653"/>
      <c r="H70" s="19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91"/>
      <c r="AA70" s="191"/>
      <c r="AB70" s="195"/>
      <c r="AC70" s="529"/>
      <c r="AD70" s="529"/>
      <c r="AE70" s="529"/>
      <c r="AF70" s="529"/>
      <c r="AG70" s="529"/>
      <c r="AH70" s="601"/>
      <c r="AI70" s="601"/>
      <c r="AJ70" s="601"/>
      <c r="AK70" s="601"/>
      <c r="AL70" s="601"/>
      <c r="AM70" s="601"/>
      <c r="AN70" s="601"/>
      <c r="AO70" s="601"/>
      <c r="AP70" s="601"/>
      <c r="AQ70" s="601"/>
      <c r="AR70" s="601"/>
      <c r="AS70" s="664"/>
      <c r="AT70" s="664"/>
      <c r="AU70" s="664"/>
      <c r="AV70" s="664"/>
      <c r="AW70" s="664"/>
      <c r="AX70" s="601"/>
      <c r="AY70" s="601"/>
      <c r="AZ70" s="601"/>
      <c r="BA70" s="601"/>
      <c r="BB70" s="655"/>
    </row>
    <row r="71" spans="1:54" s="165" customFormat="1" ht="11.25" hidden="1" customHeight="1" x14ac:dyDescent="0.2">
      <c r="A71" s="652"/>
      <c r="B71" s="653"/>
      <c r="C71" s="653"/>
      <c r="D71" s="653"/>
      <c r="E71" s="653"/>
      <c r="F71" s="653"/>
      <c r="G71" s="653"/>
      <c r="H71" s="197" t="s">
        <v>30</v>
      </c>
      <c r="I71" s="654">
        <v>0</v>
      </c>
      <c r="J71" s="654"/>
      <c r="K71" s="654"/>
      <c r="L71" s="191" t="s">
        <v>28</v>
      </c>
      <c r="M71" s="654">
        <v>0</v>
      </c>
      <c r="N71" s="654"/>
      <c r="O71" s="654"/>
      <c r="P71" s="191" t="s">
        <v>28</v>
      </c>
      <c r="Q71" s="654"/>
      <c r="R71" s="654"/>
      <c r="S71" s="654"/>
      <c r="T71" s="191" t="s">
        <v>28</v>
      </c>
      <c r="U71" s="654"/>
      <c r="V71" s="654"/>
      <c r="W71" s="654"/>
      <c r="X71" s="191" t="s">
        <v>31</v>
      </c>
      <c r="Y71" s="191" t="s">
        <v>28</v>
      </c>
      <c r="Z71" s="650">
        <v>2.6</v>
      </c>
      <c r="AA71" s="650"/>
      <c r="AB71" s="651"/>
      <c r="AC71" s="529"/>
      <c r="AD71" s="529"/>
      <c r="AE71" s="529"/>
      <c r="AF71" s="529"/>
      <c r="AG71" s="529"/>
      <c r="AH71" s="601"/>
      <c r="AI71" s="601"/>
      <c r="AJ71" s="601"/>
      <c r="AK71" s="601"/>
      <c r="AL71" s="601"/>
      <c r="AM71" s="601"/>
      <c r="AN71" s="601"/>
      <c r="AO71" s="601"/>
      <c r="AP71" s="601"/>
      <c r="AQ71" s="601"/>
      <c r="AR71" s="601"/>
      <c r="AS71" s="664"/>
      <c r="AT71" s="664"/>
      <c r="AU71" s="664"/>
      <c r="AV71" s="664"/>
      <c r="AW71" s="664"/>
      <c r="AX71" s="601"/>
      <c r="AY71" s="601"/>
      <c r="AZ71" s="601"/>
      <c r="BA71" s="601"/>
      <c r="BB71" s="655"/>
    </row>
    <row r="72" spans="1:54" s="165" customFormat="1" ht="11.25" hidden="1" customHeight="1" thickBot="1" x14ac:dyDescent="0.25">
      <c r="A72" s="652"/>
      <c r="B72" s="653"/>
      <c r="C72" s="653"/>
      <c r="D72" s="653"/>
      <c r="E72" s="653"/>
      <c r="F72" s="653"/>
      <c r="G72" s="653"/>
      <c r="H72" s="198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200"/>
      <c r="AA72" s="200"/>
      <c r="AB72" s="201"/>
      <c r="AC72" s="529"/>
      <c r="AD72" s="529"/>
      <c r="AE72" s="529"/>
      <c r="AF72" s="529"/>
      <c r="AG72" s="529"/>
      <c r="AH72" s="601"/>
      <c r="AI72" s="601"/>
      <c r="AJ72" s="601"/>
      <c r="AK72" s="601"/>
      <c r="AL72" s="601"/>
      <c r="AM72" s="601"/>
      <c r="AN72" s="601"/>
      <c r="AO72" s="601"/>
      <c r="AP72" s="601"/>
      <c r="AQ72" s="601"/>
      <c r="AR72" s="601"/>
      <c r="AS72" s="664"/>
      <c r="AT72" s="664"/>
      <c r="AU72" s="664"/>
      <c r="AV72" s="664"/>
      <c r="AW72" s="664"/>
      <c r="AX72" s="601"/>
      <c r="AY72" s="601"/>
      <c r="AZ72" s="601"/>
      <c r="BA72" s="601"/>
      <c r="BB72" s="655"/>
    </row>
    <row r="73" spans="1:54" s="165" customFormat="1" ht="15" hidden="1" customHeight="1" x14ac:dyDescent="0.2">
      <c r="A73" s="660" t="s">
        <v>84</v>
      </c>
      <c r="B73" s="661"/>
      <c r="C73" s="661"/>
      <c r="D73" s="661"/>
      <c r="E73" s="661"/>
      <c r="F73" s="661"/>
      <c r="G73" s="661"/>
      <c r="H73" s="19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4"/>
      <c r="X73" s="164"/>
      <c r="Y73" s="164"/>
      <c r="Z73" s="194" t="e">
        <f>#REF!</f>
        <v>#REF!</v>
      </c>
      <c r="AA73" s="191"/>
      <c r="AB73" s="195"/>
      <c r="AC73" s="507">
        <f>((R74+(R74*U76)+(R74*Q76)+(R74*M76)+(R74*I76))*Z76)</f>
        <v>0</v>
      </c>
      <c r="AD73" s="507"/>
      <c r="AE73" s="507"/>
      <c r="AF73" s="507"/>
      <c r="AG73" s="507"/>
      <c r="AH73" s="601">
        <v>75</v>
      </c>
      <c r="AI73" s="601"/>
      <c r="AJ73" s="601"/>
      <c r="AK73" s="601"/>
      <c r="AL73" s="601"/>
      <c r="AM73" s="601"/>
      <c r="AN73" s="601">
        <f>AC73/AH73</f>
        <v>0</v>
      </c>
      <c r="AO73" s="601"/>
      <c r="AP73" s="601"/>
      <c r="AQ73" s="601"/>
      <c r="AR73" s="601"/>
      <c r="AS73" s="663">
        <f t="shared" ref="AS73" si="2">U27</f>
        <v>0</v>
      </c>
      <c r="AT73" s="663"/>
      <c r="AU73" s="663"/>
      <c r="AV73" s="663"/>
      <c r="AW73" s="663"/>
      <c r="AX73" s="601">
        <f>AN73*AS73</f>
        <v>0</v>
      </c>
      <c r="AY73" s="601"/>
      <c r="AZ73" s="601"/>
      <c r="BA73" s="601"/>
      <c r="BB73" s="655"/>
    </row>
    <row r="74" spans="1:54" s="165" customFormat="1" ht="21" hidden="1" customHeight="1" thickBot="1" x14ac:dyDescent="0.25">
      <c r="A74" s="652"/>
      <c r="B74" s="653"/>
      <c r="C74" s="653"/>
      <c r="D74" s="653"/>
      <c r="E74" s="653"/>
      <c r="F74" s="653"/>
      <c r="G74" s="653"/>
      <c r="H74" s="658" t="s">
        <v>26</v>
      </c>
      <c r="I74" s="659"/>
      <c r="J74" s="659"/>
      <c r="K74" s="659"/>
      <c r="L74" s="659"/>
      <c r="M74" s="659"/>
      <c r="N74" s="650">
        <v>0</v>
      </c>
      <c r="O74" s="650"/>
      <c r="P74" s="650"/>
      <c r="Q74" s="191" t="s">
        <v>27</v>
      </c>
      <c r="R74" s="650">
        <f>$AX$19*N74</f>
        <v>0</v>
      </c>
      <c r="S74" s="650"/>
      <c r="T74" s="650"/>
      <c r="U74" s="650"/>
      <c r="V74" s="650"/>
      <c r="W74" s="191" t="s">
        <v>28</v>
      </c>
      <c r="X74" s="191" t="s">
        <v>29</v>
      </c>
      <c r="Y74" s="191"/>
      <c r="Z74" s="191"/>
      <c r="AA74" s="191"/>
      <c r="AB74" s="195"/>
      <c r="AC74" s="529"/>
      <c r="AD74" s="529"/>
      <c r="AE74" s="529"/>
      <c r="AF74" s="529"/>
      <c r="AG74" s="529"/>
      <c r="AH74" s="601"/>
      <c r="AI74" s="601"/>
      <c r="AJ74" s="601"/>
      <c r="AK74" s="601"/>
      <c r="AL74" s="601"/>
      <c r="AM74" s="601"/>
      <c r="AN74" s="601"/>
      <c r="AO74" s="601"/>
      <c r="AP74" s="601"/>
      <c r="AQ74" s="601"/>
      <c r="AR74" s="601"/>
      <c r="AS74" s="664"/>
      <c r="AT74" s="664"/>
      <c r="AU74" s="664"/>
      <c r="AV74" s="664"/>
      <c r="AW74" s="664"/>
      <c r="AX74" s="601"/>
      <c r="AY74" s="601"/>
      <c r="AZ74" s="601"/>
      <c r="BA74" s="601"/>
      <c r="BB74" s="655"/>
    </row>
    <row r="75" spans="1:54" s="165" customFormat="1" ht="12" hidden="1" customHeight="1" thickBot="1" x14ac:dyDescent="0.25">
      <c r="A75" s="652"/>
      <c r="B75" s="653"/>
      <c r="C75" s="653"/>
      <c r="D75" s="653"/>
      <c r="E75" s="653"/>
      <c r="F75" s="653"/>
      <c r="G75" s="653"/>
      <c r="H75" s="196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91"/>
      <c r="AA75" s="191"/>
      <c r="AB75" s="195"/>
      <c r="AC75" s="529"/>
      <c r="AD75" s="529"/>
      <c r="AE75" s="529"/>
      <c r="AF75" s="529"/>
      <c r="AG75" s="529"/>
      <c r="AH75" s="601"/>
      <c r="AI75" s="601"/>
      <c r="AJ75" s="601"/>
      <c r="AK75" s="601"/>
      <c r="AL75" s="601"/>
      <c r="AM75" s="601"/>
      <c r="AN75" s="601"/>
      <c r="AO75" s="601"/>
      <c r="AP75" s="601"/>
      <c r="AQ75" s="601"/>
      <c r="AR75" s="601"/>
      <c r="AS75" s="664"/>
      <c r="AT75" s="664"/>
      <c r="AU75" s="664"/>
      <c r="AV75" s="664"/>
      <c r="AW75" s="664"/>
      <c r="AX75" s="601"/>
      <c r="AY75" s="601"/>
      <c r="AZ75" s="601"/>
      <c r="BA75" s="601"/>
      <c r="BB75" s="655"/>
    </row>
    <row r="76" spans="1:54" s="165" customFormat="1" ht="15.75" hidden="1" customHeight="1" thickBot="1" x14ac:dyDescent="0.25">
      <c r="A76" s="652"/>
      <c r="B76" s="653"/>
      <c r="C76" s="653"/>
      <c r="D76" s="653"/>
      <c r="E76" s="653"/>
      <c r="F76" s="653"/>
      <c r="G76" s="653"/>
      <c r="H76" s="197" t="s">
        <v>30</v>
      </c>
      <c r="I76" s="654">
        <v>0.2</v>
      </c>
      <c r="J76" s="654"/>
      <c r="K76" s="654"/>
      <c r="L76" s="191" t="s">
        <v>28</v>
      </c>
      <c r="M76" s="654">
        <v>0.15</v>
      </c>
      <c r="N76" s="654"/>
      <c r="O76" s="654"/>
      <c r="P76" s="191" t="s">
        <v>28</v>
      </c>
      <c r="Q76" s="654">
        <v>0.5</v>
      </c>
      <c r="R76" s="654"/>
      <c r="S76" s="654"/>
      <c r="T76" s="191" t="s">
        <v>28</v>
      </c>
      <c r="U76" s="654">
        <v>0</v>
      </c>
      <c r="V76" s="654"/>
      <c r="W76" s="654"/>
      <c r="X76" s="191" t="s">
        <v>31</v>
      </c>
      <c r="Y76" s="191" t="s">
        <v>28</v>
      </c>
      <c r="Z76" s="650">
        <v>2.6</v>
      </c>
      <c r="AA76" s="650"/>
      <c r="AB76" s="651"/>
      <c r="AC76" s="529"/>
      <c r="AD76" s="529"/>
      <c r="AE76" s="529"/>
      <c r="AF76" s="529"/>
      <c r="AG76" s="529"/>
      <c r="AH76" s="601"/>
      <c r="AI76" s="601"/>
      <c r="AJ76" s="601"/>
      <c r="AK76" s="601"/>
      <c r="AL76" s="601"/>
      <c r="AM76" s="601"/>
      <c r="AN76" s="601"/>
      <c r="AO76" s="601"/>
      <c r="AP76" s="601"/>
      <c r="AQ76" s="601"/>
      <c r="AR76" s="601"/>
      <c r="AS76" s="664"/>
      <c r="AT76" s="664"/>
      <c r="AU76" s="664"/>
      <c r="AV76" s="664"/>
      <c r="AW76" s="664"/>
      <c r="AX76" s="601"/>
      <c r="AY76" s="601"/>
      <c r="AZ76" s="601"/>
      <c r="BA76" s="601"/>
      <c r="BB76" s="655"/>
    </row>
    <row r="77" spans="1:54" ht="13.5" hidden="1" customHeight="1" thickBot="1" x14ac:dyDescent="0.25">
      <c r="A77" s="652"/>
      <c r="B77" s="653"/>
      <c r="C77" s="653"/>
      <c r="D77" s="653"/>
      <c r="E77" s="653"/>
      <c r="F77" s="653"/>
      <c r="G77" s="653"/>
      <c r="H77" s="198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200"/>
      <c r="AA77" s="200"/>
      <c r="AB77" s="201"/>
      <c r="AC77" s="529"/>
      <c r="AD77" s="529"/>
      <c r="AE77" s="529"/>
      <c r="AF77" s="529"/>
      <c r="AG77" s="529"/>
      <c r="AH77" s="601"/>
      <c r="AI77" s="601"/>
      <c r="AJ77" s="601"/>
      <c r="AK77" s="601"/>
      <c r="AL77" s="601"/>
      <c r="AM77" s="601"/>
      <c r="AN77" s="601"/>
      <c r="AO77" s="601"/>
      <c r="AP77" s="601"/>
      <c r="AQ77" s="601"/>
      <c r="AR77" s="601"/>
      <c r="AS77" s="664"/>
      <c r="AT77" s="664"/>
      <c r="AU77" s="664"/>
      <c r="AV77" s="664"/>
      <c r="AW77" s="664"/>
      <c r="AX77" s="601"/>
      <c r="AY77" s="601"/>
      <c r="AZ77" s="601"/>
      <c r="BA77" s="601"/>
      <c r="BB77" s="655"/>
    </row>
    <row r="78" spans="1:54" s="165" customFormat="1" ht="8.25" hidden="1" customHeight="1" x14ac:dyDescent="0.2">
      <c r="A78" s="1350" t="s">
        <v>86</v>
      </c>
      <c r="B78" s="1351"/>
      <c r="C78" s="1351"/>
      <c r="D78" s="1351"/>
      <c r="E78" s="1351"/>
      <c r="F78" s="1351"/>
      <c r="G78" s="1351"/>
      <c r="H78" s="19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4"/>
      <c r="X78" s="164"/>
      <c r="Y78" s="164"/>
      <c r="Z78" s="194" t="e">
        <f>#REF!</f>
        <v>#REF!</v>
      </c>
      <c r="AA78" s="191"/>
      <c r="AB78" s="195"/>
      <c r="AC78" s="711">
        <f>((R79+(R79*U81)+(R79*Q81)+(R79*M81)+(R79*I81))*Z81)*1.15</f>
        <v>0</v>
      </c>
      <c r="AD78" s="712"/>
      <c r="AE78" s="712"/>
      <c r="AF78" s="712"/>
      <c r="AG78" s="734"/>
      <c r="AH78" s="601">
        <v>0</v>
      </c>
      <c r="AI78" s="601"/>
      <c r="AJ78" s="601"/>
      <c r="AK78" s="601"/>
      <c r="AL78" s="601"/>
      <c r="AM78" s="601"/>
      <c r="AN78" s="601">
        <v>0</v>
      </c>
      <c r="AO78" s="601"/>
      <c r="AP78" s="601"/>
      <c r="AQ78" s="601"/>
      <c r="AR78" s="601"/>
      <c r="AS78" s="663">
        <v>0</v>
      </c>
      <c r="AT78" s="663"/>
      <c r="AU78" s="663"/>
      <c r="AV78" s="663"/>
      <c r="AW78" s="663"/>
      <c r="AX78" s="601">
        <v>0</v>
      </c>
      <c r="AY78" s="601"/>
      <c r="AZ78" s="601"/>
      <c r="BA78" s="601"/>
      <c r="BB78" s="655"/>
    </row>
    <row r="79" spans="1:54" s="165" customFormat="1" ht="16.5" hidden="1" customHeight="1" x14ac:dyDescent="0.2">
      <c r="A79" s="1352"/>
      <c r="B79" s="1353"/>
      <c r="C79" s="1353"/>
      <c r="D79" s="1353"/>
      <c r="E79" s="1353"/>
      <c r="F79" s="1353"/>
      <c r="G79" s="1353"/>
      <c r="H79" s="658" t="s">
        <v>26</v>
      </c>
      <c r="I79" s="659"/>
      <c r="J79" s="659"/>
      <c r="K79" s="659"/>
      <c r="L79" s="659"/>
      <c r="M79" s="659"/>
      <c r="N79" s="650">
        <v>0</v>
      </c>
      <c r="O79" s="650"/>
      <c r="P79" s="650"/>
      <c r="Q79" s="191" t="s">
        <v>27</v>
      </c>
      <c r="R79" s="650">
        <f>$AX$19*N79</f>
        <v>0</v>
      </c>
      <c r="S79" s="650"/>
      <c r="T79" s="650"/>
      <c r="U79" s="650"/>
      <c r="V79" s="650"/>
      <c r="W79" s="191" t="s">
        <v>28</v>
      </c>
      <c r="X79" s="191" t="s">
        <v>29</v>
      </c>
      <c r="Y79" s="191"/>
      <c r="Z79" s="191"/>
      <c r="AA79" s="191"/>
      <c r="AB79" s="195"/>
      <c r="AC79" s="714"/>
      <c r="AD79" s="704"/>
      <c r="AE79" s="704"/>
      <c r="AF79" s="704"/>
      <c r="AG79" s="735"/>
      <c r="AH79" s="601"/>
      <c r="AI79" s="601"/>
      <c r="AJ79" s="601"/>
      <c r="AK79" s="601"/>
      <c r="AL79" s="601"/>
      <c r="AM79" s="601"/>
      <c r="AN79" s="601"/>
      <c r="AO79" s="601"/>
      <c r="AP79" s="601"/>
      <c r="AQ79" s="601"/>
      <c r="AR79" s="601"/>
      <c r="AS79" s="664"/>
      <c r="AT79" s="664"/>
      <c r="AU79" s="664"/>
      <c r="AV79" s="664"/>
      <c r="AW79" s="664"/>
      <c r="AX79" s="601"/>
      <c r="AY79" s="601"/>
      <c r="AZ79" s="601"/>
      <c r="BA79" s="601"/>
      <c r="BB79" s="655"/>
    </row>
    <row r="80" spans="1:54" s="165" customFormat="1" ht="12.75" hidden="1" customHeight="1" x14ac:dyDescent="0.2">
      <c r="A80" s="1352"/>
      <c r="B80" s="1353"/>
      <c r="C80" s="1353"/>
      <c r="D80" s="1353"/>
      <c r="E80" s="1353"/>
      <c r="F80" s="1353"/>
      <c r="G80" s="1353"/>
      <c r="H80" s="19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91"/>
      <c r="AA80" s="191"/>
      <c r="AB80" s="195"/>
      <c r="AC80" s="714"/>
      <c r="AD80" s="704"/>
      <c r="AE80" s="704"/>
      <c r="AF80" s="704"/>
      <c r="AG80" s="735"/>
      <c r="AH80" s="601"/>
      <c r="AI80" s="601"/>
      <c r="AJ80" s="601"/>
      <c r="AK80" s="601"/>
      <c r="AL80" s="601"/>
      <c r="AM80" s="601"/>
      <c r="AN80" s="601"/>
      <c r="AO80" s="601"/>
      <c r="AP80" s="601"/>
      <c r="AQ80" s="601"/>
      <c r="AR80" s="601"/>
      <c r="AS80" s="664"/>
      <c r="AT80" s="664"/>
      <c r="AU80" s="664"/>
      <c r="AV80" s="664"/>
      <c r="AW80" s="664"/>
      <c r="AX80" s="601"/>
      <c r="AY80" s="601"/>
      <c r="AZ80" s="601"/>
      <c r="BA80" s="601"/>
      <c r="BB80" s="655"/>
    </row>
    <row r="81" spans="1:54" ht="10.5" hidden="1" customHeight="1" x14ac:dyDescent="0.2">
      <c r="A81" s="1352"/>
      <c r="B81" s="1353"/>
      <c r="C81" s="1353"/>
      <c r="D81" s="1353"/>
      <c r="E81" s="1353"/>
      <c r="F81" s="1353"/>
      <c r="G81" s="1353"/>
      <c r="H81" s="197" t="s">
        <v>30</v>
      </c>
      <c r="I81" s="654">
        <v>0</v>
      </c>
      <c r="J81" s="654"/>
      <c r="K81" s="654"/>
      <c r="L81" s="191" t="s">
        <v>28</v>
      </c>
      <c r="M81" s="654">
        <v>0</v>
      </c>
      <c r="N81" s="654"/>
      <c r="O81" s="654"/>
      <c r="P81" s="191" t="s">
        <v>28</v>
      </c>
      <c r="Q81" s="654">
        <v>0</v>
      </c>
      <c r="R81" s="654"/>
      <c r="S81" s="654"/>
      <c r="T81" s="191" t="s">
        <v>28</v>
      </c>
      <c r="U81" s="654">
        <v>0</v>
      </c>
      <c r="V81" s="654"/>
      <c r="W81" s="654"/>
      <c r="X81" s="191" t="s">
        <v>31</v>
      </c>
      <c r="Y81" s="191" t="s">
        <v>28</v>
      </c>
      <c r="Z81" s="650">
        <v>0</v>
      </c>
      <c r="AA81" s="650"/>
      <c r="AB81" s="651"/>
      <c r="AC81" s="714"/>
      <c r="AD81" s="704"/>
      <c r="AE81" s="704"/>
      <c r="AF81" s="704"/>
      <c r="AG81" s="735"/>
      <c r="AH81" s="601"/>
      <c r="AI81" s="601"/>
      <c r="AJ81" s="601"/>
      <c r="AK81" s="601"/>
      <c r="AL81" s="601"/>
      <c r="AM81" s="601"/>
      <c r="AN81" s="601"/>
      <c r="AO81" s="601"/>
      <c r="AP81" s="601"/>
      <c r="AQ81" s="601"/>
      <c r="AR81" s="601"/>
      <c r="AS81" s="664"/>
      <c r="AT81" s="664"/>
      <c r="AU81" s="664"/>
      <c r="AV81" s="664"/>
      <c r="AW81" s="664"/>
      <c r="AX81" s="601"/>
      <c r="AY81" s="601"/>
      <c r="AZ81" s="601"/>
      <c r="BA81" s="601"/>
      <c r="BB81" s="655"/>
    </row>
    <row r="82" spans="1:54" ht="15" hidden="1" customHeight="1" thickBot="1" x14ac:dyDescent="0.25">
      <c r="A82" s="1352"/>
      <c r="B82" s="1353"/>
      <c r="C82" s="1353"/>
      <c r="D82" s="1353"/>
      <c r="E82" s="1353"/>
      <c r="F82" s="1353"/>
      <c r="G82" s="1353"/>
      <c r="H82" s="202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4"/>
      <c r="AA82" s="204"/>
      <c r="AB82" s="205"/>
      <c r="AC82" s="770"/>
      <c r="AD82" s="721"/>
      <c r="AE82" s="721"/>
      <c r="AF82" s="721"/>
      <c r="AG82" s="851"/>
      <c r="AH82" s="656"/>
      <c r="AI82" s="656"/>
      <c r="AJ82" s="656"/>
      <c r="AK82" s="656"/>
      <c r="AL82" s="656"/>
      <c r="AM82" s="656"/>
      <c r="AN82" s="656"/>
      <c r="AO82" s="656"/>
      <c r="AP82" s="656"/>
      <c r="AQ82" s="656"/>
      <c r="AR82" s="656"/>
      <c r="AS82" s="664"/>
      <c r="AT82" s="664"/>
      <c r="AU82" s="664"/>
      <c r="AV82" s="664"/>
      <c r="AW82" s="664"/>
      <c r="AX82" s="656"/>
      <c r="AY82" s="656"/>
      <c r="AZ82" s="656"/>
      <c r="BA82" s="656"/>
      <c r="BB82" s="657"/>
    </row>
    <row r="83" spans="1:54" ht="11.25" customHeight="1" x14ac:dyDescent="0.2">
      <c r="R83" s="169" t="s">
        <v>18</v>
      </c>
      <c r="S83" s="170"/>
      <c r="T83" s="170"/>
      <c r="U83" s="171"/>
      <c r="V83" s="171"/>
      <c r="W83" s="171"/>
      <c r="X83" s="171"/>
      <c r="Y83" s="171"/>
      <c r="Z83" s="171"/>
      <c r="AA83" s="171"/>
      <c r="AB83" s="171"/>
      <c r="AC83" s="171"/>
      <c r="AD83" s="171" t="s">
        <v>19</v>
      </c>
      <c r="AE83" s="171" t="s">
        <v>20</v>
      </c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2"/>
      <c r="AS83" s="453">
        <f>AX83/U12</f>
        <v>281.66666666666669</v>
      </c>
      <c r="AT83" s="453"/>
      <c r="AU83" s="453"/>
      <c r="AV83" s="453"/>
      <c r="AW83" s="453"/>
      <c r="AX83" s="453">
        <f>SUM(AX58:BB82)</f>
        <v>281.66666666666669</v>
      </c>
      <c r="AY83" s="453"/>
      <c r="AZ83" s="453"/>
      <c r="BA83" s="453"/>
      <c r="BB83" s="454"/>
    </row>
    <row r="84" spans="1:54" ht="11.25" customHeight="1" thickBot="1" x14ac:dyDescent="0.25">
      <c r="R84" s="175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 t="s">
        <v>19</v>
      </c>
      <c r="AE84" s="176" t="s">
        <v>21</v>
      </c>
      <c r="AF84" s="176"/>
      <c r="AG84" s="176"/>
      <c r="AH84" s="176"/>
      <c r="AI84" s="176"/>
      <c r="AJ84" s="176"/>
      <c r="AK84" s="176"/>
      <c r="AL84" s="176"/>
      <c r="AM84" s="176"/>
      <c r="AN84" s="176"/>
      <c r="AO84" s="630">
        <v>0.30199999999999999</v>
      </c>
      <c r="AP84" s="631"/>
      <c r="AQ84" s="631"/>
      <c r="AR84" s="632"/>
      <c r="AS84" s="463">
        <f>AX84/U12</f>
        <v>85.063333333333333</v>
      </c>
      <c r="AT84" s="463"/>
      <c r="AU84" s="463"/>
      <c r="AV84" s="463"/>
      <c r="AW84" s="463"/>
      <c r="AX84" s="463">
        <f>AX83*AO84</f>
        <v>85.063333333333333</v>
      </c>
      <c r="AY84" s="463"/>
      <c r="AZ84" s="463"/>
      <c r="BA84" s="463"/>
      <c r="BB84" s="633"/>
    </row>
    <row r="85" spans="1:54" ht="11.25" customHeight="1" thickBot="1" x14ac:dyDescent="0.25">
      <c r="M85" s="164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163"/>
      <c r="AL85" s="163"/>
      <c r="AM85" s="163"/>
      <c r="AN85" s="163"/>
      <c r="AO85" s="206"/>
      <c r="AP85" s="179"/>
      <c r="AQ85" s="179"/>
      <c r="AR85" s="179"/>
      <c r="AS85" s="207"/>
      <c r="AT85" s="207"/>
      <c r="AU85" s="207"/>
      <c r="AV85" s="207"/>
      <c r="AW85" s="207"/>
      <c r="AX85" s="207"/>
      <c r="AY85" s="207"/>
      <c r="AZ85" s="207"/>
      <c r="BA85" s="207"/>
      <c r="BB85" s="207"/>
    </row>
    <row r="86" spans="1:54" ht="12" customHeight="1" x14ac:dyDescent="0.2">
      <c r="A86" s="634" t="s">
        <v>32</v>
      </c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34"/>
      <c r="O86" s="635" t="s">
        <v>33</v>
      </c>
      <c r="P86" s="636"/>
      <c r="Q86" s="636"/>
      <c r="R86" s="636"/>
      <c r="S86" s="636"/>
      <c r="T86" s="636"/>
      <c r="U86" s="636"/>
      <c r="V86" s="636"/>
      <c r="W86" s="636"/>
      <c r="X86" s="636"/>
      <c r="Y86" s="636"/>
      <c r="Z86" s="636"/>
      <c r="AA86" s="636"/>
      <c r="AB86" s="636"/>
      <c r="AC86" s="636"/>
      <c r="AD86" s="636"/>
      <c r="AE86" s="636"/>
      <c r="AF86" s="636"/>
      <c r="AG86" s="636"/>
      <c r="AH86" s="636"/>
      <c r="AI86" s="636"/>
      <c r="AJ86" s="636"/>
      <c r="AK86" s="636"/>
      <c r="AL86" s="636"/>
      <c r="AM86" s="636"/>
      <c r="AN86" s="636"/>
      <c r="AO86" s="637">
        <f>AS34+AS51+AS83</f>
        <v>394.33333333333337</v>
      </c>
      <c r="AP86" s="637"/>
      <c r="AQ86" s="637"/>
      <c r="AR86" s="637"/>
      <c r="AS86" s="637"/>
      <c r="AT86" s="637"/>
      <c r="AU86" s="637"/>
      <c r="AV86" s="637">
        <f>AX34+AX51+AX83</f>
        <v>394.33333333333337</v>
      </c>
      <c r="AW86" s="637"/>
      <c r="AX86" s="637"/>
      <c r="AY86" s="637"/>
      <c r="AZ86" s="637"/>
      <c r="BA86" s="637"/>
      <c r="BB86" s="638"/>
    </row>
    <row r="87" spans="1:54" ht="12" customHeight="1" thickBot="1" x14ac:dyDescent="0.25">
      <c r="M87" s="163"/>
      <c r="O87" s="643" t="s">
        <v>34</v>
      </c>
      <c r="P87" s="644"/>
      <c r="Q87" s="644"/>
      <c r="R87" s="644"/>
      <c r="S87" s="644"/>
      <c r="T87" s="644"/>
      <c r="U87" s="644"/>
      <c r="V87" s="644"/>
      <c r="W87" s="644"/>
      <c r="X87" s="644"/>
      <c r="Y87" s="644"/>
      <c r="Z87" s="644"/>
      <c r="AA87" s="644"/>
      <c r="AB87" s="644"/>
      <c r="AC87" s="644"/>
      <c r="AD87" s="644"/>
      <c r="AE87" s="644"/>
      <c r="AF87" s="644"/>
      <c r="AG87" s="644"/>
      <c r="AH87" s="644"/>
      <c r="AI87" s="644"/>
      <c r="AJ87" s="644"/>
      <c r="AK87" s="644"/>
      <c r="AL87" s="644"/>
      <c r="AM87" s="644"/>
      <c r="AN87" s="644"/>
      <c r="AO87" s="645">
        <f>AS35+AS52+AS84</f>
        <v>119.08866666666667</v>
      </c>
      <c r="AP87" s="645"/>
      <c r="AQ87" s="645"/>
      <c r="AR87" s="645"/>
      <c r="AS87" s="645"/>
      <c r="AT87" s="645"/>
      <c r="AU87" s="645"/>
      <c r="AV87" s="645">
        <f>AX35+AX52+AX84</f>
        <v>119.08866666666667</v>
      </c>
      <c r="AW87" s="645"/>
      <c r="AX87" s="645"/>
      <c r="AY87" s="645"/>
      <c r="AZ87" s="645"/>
      <c r="BA87" s="645"/>
      <c r="BB87" s="646"/>
    </row>
    <row r="88" spans="1:54" ht="12" customHeight="1" thickBot="1" x14ac:dyDescent="0.25">
      <c r="M88" s="208" t="s">
        <v>35</v>
      </c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  <c r="AM88" s="209"/>
      <c r="AN88" s="210"/>
      <c r="AO88" s="647">
        <f>AO87+AO86</f>
        <v>513.42200000000003</v>
      </c>
      <c r="AP88" s="648"/>
      <c r="AQ88" s="648"/>
      <c r="AR88" s="648"/>
      <c r="AS88" s="648"/>
      <c r="AT88" s="648"/>
      <c r="AU88" s="648"/>
      <c r="AV88" s="648">
        <f>AV86+AV87</f>
        <v>513.42200000000003</v>
      </c>
      <c r="AW88" s="648"/>
      <c r="AX88" s="648"/>
      <c r="AY88" s="648"/>
      <c r="AZ88" s="648"/>
      <c r="BA88" s="648"/>
      <c r="BB88" s="649"/>
    </row>
    <row r="89" spans="1:54" ht="10.5" customHeight="1" x14ac:dyDescent="0.2"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  <c r="AA89" s="211"/>
      <c r="AB89" s="211"/>
      <c r="AC89" s="211"/>
      <c r="AD89" s="211"/>
      <c r="AE89" s="211"/>
      <c r="AF89" s="211"/>
      <c r="AG89" s="211"/>
      <c r="AH89" s="211"/>
      <c r="AI89" s="211"/>
      <c r="AJ89" s="211"/>
      <c r="AK89" s="211"/>
      <c r="AL89" s="211"/>
      <c r="AM89" s="211"/>
      <c r="AN89" s="211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</row>
    <row r="90" spans="1:54" s="159" customFormat="1" ht="15" customHeight="1" x14ac:dyDescent="0.2">
      <c r="A90" s="159" t="s">
        <v>36</v>
      </c>
      <c r="C90" s="159" t="s">
        <v>37</v>
      </c>
      <c r="AX90" s="160"/>
      <c r="AY90" s="160"/>
      <c r="AZ90" s="160"/>
      <c r="BA90" s="160"/>
      <c r="BB90" s="160"/>
    </row>
    <row r="91" spans="1:54" ht="12" customHeight="1" thickBot="1" x14ac:dyDescent="0.25"/>
    <row r="92" spans="1:54" s="163" customFormat="1" ht="39" customHeight="1" x14ac:dyDescent="0.2">
      <c r="A92" s="499" t="s">
        <v>38</v>
      </c>
      <c r="B92" s="500"/>
      <c r="C92" s="500"/>
      <c r="D92" s="500"/>
      <c r="E92" s="500"/>
      <c r="F92" s="500"/>
      <c r="G92" s="500"/>
      <c r="H92" s="500"/>
      <c r="I92" s="500"/>
      <c r="J92" s="500"/>
      <c r="K92" s="500"/>
      <c r="L92" s="500"/>
      <c r="M92" s="500"/>
      <c r="N92" s="500"/>
      <c r="O92" s="500"/>
      <c r="P92" s="500"/>
      <c r="Q92" s="535" t="s">
        <v>39</v>
      </c>
      <c r="R92" s="535"/>
      <c r="S92" s="535"/>
      <c r="T92" s="535"/>
      <c r="U92" s="535"/>
      <c r="V92" s="535"/>
      <c r="W92" s="535"/>
      <c r="X92" s="535" t="s">
        <v>40</v>
      </c>
      <c r="Y92" s="535"/>
      <c r="Z92" s="535"/>
      <c r="AA92" s="535"/>
      <c r="AB92" s="535"/>
      <c r="AC92" s="535"/>
      <c r="AD92" s="535"/>
      <c r="AE92" s="535" t="s">
        <v>41</v>
      </c>
      <c r="AF92" s="535"/>
      <c r="AG92" s="535"/>
      <c r="AH92" s="535"/>
      <c r="AI92" s="535"/>
      <c r="AJ92" s="535"/>
      <c r="AK92" s="535"/>
      <c r="AL92" s="535"/>
      <c r="AM92" s="500" t="s">
        <v>42</v>
      </c>
      <c r="AN92" s="500"/>
      <c r="AO92" s="500"/>
      <c r="AP92" s="500"/>
      <c r="AQ92" s="500"/>
      <c r="AR92" s="500"/>
      <c r="AS92" s="500"/>
      <c r="AT92" s="500"/>
      <c r="AU92" s="500"/>
      <c r="AV92" s="500" t="s">
        <v>43</v>
      </c>
      <c r="AW92" s="500"/>
      <c r="AX92" s="500"/>
      <c r="AY92" s="500"/>
      <c r="AZ92" s="500"/>
      <c r="BA92" s="500"/>
      <c r="BB92" s="639"/>
    </row>
    <row r="93" spans="1:54" s="163" customFormat="1" ht="12" customHeight="1" thickBot="1" x14ac:dyDescent="0.25">
      <c r="A93" s="640">
        <v>1</v>
      </c>
      <c r="B93" s="641"/>
      <c r="C93" s="641"/>
      <c r="D93" s="641"/>
      <c r="E93" s="641"/>
      <c r="F93" s="641"/>
      <c r="G93" s="641"/>
      <c r="H93" s="641"/>
      <c r="I93" s="641"/>
      <c r="J93" s="641"/>
      <c r="K93" s="641"/>
      <c r="L93" s="641"/>
      <c r="M93" s="641"/>
      <c r="N93" s="641"/>
      <c r="O93" s="641"/>
      <c r="P93" s="641"/>
      <c r="Q93" s="641">
        <v>2</v>
      </c>
      <c r="R93" s="641"/>
      <c r="S93" s="641"/>
      <c r="T93" s="641"/>
      <c r="U93" s="641"/>
      <c r="V93" s="641"/>
      <c r="W93" s="641"/>
      <c r="X93" s="641">
        <v>3</v>
      </c>
      <c r="Y93" s="641"/>
      <c r="Z93" s="641"/>
      <c r="AA93" s="641"/>
      <c r="AB93" s="641"/>
      <c r="AC93" s="641"/>
      <c r="AD93" s="641"/>
      <c r="AE93" s="641">
        <v>4</v>
      </c>
      <c r="AF93" s="641"/>
      <c r="AG93" s="641"/>
      <c r="AH93" s="641"/>
      <c r="AI93" s="641"/>
      <c r="AJ93" s="641"/>
      <c r="AK93" s="641"/>
      <c r="AL93" s="641"/>
      <c r="AM93" s="641">
        <v>5</v>
      </c>
      <c r="AN93" s="641"/>
      <c r="AO93" s="641"/>
      <c r="AP93" s="641"/>
      <c r="AQ93" s="641"/>
      <c r="AR93" s="641"/>
      <c r="AS93" s="641"/>
      <c r="AT93" s="641"/>
      <c r="AU93" s="641"/>
      <c r="AV93" s="641">
        <v>6</v>
      </c>
      <c r="AW93" s="641"/>
      <c r="AX93" s="641"/>
      <c r="AY93" s="641"/>
      <c r="AZ93" s="641"/>
      <c r="BA93" s="641"/>
      <c r="BB93" s="642"/>
    </row>
    <row r="94" spans="1:54" ht="15" customHeight="1" x14ac:dyDescent="0.2">
      <c r="A94" s="618" t="s">
        <v>44</v>
      </c>
      <c r="B94" s="619"/>
      <c r="C94" s="619"/>
      <c r="D94" s="619"/>
      <c r="E94" s="619"/>
      <c r="F94" s="619"/>
      <c r="G94" s="619"/>
      <c r="H94" s="619"/>
      <c r="I94" s="619"/>
      <c r="J94" s="619"/>
      <c r="K94" s="619"/>
      <c r="L94" s="619"/>
      <c r="M94" s="619"/>
      <c r="N94" s="619"/>
      <c r="O94" s="619"/>
      <c r="P94" s="619"/>
      <c r="Q94" s="572">
        <v>5014.7</v>
      </c>
      <c r="R94" s="573"/>
      <c r="S94" s="573"/>
      <c r="T94" s="573"/>
      <c r="U94" s="573"/>
      <c r="V94" s="573"/>
      <c r="W94" s="574"/>
      <c r="X94" s="572">
        <v>71.7</v>
      </c>
      <c r="Y94" s="573"/>
      <c r="Z94" s="573"/>
      <c r="AA94" s="573"/>
      <c r="AB94" s="573"/>
      <c r="AC94" s="573"/>
      <c r="AD94" s="574"/>
      <c r="AE94" s="477">
        <v>1543273.99</v>
      </c>
      <c r="AF94" s="477"/>
      <c r="AG94" s="477"/>
      <c r="AH94" s="477"/>
      <c r="AI94" s="477"/>
      <c r="AJ94" s="477"/>
      <c r="AK94" s="477"/>
      <c r="AL94" s="477"/>
      <c r="AM94" s="620" t="s">
        <v>45</v>
      </c>
      <c r="AN94" s="621"/>
      <c r="AO94" s="621"/>
      <c r="AP94" s="621"/>
      <c r="AQ94" s="621"/>
      <c r="AR94" s="621"/>
      <c r="AS94" s="621"/>
      <c r="AT94" s="621"/>
      <c r="AU94" s="622"/>
      <c r="AV94" s="615">
        <f>AE94/$Q$94*$X$94/($AN$95*$AN$96)</f>
        <v>8.9697869631575848</v>
      </c>
      <c r="AW94" s="615"/>
      <c r="AX94" s="615"/>
      <c r="AY94" s="615"/>
      <c r="AZ94" s="615"/>
      <c r="BA94" s="615"/>
      <c r="BB94" s="616"/>
    </row>
    <row r="95" spans="1:54" ht="15" customHeight="1" x14ac:dyDescent="0.2">
      <c r="A95" s="618" t="s">
        <v>46</v>
      </c>
      <c r="B95" s="619"/>
      <c r="C95" s="619"/>
      <c r="D95" s="619"/>
      <c r="E95" s="619"/>
      <c r="F95" s="619"/>
      <c r="G95" s="619"/>
      <c r="H95" s="619"/>
      <c r="I95" s="619"/>
      <c r="J95" s="619"/>
      <c r="K95" s="619"/>
      <c r="L95" s="619"/>
      <c r="M95" s="619"/>
      <c r="N95" s="619"/>
      <c r="O95" s="619"/>
      <c r="P95" s="619"/>
      <c r="Q95" s="572"/>
      <c r="R95" s="573"/>
      <c r="S95" s="573"/>
      <c r="T95" s="573"/>
      <c r="U95" s="573"/>
      <c r="V95" s="573"/>
      <c r="W95" s="574"/>
      <c r="X95" s="572"/>
      <c r="Y95" s="573"/>
      <c r="Z95" s="573"/>
      <c r="AA95" s="573"/>
      <c r="AB95" s="573"/>
      <c r="AC95" s="573"/>
      <c r="AD95" s="574"/>
      <c r="AE95" s="529">
        <v>2640483.81</v>
      </c>
      <c r="AF95" s="529"/>
      <c r="AG95" s="529"/>
      <c r="AH95" s="529"/>
      <c r="AI95" s="529"/>
      <c r="AJ95" s="529"/>
      <c r="AK95" s="529"/>
      <c r="AL95" s="529"/>
      <c r="AM95" s="213"/>
      <c r="AN95" s="623">
        <v>205</v>
      </c>
      <c r="AO95" s="623"/>
      <c r="AP95" s="623"/>
      <c r="AQ95" s="617" t="s">
        <v>47</v>
      </c>
      <c r="AR95" s="617"/>
      <c r="AS95" s="617"/>
      <c r="AT95" s="617"/>
      <c r="AU95" s="214"/>
      <c r="AV95" s="615">
        <f>AE95/$Q$94*$X$94/($AN$95*$AN$96)</f>
        <v>15.346968463692356</v>
      </c>
      <c r="AW95" s="615"/>
      <c r="AX95" s="615"/>
      <c r="AY95" s="615"/>
      <c r="AZ95" s="615"/>
      <c r="BA95" s="615"/>
      <c r="BB95" s="616"/>
    </row>
    <row r="96" spans="1:54" ht="15" customHeight="1" x14ac:dyDescent="0.2">
      <c r="A96" s="449" t="s">
        <v>48</v>
      </c>
      <c r="B96" s="450"/>
      <c r="C96" s="450"/>
      <c r="D96" s="450"/>
      <c r="E96" s="450"/>
      <c r="F96" s="450"/>
      <c r="G96" s="450"/>
      <c r="H96" s="450"/>
      <c r="I96" s="450"/>
      <c r="J96" s="450"/>
      <c r="K96" s="450"/>
      <c r="L96" s="450"/>
      <c r="M96" s="450"/>
      <c r="N96" s="450"/>
      <c r="O96" s="450"/>
      <c r="P96" s="451"/>
      <c r="Q96" s="572"/>
      <c r="R96" s="573"/>
      <c r="S96" s="573"/>
      <c r="T96" s="573"/>
      <c r="U96" s="573"/>
      <c r="V96" s="573"/>
      <c r="W96" s="574"/>
      <c r="X96" s="572"/>
      <c r="Y96" s="573"/>
      <c r="Z96" s="573"/>
      <c r="AA96" s="573"/>
      <c r="AB96" s="573"/>
      <c r="AC96" s="573"/>
      <c r="AD96" s="574"/>
      <c r="AE96" s="529">
        <v>4214618.8899999997</v>
      </c>
      <c r="AF96" s="529"/>
      <c r="AG96" s="529"/>
      <c r="AH96" s="529"/>
      <c r="AI96" s="529"/>
      <c r="AJ96" s="529"/>
      <c r="AK96" s="529"/>
      <c r="AL96" s="529"/>
      <c r="AM96" s="213"/>
      <c r="AN96" s="562">
        <v>12</v>
      </c>
      <c r="AO96" s="562"/>
      <c r="AP96" s="562"/>
      <c r="AQ96" s="617" t="s">
        <v>49</v>
      </c>
      <c r="AR96" s="617"/>
      <c r="AS96" s="617"/>
      <c r="AT96" s="617"/>
      <c r="AU96" s="214"/>
      <c r="AV96" s="615">
        <f>AE96/$Q$94*$X$94/($AN$95*$AN$96)</f>
        <v>24.496125651803212</v>
      </c>
      <c r="AW96" s="615"/>
      <c r="AX96" s="615"/>
      <c r="AY96" s="615"/>
      <c r="AZ96" s="615"/>
      <c r="BA96" s="615"/>
      <c r="BB96" s="616"/>
    </row>
    <row r="97" spans="1:54" ht="15" customHeight="1" thickBot="1" x14ac:dyDescent="0.25">
      <c r="A97" s="624" t="s">
        <v>50</v>
      </c>
      <c r="B97" s="625"/>
      <c r="C97" s="625"/>
      <c r="D97" s="625"/>
      <c r="E97" s="625"/>
      <c r="F97" s="625"/>
      <c r="G97" s="625"/>
      <c r="H97" s="625"/>
      <c r="I97" s="625"/>
      <c r="J97" s="625"/>
      <c r="K97" s="625"/>
      <c r="L97" s="625"/>
      <c r="M97" s="625"/>
      <c r="N97" s="625"/>
      <c r="O97" s="625"/>
      <c r="P97" s="626"/>
      <c r="Q97" s="572"/>
      <c r="R97" s="573"/>
      <c r="S97" s="573"/>
      <c r="T97" s="573"/>
      <c r="U97" s="573"/>
      <c r="V97" s="573"/>
      <c r="W97" s="574"/>
      <c r="X97" s="572"/>
      <c r="Y97" s="573"/>
      <c r="Z97" s="573"/>
      <c r="AA97" s="573"/>
      <c r="AB97" s="573"/>
      <c r="AC97" s="573"/>
      <c r="AD97" s="574"/>
      <c r="AE97" s="627">
        <v>1852856.09</v>
      </c>
      <c r="AF97" s="627"/>
      <c r="AG97" s="627"/>
      <c r="AH97" s="627"/>
      <c r="AI97" s="627"/>
      <c r="AJ97" s="627"/>
      <c r="AK97" s="627"/>
      <c r="AL97" s="627"/>
      <c r="AM97" s="213"/>
      <c r="AN97" s="186"/>
      <c r="AO97" s="186"/>
      <c r="AP97" s="186"/>
      <c r="AQ97" s="186"/>
      <c r="AR97" s="186"/>
      <c r="AS97" s="186"/>
      <c r="AT97" s="186"/>
      <c r="AU97" s="214"/>
      <c r="AV97" s="628">
        <f>AE97/$Q$94*$X$94/($AN$95*$AN$96)</f>
        <v>10.769134002374484</v>
      </c>
      <c r="AW97" s="628"/>
      <c r="AX97" s="628"/>
      <c r="AY97" s="628"/>
      <c r="AZ97" s="628"/>
      <c r="BA97" s="628"/>
      <c r="BB97" s="629"/>
    </row>
    <row r="98" spans="1:54" s="161" customFormat="1" ht="15" customHeight="1" thickBot="1" x14ac:dyDescent="0.25">
      <c r="A98" s="610" t="s">
        <v>51</v>
      </c>
      <c r="B98" s="611"/>
      <c r="C98" s="611"/>
      <c r="D98" s="611"/>
      <c r="E98" s="611"/>
      <c r="F98" s="611"/>
      <c r="G98" s="611"/>
      <c r="H98" s="611"/>
      <c r="I98" s="611"/>
      <c r="J98" s="611"/>
      <c r="K98" s="611"/>
      <c r="L98" s="611"/>
      <c r="M98" s="611"/>
      <c r="N98" s="611"/>
      <c r="O98" s="611"/>
      <c r="P98" s="611"/>
      <c r="Q98" s="531">
        <f>Q94</f>
        <v>5014.7</v>
      </c>
      <c r="R98" s="533"/>
      <c r="S98" s="533"/>
      <c r="T98" s="533"/>
      <c r="U98" s="533"/>
      <c r="V98" s="533"/>
      <c r="W98" s="534"/>
      <c r="X98" s="531">
        <f>X94</f>
        <v>71.7</v>
      </c>
      <c r="Y98" s="533"/>
      <c r="Z98" s="533"/>
      <c r="AA98" s="533"/>
      <c r="AB98" s="533"/>
      <c r="AC98" s="533"/>
      <c r="AD98" s="534"/>
      <c r="AE98" s="612">
        <f>SUM(AE94:AL97)</f>
        <v>10251232.779999999</v>
      </c>
      <c r="AF98" s="612"/>
      <c r="AG98" s="612"/>
      <c r="AH98" s="612"/>
      <c r="AI98" s="612"/>
      <c r="AJ98" s="612"/>
      <c r="AK98" s="612"/>
      <c r="AL98" s="612"/>
      <c r="AM98" s="531" t="s">
        <v>17</v>
      </c>
      <c r="AN98" s="533"/>
      <c r="AO98" s="533"/>
      <c r="AP98" s="533"/>
      <c r="AQ98" s="533"/>
      <c r="AR98" s="533"/>
      <c r="AS98" s="533"/>
      <c r="AT98" s="533"/>
      <c r="AU98" s="534"/>
      <c r="AV98" s="613">
        <f>SUM(AV94:BB97)</f>
        <v>59.582015081027635</v>
      </c>
      <c r="AW98" s="613"/>
      <c r="AX98" s="613"/>
      <c r="AY98" s="613"/>
      <c r="AZ98" s="613"/>
      <c r="BA98" s="613"/>
      <c r="BB98" s="614"/>
    </row>
    <row r="99" spans="1:54" ht="12" customHeight="1" x14ac:dyDescent="0.2"/>
    <row r="100" spans="1:54" s="159" customFormat="1" ht="15" customHeight="1" x14ac:dyDescent="0.2">
      <c r="A100" s="159" t="s">
        <v>52</v>
      </c>
      <c r="C100" s="159" t="s">
        <v>53</v>
      </c>
      <c r="AX100" s="160"/>
      <c r="AY100" s="160"/>
      <c r="AZ100" s="160"/>
      <c r="BA100" s="160"/>
      <c r="BB100" s="160"/>
    </row>
    <row r="101" spans="1:54" ht="12" customHeight="1" thickBot="1" x14ac:dyDescent="0.25"/>
    <row r="102" spans="1:54" ht="39" customHeight="1" x14ac:dyDescent="0.2">
      <c r="A102" s="585" t="s">
        <v>54</v>
      </c>
      <c r="B102" s="586"/>
      <c r="C102" s="586"/>
      <c r="D102" s="586"/>
      <c r="E102" s="586"/>
      <c r="F102" s="586"/>
      <c r="G102" s="586"/>
      <c r="H102" s="586"/>
      <c r="I102" s="586"/>
      <c r="J102" s="586"/>
      <c r="K102" s="586"/>
      <c r="L102" s="586"/>
      <c r="M102" s="586"/>
      <c r="N102" s="586"/>
      <c r="O102" s="586"/>
      <c r="P102" s="586"/>
      <c r="Q102" s="586"/>
      <c r="R102" s="586"/>
      <c r="S102" s="586"/>
      <c r="T102" s="586"/>
      <c r="U102" s="586"/>
      <c r="V102" s="586"/>
      <c r="W102" s="586"/>
      <c r="X102" s="586"/>
      <c r="Y102" s="586"/>
      <c r="Z102" s="587"/>
      <c r="AA102" s="536" t="s">
        <v>55</v>
      </c>
      <c r="AB102" s="537"/>
      <c r="AC102" s="537"/>
      <c r="AD102" s="537"/>
      <c r="AE102" s="537"/>
      <c r="AF102" s="538"/>
      <c r="AG102" s="536" t="s">
        <v>56</v>
      </c>
      <c r="AH102" s="537"/>
      <c r="AI102" s="537"/>
      <c r="AJ102" s="537"/>
      <c r="AK102" s="537"/>
      <c r="AL102" s="538"/>
      <c r="AM102" s="588" t="s">
        <v>57</v>
      </c>
      <c r="AN102" s="586"/>
      <c r="AO102" s="586"/>
      <c r="AP102" s="586"/>
      <c r="AQ102" s="586"/>
      <c r="AR102" s="586"/>
      <c r="AS102" s="586"/>
      <c r="AT102" s="587"/>
      <c r="AU102" s="588" t="s">
        <v>43</v>
      </c>
      <c r="AV102" s="586"/>
      <c r="AW102" s="586"/>
      <c r="AX102" s="586"/>
      <c r="AY102" s="586"/>
      <c r="AZ102" s="586"/>
      <c r="BA102" s="586"/>
      <c r="BB102" s="589"/>
    </row>
    <row r="103" spans="1:54" ht="15.75" customHeight="1" thickBot="1" x14ac:dyDescent="0.25">
      <c r="A103" s="564">
        <v>1</v>
      </c>
      <c r="B103" s="475"/>
      <c r="C103" s="475"/>
      <c r="D103" s="475"/>
      <c r="E103" s="475"/>
      <c r="F103" s="475"/>
      <c r="G103" s="475"/>
      <c r="H103" s="475"/>
      <c r="I103" s="475"/>
      <c r="J103" s="475"/>
      <c r="K103" s="475"/>
      <c r="L103" s="475"/>
      <c r="M103" s="475"/>
      <c r="N103" s="475"/>
      <c r="O103" s="475"/>
      <c r="P103" s="475"/>
      <c r="Q103" s="475"/>
      <c r="R103" s="475"/>
      <c r="S103" s="475"/>
      <c r="T103" s="475"/>
      <c r="U103" s="475"/>
      <c r="V103" s="475"/>
      <c r="W103" s="475"/>
      <c r="X103" s="475"/>
      <c r="Y103" s="475"/>
      <c r="Z103" s="476"/>
      <c r="AA103" s="474">
        <v>2</v>
      </c>
      <c r="AB103" s="475"/>
      <c r="AC103" s="475"/>
      <c r="AD103" s="475"/>
      <c r="AE103" s="475"/>
      <c r="AF103" s="476"/>
      <c r="AG103" s="474">
        <v>3</v>
      </c>
      <c r="AH103" s="475"/>
      <c r="AI103" s="475"/>
      <c r="AJ103" s="475"/>
      <c r="AK103" s="475"/>
      <c r="AL103" s="476"/>
      <c r="AM103" s="474">
        <v>4</v>
      </c>
      <c r="AN103" s="475"/>
      <c r="AO103" s="475"/>
      <c r="AP103" s="475"/>
      <c r="AQ103" s="475"/>
      <c r="AR103" s="475"/>
      <c r="AS103" s="475"/>
      <c r="AT103" s="476"/>
      <c r="AU103" s="474">
        <v>5</v>
      </c>
      <c r="AV103" s="475"/>
      <c r="AW103" s="475"/>
      <c r="AX103" s="475"/>
      <c r="AY103" s="475"/>
      <c r="AZ103" s="475"/>
      <c r="BA103" s="475"/>
      <c r="BB103" s="565"/>
    </row>
    <row r="104" spans="1:54" ht="15" hidden="1" customHeight="1" x14ac:dyDescent="0.2">
      <c r="A104" s="1348" t="s">
        <v>77</v>
      </c>
      <c r="B104" s="760"/>
      <c r="C104" s="760"/>
      <c r="D104" s="760"/>
      <c r="E104" s="760"/>
      <c r="F104" s="760"/>
      <c r="G104" s="760"/>
      <c r="H104" s="760"/>
      <c r="I104" s="760"/>
      <c r="J104" s="760"/>
      <c r="K104" s="760"/>
      <c r="L104" s="760"/>
      <c r="M104" s="760"/>
      <c r="N104" s="760"/>
      <c r="O104" s="760"/>
      <c r="P104" s="760"/>
      <c r="Q104" s="760"/>
      <c r="R104" s="760"/>
      <c r="S104" s="760"/>
      <c r="T104" s="760"/>
      <c r="U104" s="760"/>
      <c r="V104" s="760"/>
      <c r="W104" s="760"/>
      <c r="X104" s="760"/>
      <c r="Y104" s="760"/>
      <c r="Z104" s="1349"/>
      <c r="AA104" s="716"/>
      <c r="AB104" s="669"/>
      <c r="AC104" s="669"/>
      <c r="AD104" s="669"/>
      <c r="AE104" s="669"/>
      <c r="AF104" s="670"/>
      <c r="AG104" s="572">
        <f>U12</f>
        <v>1</v>
      </c>
      <c r="AH104" s="573"/>
      <c r="AI104" s="573"/>
      <c r="AJ104" s="573"/>
      <c r="AK104" s="573"/>
      <c r="AL104" s="574"/>
      <c r="AM104" s="572" t="s">
        <v>58</v>
      </c>
      <c r="AN104" s="573"/>
      <c r="AO104" s="573"/>
      <c r="AP104" s="573"/>
      <c r="AQ104" s="573"/>
      <c r="AR104" s="573"/>
      <c r="AS104" s="573"/>
      <c r="AT104" s="574"/>
      <c r="AU104" s="558">
        <f>AA104/AG104</f>
        <v>0</v>
      </c>
      <c r="AV104" s="559"/>
      <c r="AW104" s="559"/>
      <c r="AX104" s="559"/>
      <c r="AY104" s="559"/>
      <c r="AZ104" s="559"/>
      <c r="BA104" s="559"/>
      <c r="BB104" s="560"/>
    </row>
    <row r="105" spans="1:54" ht="15" hidden="1" customHeight="1" x14ac:dyDescent="0.2">
      <c r="A105" s="449" t="s">
        <v>76</v>
      </c>
      <c r="B105" s="450"/>
      <c r="C105" s="450"/>
      <c r="D105" s="450"/>
      <c r="E105" s="450"/>
      <c r="F105" s="450"/>
      <c r="G105" s="450"/>
      <c r="H105" s="450"/>
      <c r="I105" s="450"/>
      <c r="J105" s="450"/>
      <c r="K105" s="450"/>
      <c r="L105" s="450"/>
      <c r="M105" s="450"/>
      <c r="N105" s="450"/>
      <c r="O105" s="450"/>
      <c r="P105" s="450"/>
      <c r="Q105" s="450"/>
      <c r="R105" s="450"/>
      <c r="S105" s="450"/>
      <c r="T105" s="450"/>
      <c r="U105" s="450"/>
      <c r="V105" s="450"/>
      <c r="W105" s="450"/>
      <c r="X105" s="450"/>
      <c r="Y105" s="450"/>
      <c r="Z105" s="451"/>
      <c r="AA105" s="596"/>
      <c r="AB105" s="597"/>
      <c r="AC105" s="597"/>
      <c r="AD105" s="597"/>
      <c r="AE105" s="597"/>
      <c r="AF105" s="598"/>
      <c r="AG105" s="572"/>
      <c r="AH105" s="573"/>
      <c r="AI105" s="573"/>
      <c r="AJ105" s="573"/>
      <c r="AK105" s="573"/>
      <c r="AL105" s="574"/>
      <c r="AM105" s="572"/>
      <c r="AN105" s="573"/>
      <c r="AO105" s="573"/>
      <c r="AP105" s="573"/>
      <c r="AQ105" s="573"/>
      <c r="AR105" s="573"/>
      <c r="AS105" s="573"/>
      <c r="AT105" s="574"/>
      <c r="AU105" s="590">
        <f>AA105/AG104</f>
        <v>0</v>
      </c>
      <c r="AV105" s="591"/>
      <c r="AW105" s="591"/>
      <c r="AX105" s="591"/>
      <c r="AY105" s="591"/>
      <c r="AZ105" s="591"/>
      <c r="BA105" s="591"/>
      <c r="BB105" s="592"/>
    </row>
    <row r="106" spans="1:54" ht="12" hidden="1" x14ac:dyDescent="0.2">
      <c r="A106" s="449" t="s">
        <v>118</v>
      </c>
      <c r="B106" s="450"/>
      <c r="C106" s="450"/>
      <c r="D106" s="450"/>
      <c r="E106" s="450"/>
      <c r="F106" s="450"/>
      <c r="G106" s="450"/>
      <c r="H106" s="450"/>
      <c r="I106" s="450"/>
      <c r="J106" s="450"/>
      <c r="K106" s="450"/>
      <c r="L106" s="450"/>
      <c r="M106" s="450"/>
      <c r="N106" s="450"/>
      <c r="O106" s="450"/>
      <c r="P106" s="450"/>
      <c r="Q106" s="450"/>
      <c r="R106" s="450"/>
      <c r="S106" s="450"/>
      <c r="T106" s="450"/>
      <c r="U106" s="450"/>
      <c r="V106" s="450"/>
      <c r="W106" s="450"/>
      <c r="X106" s="450"/>
      <c r="Y106" s="450"/>
      <c r="Z106" s="451"/>
      <c r="AA106" s="596"/>
      <c r="AB106" s="597"/>
      <c r="AC106" s="597"/>
      <c r="AD106" s="597"/>
      <c r="AE106" s="597"/>
      <c r="AF106" s="598"/>
      <c r="AG106" s="572"/>
      <c r="AH106" s="573"/>
      <c r="AI106" s="573"/>
      <c r="AJ106" s="573"/>
      <c r="AK106" s="573"/>
      <c r="AL106" s="574"/>
      <c r="AM106" s="572"/>
      <c r="AN106" s="573"/>
      <c r="AO106" s="573"/>
      <c r="AP106" s="573"/>
      <c r="AQ106" s="573"/>
      <c r="AR106" s="573"/>
      <c r="AS106" s="573"/>
      <c r="AT106" s="574"/>
      <c r="AU106" s="590">
        <f>AA106/AG104</f>
        <v>0</v>
      </c>
      <c r="AV106" s="591"/>
      <c r="AW106" s="591"/>
      <c r="AX106" s="591"/>
      <c r="AY106" s="591"/>
      <c r="AZ106" s="591"/>
      <c r="BA106" s="591"/>
      <c r="BB106" s="592"/>
    </row>
    <row r="107" spans="1:54" ht="15.75" hidden="1" customHeight="1" x14ac:dyDescent="0.2">
      <c r="A107" s="593" t="s">
        <v>119</v>
      </c>
      <c r="B107" s="594"/>
      <c r="C107" s="594"/>
      <c r="D107" s="594"/>
      <c r="E107" s="594"/>
      <c r="F107" s="594"/>
      <c r="G107" s="594"/>
      <c r="H107" s="594"/>
      <c r="I107" s="594"/>
      <c r="J107" s="594"/>
      <c r="K107" s="594"/>
      <c r="L107" s="594"/>
      <c r="M107" s="594"/>
      <c r="N107" s="594"/>
      <c r="O107" s="594"/>
      <c r="P107" s="594"/>
      <c r="Q107" s="594"/>
      <c r="R107" s="594"/>
      <c r="S107" s="594"/>
      <c r="T107" s="594"/>
      <c r="U107" s="594"/>
      <c r="V107" s="594"/>
      <c r="W107" s="594"/>
      <c r="X107" s="594"/>
      <c r="Y107" s="594"/>
      <c r="Z107" s="595"/>
      <c r="AA107" s="596"/>
      <c r="AB107" s="597"/>
      <c r="AC107" s="597"/>
      <c r="AD107" s="597"/>
      <c r="AE107" s="597"/>
      <c r="AF107" s="598"/>
      <c r="AG107" s="572"/>
      <c r="AH107" s="573"/>
      <c r="AI107" s="573"/>
      <c r="AJ107" s="573"/>
      <c r="AK107" s="573"/>
      <c r="AL107" s="574"/>
      <c r="AM107" s="572"/>
      <c r="AN107" s="573"/>
      <c r="AO107" s="573"/>
      <c r="AP107" s="573"/>
      <c r="AQ107" s="573"/>
      <c r="AR107" s="573"/>
      <c r="AS107" s="573"/>
      <c r="AT107" s="574"/>
      <c r="AU107" s="590">
        <f>AA107/AG104</f>
        <v>0</v>
      </c>
      <c r="AV107" s="591"/>
      <c r="AW107" s="591"/>
      <c r="AX107" s="591"/>
      <c r="AY107" s="591"/>
      <c r="AZ107" s="591"/>
      <c r="BA107" s="591"/>
      <c r="BB107" s="592"/>
    </row>
    <row r="108" spans="1:54" ht="15" hidden="1" customHeight="1" x14ac:dyDescent="0.2">
      <c r="A108" s="593" t="s">
        <v>120</v>
      </c>
      <c r="B108" s="594"/>
      <c r="C108" s="594"/>
      <c r="D108" s="594"/>
      <c r="E108" s="594"/>
      <c r="F108" s="594"/>
      <c r="G108" s="594"/>
      <c r="H108" s="594"/>
      <c r="I108" s="594"/>
      <c r="J108" s="594"/>
      <c r="K108" s="594"/>
      <c r="L108" s="594"/>
      <c r="M108" s="594"/>
      <c r="N108" s="594"/>
      <c r="O108" s="594"/>
      <c r="P108" s="594"/>
      <c r="Q108" s="594"/>
      <c r="R108" s="594"/>
      <c r="S108" s="594"/>
      <c r="T108" s="594"/>
      <c r="U108" s="594"/>
      <c r="V108" s="594"/>
      <c r="W108" s="594"/>
      <c r="X108" s="594"/>
      <c r="Y108" s="594"/>
      <c r="Z108" s="595"/>
      <c r="AA108" s="596"/>
      <c r="AB108" s="597"/>
      <c r="AC108" s="597"/>
      <c r="AD108" s="597"/>
      <c r="AE108" s="597"/>
      <c r="AF108" s="598"/>
      <c r="AG108" s="572"/>
      <c r="AH108" s="573"/>
      <c r="AI108" s="573"/>
      <c r="AJ108" s="573"/>
      <c r="AK108" s="573"/>
      <c r="AL108" s="574"/>
      <c r="AM108" s="572"/>
      <c r="AN108" s="573"/>
      <c r="AO108" s="573"/>
      <c r="AP108" s="573"/>
      <c r="AQ108" s="573"/>
      <c r="AR108" s="573"/>
      <c r="AS108" s="573"/>
      <c r="AT108" s="574"/>
      <c r="AU108" s="590">
        <f>AA108/AG104</f>
        <v>0</v>
      </c>
      <c r="AV108" s="591"/>
      <c r="AW108" s="591"/>
      <c r="AX108" s="591"/>
      <c r="AY108" s="591"/>
      <c r="AZ108" s="591"/>
      <c r="BA108" s="591"/>
      <c r="BB108" s="592"/>
    </row>
    <row r="109" spans="1:54" ht="15" hidden="1" customHeight="1" x14ac:dyDescent="0.2">
      <c r="A109" s="593" t="s">
        <v>121</v>
      </c>
      <c r="B109" s="594"/>
      <c r="C109" s="594"/>
      <c r="D109" s="594"/>
      <c r="E109" s="594"/>
      <c r="F109" s="594"/>
      <c r="G109" s="594"/>
      <c r="H109" s="594"/>
      <c r="I109" s="594"/>
      <c r="J109" s="594"/>
      <c r="K109" s="594"/>
      <c r="L109" s="594"/>
      <c r="M109" s="594"/>
      <c r="N109" s="594"/>
      <c r="O109" s="594"/>
      <c r="P109" s="594"/>
      <c r="Q109" s="594"/>
      <c r="R109" s="594"/>
      <c r="S109" s="594"/>
      <c r="T109" s="594"/>
      <c r="U109" s="594"/>
      <c r="V109" s="594"/>
      <c r="W109" s="594"/>
      <c r="X109" s="594"/>
      <c r="Y109" s="594"/>
      <c r="Z109" s="595"/>
      <c r="AA109" s="596"/>
      <c r="AB109" s="597"/>
      <c r="AC109" s="597"/>
      <c r="AD109" s="597"/>
      <c r="AE109" s="597"/>
      <c r="AF109" s="598"/>
      <c r="AG109" s="572"/>
      <c r="AH109" s="573"/>
      <c r="AI109" s="573"/>
      <c r="AJ109" s="573"/>
      <c r="AK109" s="573"/>
      <c r="AL109" s="574"/>
      <c r="AM109" s="572"/>
      <c r="AN109" s="573"/>
      <c r="AO109" s="573"/>
      <c r="AP109" s="573"/>
      <c r="AQ109" s="573"/>
      <c r="AR109" s="573"/>
      <c r="AS109" s="573"/>
      <c r="AT109" s="574"/>
      <c r="AU109" s="590">
        <f>AA109/AG104</f>
        <v>0</v>
      </c>
      <c r="AV109" s="591"/>
      <c r="AW109" s="591"/>
      <c r="AX109" s="591"/>
      <c r="AY109" s="591"/>
      <c r="AZ109" s="591"/>
      <c r="BA109" s="591"/>
      <c r="BB109" s="592"/>
    </row>
    <row r="110" spans="1:54" ht="1.5" customHeight="1" x14ac:dyDescent="0.2">
      <c r="A110" s="593"/>
      <c r="B110" s="594"/>
      <c r="C110" s="594"/>
      <c r="D110" s="594"/>
      <c r="E110" s="594"/>
      <c r="F110" s="594"/>
      <c r="G110" s="594"/>
      <c r="H110" s="594"/>
      <c r="I110" s="594"/>
      <c r="J110" s="594"/>
      <c r="K110" s="594"/>
      <c r="L110" s="594"/>
      <c r="M110" s="594"/>
      <c r="N110" s="594"/>
      <c r="O110" s="594"/>
      <c r="P110" s="594"/>
      <c r="Q110" s="594"/>
      <c r="R110" s="594"/>
      <c r="S110" s="594"/>
      <c r="T110" s="594"/>
      <c r="U110" s="594"/>
      <c r="V110" s="594"/>
      <c r="W110" s="594"/>
      <c r="X110" s="594"/>
      <c r="Y110" s="594"/>
      <c r="Z110" s="595"/>
      <c r="AA110" s="596"/>
      <c r="AB110" s="597"/>
      <c r="AC110" s="597"/>
      <c r="AD110" s="597"/>
      <c r="AE110" s="597"/>
      <c r="AF110" s="598"/>
      <c r="AG110" s="572"/>
      <c r="AH110" s="573"/>
      <c r="AI110" s="573"/>
      <c r="AJ110" s="573"/>
      <c r="AK110" s="573"/>
      <c r="AL110" s="574"/>
      <c r="AM110" s="572"/>
      <c r="AN110" s="573"/>
      <c r="AO110" s="573"/>
      <c r="AP110" s="573"/>
      <c r="AQ110" s="573"/>
      <c r="AR110" s="573"/>
      <c r="AS110" s="573"/>
      <c r="AT110" s="574"/>
      <c r="AU110" s="590">
        <f>AA110/AG104</f>
        <v>0</v>
      </c>
      <c r="AV110" s="591"/>
      <c r="AW110" s="591"/>
      <c r="AX110" s="591"/>
      <c r="AY110" s="591"/>
      <c r="AZ110" s="591"/>
      <c r="BA110" s="591"/>
      <c r="BB110" s="592"/>
    </row>
    <row r="111" spans="1:54" ht="15.75" customHeight="1" x14ac:dyDescent="0.2">
      <c r="A111" s="593" t="s">
        <v>518</v>
      </c>
      <c r="B111" s="594"/>
      <c r="C111" s="594"/>
      <c r="D111" s="594"/>
      <c r="E111" s="594"/>
      <c r="F111" s="594"/>
      <c r="G111" s="594"/>
      <c r="H111" s="594"/>
      <c r="I111" s="594"/>
      <c r="J111" s="594"/>
      <c r="K111" s="594"/>
      <c r="L111" s="594"/>
      <c r="M111" s="594"/>
      <c r="N111" s="594"/>
      <c r="O111" s="594"/>
      <c r="P111" s="594"/>
      <c r="Q111" s="594"/>
      <c r="R111" s="594"/>
      <c r="S111" s="594"/>
      <c r="T111" s="594"/>
      <c r="U111" s="594"/>
      <c r="V111" s="594"/>
      <c r="W111" s="594"/>
      <c r="X111" s="594"/>
      <c r="Y111" s="594"/>
      <c r="Z111" s="595"/>
      <c r="AA111" s="596">
        <v>300</v>
      </c>
      <c r="AB111" s="597"/>
      <c r="AC111" s="597"/>
      <c r="AD111" s="597"/>
      <c r="AE111" s="597"/>
      <c r="AF111" s="598"/>
      <c r="AG111" s="572"/>
      <c r="AH111" s="573"/>
      <c r="AI111" s="573"/>
      <c r="AJ111" s="573"/>
      <c r="AK111" s="573"/>
      <c r="AL111" s="574"/>
      <c r="AM111" s="572"/>
      <c r="AN111" s="573"/>
      <c r="AO111" s="573"/>
      <c r="AP111" s="573"/>
      <c r="AQ111" s="573"/>
      <c r="AR111" s="573"/>
      <c r="AS111" s="573"/>
      <c r="AT111" s="574"/>
      <c r="AU111" s="590">
        <f>AA111/AG104</f>
        <v>300</v>
      </c>
      <c r="AV111" s="591"/>
      <c r="AW111" s="591"/>
      <c r="AX111" s="591"/>
      <c r="AY111" s="591"/>
      <c r="AZ111" s="591"/>
      <c r="BA111" s="591"/>
      <c r="BB111" s="592"/>
    </row>
    <row r="112" spans="1:54" ht="15" customHeight="1" x14ac:dyDescent="0.2">
      <c r="A112" s="593" t="s">
        <v>90</v>
      </c>
      <c r="B112" s="594"/>
      <c r="C112" s="594"/>
      <c r="D112" s="594"/>
      <c r="E112" s="594"/>
      <c r="F112" s="594"/>
      <c r="G112" s="594"/>
      <c r="H112" s="594"/>
      <c r="I112" s="594"/>
      <c r="J112" s="594"/>
      <c r="K112" s="594"/>
      <c r="L112" s="594"/>
      <c r="M112" s="594"/>
      <c r="N112" s="594"/>
      <c r="O112" s="594"/>
      <c r="P112" s="594"/>
      <c r="Q112" s="594"/>
      <c r="R112" s="594"/>
      <c r="S112" s="594"/>
      <c r="T112" s="594"/>
      <c r="U112" s="594"/>
      <c r="V112" s="594"/>
      <c r="W112" s="594"/>
      <c r="X112" s="594"/>
      <c r="Y112" s="594"/>
      <c r="Z112" s="595"/>
      <c r="AA112" s="596">
        <v>300</v>
      </c>
      <c r="AB112" s="597"/>
      <c r="AC112" s="597"/>
      <c r="AD112" s="597"/>
      <c r="AE112" s="597"/>
      <c r="AF112" s="598"/>
      <c r="AG112" s="572"/>
      <c r="AH112" s="573"/>
      <c r="AI112" s="573"/>
      <c r="AJ112" s="573"/>
      <c r="AK112" s="573"/>
      <c r="AL112" s="574"/>
      <c r="AM112" s="572"/>
      <c r="AN112" s="573"/>
      <c r="AO112" s="573"/>
      <c r="AP112" s="573"/>
      <c r="AQ112" s="573"/>
      <c r="AR112" s="573"/>
      <c r="AS112" s="573"/>
      <c r="AT112" s="574"/>
      <c r="AU112" s="590">
        <f>AA112/AG104</f>
        <v>300</v>
      </c>
      <c r="AV112" s="591"/>
      <c r="AW112" s="591"/>
      <c r="AX112" s="591"/>
      <c r="AY112" s="591"/>
      <c r="AZ112" s="591"/>
      <c r="BA112" s="591"/>
      <c r="BB112" s="592"/>
    </row>
    <row r="113" spans="1:54" ht="17.25" hidden="1" customHeight="1" x14ac:dyDescent="0.2">
      <c r="A113" s="593" t="s">
        <v>122</v>
      </c>
      <c r="B113" s="594"/>
      <c r="C113" s="594"/>
      <c r="D113" s="594"/>
      <c r="E113" s="594"/>
      <c r="F113" s="594"/>
      <c r="G113" s="594"/>
      <c r="H113" s="594"/>
      <c r="I113" s="594"/>
      <c r="J113" s="594"/>
      <c r="K113" s="594"/>
      <c r="L113" s="594"/>
      <c r="M113" s="594"/>
      <c r="N113" s="594"/>
      <c r="O113" s="594"/>
      <c r="P113" s="594"/>
      <c r="Q113" s="594"/>
      <c r="R113" s="594"/>
      <c r="S113" s="594"/>
      <c r="T113" s="594"/>
      <c r="U113" s="594"/>
      <c r="V113" s="594"/>
      <c r="W113" s="594"/>
      <c r="X113" s="594"/>
      <c r="Y113" s="594"/>
      <c r="Z113" s="595"/>
      <c r="AA113" s="596"/>
      <c r="AB113" s="597"/>
      <c r="AC113" s="597"/>
      <c r="AD113" s="597"/>
      <c r="AE113" s="597"/>
      <c r="AF113" s="598"/>
      <c r="AG113" s="572"/>
      <c r="AH113" s="573"/>
      <c r="AI113" s="573"/>
      <c r="AJ113" s="573"/>
      <c r="AK113" s="573"/>
      <c r="AL113" s="574"/>
      <c r="AM113" s="572"/>
      <c r="AN113" s="573"/>
      <c r="AO113" s="573"/>
      <c r="AP113" s="573"/>
      <c r="AQ113" s="573"/>
      <c r="AR113" s="573"/>
      <c r="AS113" s="573"/>
      <c r="AT113" s="574"/>
      <c r="AU113" s="590">
        <f>AA113/AG104</f>
        <v>0</v>
      </c>
      <c r="AV113" s="591"/>
      <c r="AW113" s="591"/>
      <c r="AX113" s="591"/>
      <c r="AY113" s="591"/>
      <c r="AZ113" s="591"/>
      <c r="BA113" s="591"/>
      <c r="BB113" s="592"/>
    </row>
    <row r="114" spans="1:54" ht="17.25" customHeight="1" x14ac:dyDescent="0.2">
      <c r="A114" s="593" t="s">
        <v>318</v>
      </c>
      <c r="B114" s="594"/>
      <c r="C114" s="594"/>
      <c r="D114" s="594"/>
      <c r="E114" s="594"/>
      <c r="F114" s="594"/>
      <c r="G114" s="594"/>
      <c r="H114" s="594"/>
      <c r="I114" s="594"/>
      <c r="J114" s="594"/>
      <c r="K114" s="594"/>
      <c r="L114" s="594"/>
      <c r="M114" s="594"/>
      <c r="N114" s="594"/>
      <c r="O114" s="594"/>
      <c r="P114" s="594"/>
      <c r="Q114" s="594"/>
      <c r="R114" s="594"/>
      <c r="S114" s="594"/>
      <c r="T114" s="594"/>
      <c r="U114" s="594"/>
      <c r="V114" s="594"/>
      <c r="W114" s="594"/>
      <c r="X114" s="594"/>
      <c r="Y114" s="594"/>
      <c r="Z114" s="595"/>
      <c r="AA114" s="596">
        <v>1076.1400000000001</v>
      </c>
      <c r="AB114" s="597"/>
      <c r="AC114" s="597"/>
      <c r="AD114" s="597"/>
      <c r="AE114" s="597"/>
      <c r="AF114" s="598"/>
      <c r="AG114" s="572"/>
      <c r="AH114" s="573"/>
      <c r="AI114" s="573"/>
      <c r="AJ114" s="573"/>
      <c r="AK114" s="573"/>
      <c r="AL114" s="574"/>
      <c r="AM114" s="572"/>
      <c r="AN114" s="573"/>
      <c r="AO114" s="573"/>
      <c r="AP114" s="573"/>
      <c r="AQ114" s="573"/>
      <c r="AR114" s="573"/>
      <c r="AS114" s="573"/>
      <c r="AT114" s="574"/>
      <c r="AU114" s="590">
        <f>AA114/AG104</f>
        <v>1076.1400000000001</v>
      </c>
      <c r="AV114" s="591"/>
      <c r="AW114" s="591"/>
      <c r="AX114" s="591"/>
      <c r="AY114" s="591"/>
      <c r="AZ114" s="591"/>
      <c r="BA114" s="591"/>
      <c r="BB114" s="592"/>
    </row>
    <row r="115" spans="1:54" s="161" customFormat="1" ht="19.5" customHeight="1" x14ac:dyDescent="0.2">
      <c r="A115" s="593" t="s">
        <v>100</v>
      </c>
      <c r="B115" s="594"/>
      <c r="C115" s="594"/>
      <c r="D115" s="594"/>
      <c r="E115" s="594"/>
      <c r="F115" s="594"/>
      <c r="G115" s="594"/>
      <c r="H115" s="594"/>
      <c r="I115" s="594"/>
      <c r="J115" s="594"/>
      <c r="K115" s="594"/>
      <c r="L115" s="594"/>
      <c r="M115" s="594"/>
      <c r="N115" s="594"/>
      <c r="O115" s="594"/>
      <c r="P115" s="594"/>
      <c r="Q115" s="594"/>
      <c r="R115" s="594"/>
      <c r="S115" s="594"/>
      <c r="T115" s="594"/>
      <c r="U115" s="594"/>
      <c r="V115" s="594"/>
      <c r="W115" s="594"/>
      <c r="X115" s="594"/>
      <c r="Y115" s="594"/>
      <c r="Z115" s="595"/>
      <c r="AA115" s="596">
        <v>500</v>
      </c>
      <c r="AB115" s="597"/>
      <c r="AC115" s="597"/>
      <c r="AD115" s="597"/>
      <c r="AE115" s="597"/>
      <c r="AF115" s="598"/>
      <c r="AG115" s="572"/>
      <c r="AH115" s="573"/>
      <c r="AI115" s="573"/>
      <c r="AJ115" s="573"/>
      <c r="AK115" s="573"/>
      <c r="AL115" s="574"/>
      <c r="AM115" s="572"/>
      <c r="AN115" s="573"/>
      <c r="AO115" s="573"/>
      <c r="AP115" s="573"/>
      <c r="AQ115" s="573"/>
      <c r="AR115" s="573"/>
      <c r="AS115" s="573"/>
      <c r="AT115" s="574"/>
      <c r="AU115" s="590">
        <f>AA115/AG104</f>
        <v>500</v>
      </c>
      <c r="AV115" s="591"/>
      <c r="AW115" s="591"/>
      <c r="AX115" s="591"/>
      <c r="AY115" s="591"/>
      <c r="AZ115" s="591"/>
      <c r="BA115" s="591"/>
      <c r="BB115" s="592"/>
    </row>
    <row r="116" spans="1:54" ht="1.5" hidden="1" customHeight="1" thickBot="1" x14ac:dyDescent="0.25">
      <c r="A116" s="593"/>
      <c r="B116" s="594"/>
      <c r="C116" s="594"/>
      <c r="D116" s="594"/>
      <c r="E116" s="594"/>
      <c r="F116" s="594"/>
      <c r="G116" s="594"/>
      <c r="H116" s="594"/>
      <c r="I116" s="594"/>
      <c r="J116" s="594"/>
      <c r="K116" s="594"/>
      <c r="L116" s="594"/>
      <c r="M116" s="594"/>
      <c r="N116" s="594"/>
      <c r="O116" s="594"/>
      <c r="P116" s="594"/>
      <c r="Q116" s="594"/>
      <c r="R116" s="594"/>
      <c r="S116" s="594"/>
      <c r="T116" s="594"/>
      <c r="U116" s="594"/>
      <c r="V116" s="594"/>
      <c r="W116" s="594"/>
      <c r="X116" s="594"/>
      <c r="Y116" s="594"/>
      <c r="Z116" s="595"/>
      <c r="AA116" s="596"/>
      <c r="AB116" s="597"/>
      <c r="AC116" s="597"/>
      <c r="AD116" s="597"/>
      <c r="AE116" s="597"/>
      <c r="AF116" s="598"/>
      <c r="AG116" s="572"/>
      <c r="AH116" s="573"/>
      <c r="AI116" s="573"/>
      <c r="AJ116" s="573"/>
      <c r="AK116" s="573"/>
      <c r="AL116" s="574"/>
      <c r="AM116" s="572"/>
      <c r="AN116" s="573"/>
      <c r="AO116" s="573"/>
      <c r="AP116" s="573"/>
      <c r="AQ116" s="573"/>
      <c r="AR116" s="573"/>
      <c r="AS116" s="573"/>
      <c r="AT116" s="574"/>
      <c r="AU116" s="590">
        <f>AA116/AG104</f>
        <v>0</v>
      </c>
      <c r="AV116" s="591"/>
      <c r="AW116" s="591"/>
      <c r="AX116" s="591"/>
      <c r="AY116" s="591"/>
      <c r="AZ116" s="591"/>
      <c r="BA116" s="591"/>
      <c r="BB116" s="592"/>
    </row>
    <row r="117" spans="1:54" s="159" customFormat="1" ht="17.25" hidden="1" customHeight="1" thickBot="1" x14ac:dyDescent="0.25">
      <c r="A117" s="593"/>
      <c r="B117" s="594"/>
      <c r="C117" s="594"/>
      <c r="D117" s="594"/>
      <c r="E117" s="594"/>
      <c r="F117" s="594"/>
      <c r="G117" s="594"/>
      <c r="H117" s="594"/>
      <c r="I117" s="594"/>
      <c r="J117" s="594"/>
      <c r="K117" s="594"/>
      <c r="L117" s="594"/>
      <c r="M117" s="594"/>
      <c r="N117" s="594"/>
      <c r="O117" s="594"/>
      <c r="P117" s="594"/>
      <c r="Q117" s="594"/>
      <c r="R117" s="594"/>
      <c r="S117" s="594"/>
      <c r="T117" s="594"/>
      <c r="U117" s="594"/>
      <c r="V117" s="594"/>
      <c r="W117" s="594"/>
      <c r="X117" s="594"/>
      <c r="Y117" s="594"/>
      <c r="Z117" s="595"/>
      <c r="AA117" s="596"/>
      <c r="AB117" s="597"/>
      <c r="AC117" s="597"/>
      <c r="AD117" s="597"/>
      <c r="AE117" s="597"/>
      <c r="AF117" s="598"/>
      <c r="AG117" s="572"/>
      <c r="AH117" s="573"/>
      <c r="AI117" s="573"/>
      <c r="AJ117" s="573"/>
      <c r="AK117" s="573"/>
      <c r="AL117" s="574"/>
      <c r="AM117" s="572"/>
      <c r="AN117" s="573"/>
      <c r="AO117" s="573"/>
      <c r="AP117" s="573"/>
      <c r="AQ117" s="573"/>
      <c r="AR117" s="573"/>
      <c r="AS117" s="573"/>
      <c r="AT117" s="574"/>
      <c r="AU117" s="590">
        <f>AA117/AG104</f>
        <v>0</v>
      </c>
      <c r="AV117" s="591"/>
      <c r="AW117" s="591"/>
      <c r="AX117" s="591"/>
      <c r="AY117" s="591"/>
      <c r="AZ117" s="591"/>
      <c r="BA117" s="591"/>
      <c r="BB117" s="592"/>
    </row>
    <row r="118" spans="1:54" ht="20.25" hidden="1" customHeight="1" thickBot="1" x14ac:dyDescent="0.25">
      <c r="A118" s="593"/>
      <c r="B118" s="594"/>
      <c r="C118" s="594"/>
      <c r="D118" s="594"/>
      <c r="E118" s="594"/>
      <c r="F118" s="594"/>
      <c r="G118" s="594"/>
      <c r="H118" s="594"/>
      <c r="I118" s="594"/>
      <c r="J118" s="594"/>
      <c r="K118" s="594"/>
      <c r="L118" s="594"/>
      <c r="M118" s="594"/>
      <c r="N118" s="594"/>
      <c r="O118" s="594"/>
      <c r="P118" s="594"/>
      <c r="Q118" s="594"/>
      <c r="R118" s="594"/>
      <c r="S118" s="594"/>
      <c r="T118" s="594"/>
      <c r="U118" s="594"/>
      <c r="V118" s="594"/>
      <c r="W118" s="594"/>
      <c r="X118" s="594"/>
      <c r="Y118" s="594"/>
      <c r="Z118" s="595"/>
      <c r="AA118" s="596"/>
      <c r="AB118" s="597"/>
      <c r="AC118" s="597"/>
      <c r="AD118" s="597"/>
      <c r="AE118" s="597"/>
      <c r="AF118" s="598"/>
      <c r="AG118" s="572"/>
      <c r="AH118" s="573"/>
      <c r="AI118" s="573"/>
      <c r="AJ118" s="573"/>
      <c r="AK118" s="573"/>
      <c r="AL118" s="574"/>
      <c r="AM118" s="572"/>
      <c r="AN118" s="573"/>
      <c r="AO118" s="573"/>
      <c r="AP118" s="573"/>
      <c r="AQ118" s="573"/>
      <c r="AR118" s="573"/>
      <c r="AS118" s="573"/>
      <c r="AT118" s="574"/>
      <c r="AU118" s="590">
        <f>AA118/AG104</f>
        <v>0</v>
      </c>
      <c r="AV118" s="591"/>
      <c r="AW118" s="591"/>
      <c r="AX118" s="591"/>
      <c r="AY118" s="591"/>
      <c r="AZ118" s="591"/>
      <c r="BA118" s="591"/>
      <c r="BB118" s="592"/>
    </row>
    <row r="119" spans="1:54" ht="3.75" hidden="1" customHeight="1" thickBot="1" x14ac:dyDescent="0.25">
      <c r="A119" s="593"/>
      <c r="B119" s="594"/>
      <c r="C119" s="594"/>
      <c r="D119" s="594"/>
      <c r="E119" s="594"/>
      <c r="F119" s="594"/>
      <c r="G119" s="594"/>
      <c r="H119" s="594"/>
      <c r="I119" s="594"/>
      <c r="J119" s="594"/>
      <c r="K119" s="594"/>
      <c r="L119" s="594"/>
      <c r="M119" s="594"/>
      <c r="N119" s="594"/>
      <c r="O119" s="594"/>
      <c r="P119" s="594"/>
      <c r="Q119" s="594"/>
      <c r="R119" s="594"/>
      <c r="S119" s="594"/>
      <c r="T119" s="594"/>
      <c r="U119" s="594"/>
      <c r="V119" s="594"/>
      <c r="W119" s="594"/>
      <c r="X119" s="594"/>
      <c r="Y119" s="594"/>
      <c r="Z119" s="595"/>
      <c r="AA119" s="596"/>
      <c r="AB119" s="597"/>
      <c r="AC119" s="597"/>
      <c r="AD119" s="597"/>
      <c r="AE119" s="597"/>
      <c r="AF119" s="598"/>
      <c r="AG119" s="572"/>
      <c r="AH119" s="573"/>
      <c r="AI119" s="573"/>
      <c r="AJ119" s="573"/>
      <c r="AK119" s="573"/>
      <c r="AL119" s="574"/>
      <c r="AM119" s="572"/>
      <c r="AN119" s="573"/>
      <c r="AO119" s="573"/>
      <c r="AP119" s="573"/>
      <c r="AQ119" s="573"/>
      <c r="AR119" s="573"/>
      <c r="AS119" s="573"/>
      <c r="AT119" s="574"/>
      <c r="AU119" s="590">
        <f>AA119/AG104</f>
        <v>0</v>
      </c>
      <c r="AV119" s="591"/>
      <c r="AW119" s="591"/>
      <c r="AX119" s="591"/>
      <c r="AY119" s="591"/>
      <c r="AZ119" s="591"/>
      <c r="BA119" s="591"/>
      <c r="BB119" s="592"/>
    </row>
    <row r="120" spans="1:54" ht="18" hidden="1" customHeight="1" thickBot="1" x14ac:dyDescent="0.25">
      <c r="A120" s="593"/>
      <c r="B120" s="594"/>
      <c r="C120" s="594"/>
      <c r="D120" s="594"/>
      <c r="E120" s="594"/>
      <c r="F120" s="594"/>
      <c r="G120" s="594"/>
      <c r="H120" s="594"/>
      <c r="I120" s="594"/>
      <c r="J120" s="594"/>
      <c r="K120" s="594"/>
      <c r="L120" s="594"/>
      <c r="M120" s="594"/>
      <c r="N120" s="594"/>
      <c r="O120" s="594"/>
      <c r="P120" s="594"/>
      <c r="Q120" s="594"/>
      <c r="R120" s="594"/>
      <c r="S120" s="594"/>
      <c r="T120" s="594"/>
      <c r="U120" s="594"/>
      <c r="V120" s="594"/>
      <c r="W120" s="594"/>
      <c r="X120" s="594"/>
      <c r="Y120" s="594"/>
      <c r="Z120" s="595"/>
      <c r="AA120" s="596"/>
      <c r="AB120" s="597"/>
      <c r="AC120" s="597"/>
      <c r="AD120" s="597"/>
      <c r="AE120" s="597"/>
      <c r="AF120" s="598"/>
      <c r="AG120" s="572"/>
      <c r="AH120" s="573"/>
      <c r="AI120" s="573"/>
      <c r="AJ120" s="573"/>
      <c r="AK120" s="573"/>
      <c r="AL120" s="574"/>
      <c r="AM120" s="572"/>
      <c r="AN120" s="573"/>
      <c r="AO120" s="573"/>
      <c r="AP120" s="573"/>
      <c r="AQ120" s="573"/>
      <c r="AR120" s="573"/>
      <c r="AS120" s="573"/>
      <c r="AT120" s="574"/>
      <c r="AU120" s="590">
        <f>AA120/AG104</f>
        <v>0</v>
      </c>
      <c r="AV120" s="591"/>
      <c r="AW120" s="591"/>
      <c r="AX120" s="591"/>
      <c r="AY120" s="591"/>
      <c r="AZ120" s="591"/>
      <c r="BA120" s="591"/>
      <c r="BB120" s="592"/>
    </row>
    <row r="121" spans="1:54" ht="12.75" hidden="1" customHeight="1" thickBot="1" x14ac:dyDescent="0.25">
      <c r="A121" s="593"/>
      <c r="B121" s="594"/>
      <c r="C121" s="594"/>
      <c r="D121" s="594"/>
      <c r="E121" s="594"/>
      <c r="F121" s="594"/>
      <c r="G121" s="594"/>
      <c r="H121" s="594"/>
      <c r="I121" s="594"/>
      <c r="J121" s="594"/>
      <c r="K121" s="594"/>
      <c r="L121" s="594"/>
      <c r="M121" s="594"/>
      <c r="N121" s="594"/>
      <c r="O121" s="594"/>
      <c r="P121" s="594"/>
      <c r="Q121" s="594"/>
      <c r="R121" s="594"/>
      <c r="S121" s="594"/>
      <c r="T121" s="594"/>
      <c r="U121" s="594"/>
      <c r="V121" s="594"/>
      <c r="W121" s="594"/>
      <c r="X121" s="594"/>
      <c r="Y121" s="594"/>
      <c r="Z121" s="595"/>
      <c r="AA121" s="596"/>
      <c r="AB121" s="597"/>
      <c r="AC121" s="597"/>
      <c r="AD121" s="597"/>
      <c r="AE121" s="597"/>
      <c r="AF121" s="598"/>
      <c r="AG121" s="572"/>
      <c r="AH121" s="573"/>
      <c r="AI121" s="573"/>
      <c r="AJ121" s="573"/>
      <c r="AK121" s="573"/>
      <c r="AL121" s="574"/>
      <c r="AM121" s="572"/>
      <c r="AN121" s="573"/>
      <c r="AO121" s="573"/>
      <c r="AP121" s="573"/>
      <c r="AQ121" s="573"/>
      <c r="AR121" s="573"/>
      <c r="AS121" s="573"/>
      <c r="AT121" s="574"/>
      <c r="AU121" s="590">
        <f>AA121/AG104</f>
        <v>0</v>
      </c>
      <c r="AV121" s="591"/>
      <c r="AW121" s="591"/>
      <c r="AX121" s="591"/>
      <c r="AY121" s="591"/>
      <c r="AZ121" s="591"/>
      <c r="BA121" s="591"/>
      <c r="BB121" s="592"/>
    </row>
    <row r="122" spans="1:54" ht="12.75" hidden="1" customHeight="1" thickBot="1" x14ac:dyDescent="0.25">
      <c r="A122" s="593"/>
      <c r="B122" s="594"/>
      <c r="C122" s="594"/>
      <c r="D122" s="594"/>
      <c r="E122" s="594"/>
      <c r="F122" s="594"/>
      <c r="G122" s="594"/>
      <c r="H122" s="594"/>
      <c r="I122" s="594"/>
      <c r="J122" s="594"/>
      <c r="K122" s="594"/>
      <c r="L122" s="594"/>
      <c r="M122" s="594"/>
      <c r="N122" s="594"/>
      <c r="O122" s="594"/>
      <c r="P122" s="594"/>
      <c r="Q122" s="594"/>
      <c r="R122" s="594"/>
      <c r="S122" s="594"/>
      <c r="T122" s="594"/>
      <c r="U122" s="594"/>
      <c r="V122" s="594"/>
      <c r="W122" s="594"/>
      <c r="X122" s="594"/>
      <c r="Y122" s="594"/>
      <c r="Z122" s="595"/>
      <c r="AA122" s="596"/>
      <c r="AB122" s="597"/>
      <c r="AC122" s="597"/>
      <c r="AD122" s="597"/>
      <c r="AE122" s="597"/>
      <c r="AF122" s="598"/>
      <c r="AG122" s="572"/>
      <c r="AH122" s="573"/>
      <c r="AI122" s="573"/>
      <c r="AJ122" s="573"/>
      <c r="AK122" s="573"/>
      <c r="AL122" s="574"/>
      <c r="AM122" s="572"/>
      <c r="AN122" s="573"/>
      <c r="AO122" s="573"/>
      <c r="AP122" s="573"/>
      <c r="AQ122" s="573"/>
      <c r="AR122" s="573"/>
      <c r="AS122" s="573"/>
      <c r="AT122" s="574"/>
      <c r="AU122" s="590">
        <f>AA122/AG104</f>
        <v>0</v>
      </c>
      <c r="AV122" s="591"/>
      <c r="AW122" s="591"/>
      <c r="AX122" s="591"/>
      <c r="AY122" s="591"/>
      <c r="AZ122" s="591"/>
      <c r="BA122" s="591"/>
      <c r="BB122" s="592"/>
    </row>
    <row r="123" spans="1:54" ht="27.75" hidden="1" customHeight="1" thickBot="1" x14ac:dyDescent="0.25">
      <c r="A123" s="599"/>
      <c r="B123" s="600"/>
      <c r="C123" s="600"/>
      <c r="D123" s="600"/>
      <c r="E123" s="600"/>
      <c r="F123" s="600"/>
      <c r="G123" s="600"/>
      <c r="H123" s="600"/>
      <c r="I123" s="600"/>
      <c r="J123" s="600"/>
      <c r="K123" s="600"/>
      <c r="L123" s="600"/>
      <c r="M123" s="600"/>
      <c r="N123" s="600"/>
      <c r="O123" s="600"/>
      <c r="P123" s="600"/>
      <c r="Q123" s="600"/>
      <c r="R123" s="600"/>
      <c r="S123" s="600"/>
      <c r="T123" s="600"/>
      <c r="U123" s="600"/>
      <c r="V123" s="600"/>
      <c r="W123" s="600"/>
      <c r="X123" s="600"/>
      <c r="Y123" s="600"/>
      <c r="Z123" s="600"/>
      <c r="AA123" s="596">
        <v>8</v>
      </c>
      <c r="AB123" s="597"/>
      <c r="AC123" s="597"/>
      <c r="AD123" s="597"/>
      <c r="AE123" s="597"/>
      <c r="AF123" s="598"/>
      <c r="AG123" s="572"/>
      <c r="AH123" s="573"/>
      <c r="AI123" s="573"/>
      <c r="AJ123" s="573"/>
      <c r="AK123" s="573"/>
      <c r="AL123" s="574"/>
      <c r="AM123" s="572"/>
      <c r="AN123" s="573"/>
      <c r="AO123" s="573"/>
      <c r="AP123" s="573"/>
      <c r="AQ123" s="573"/>
      <c r="AR123" s="573"/>
      <c r="AS123" s="573"/>
      <c r="AT123" s="574"/>
      <c r="AU123" s="602">
        <f>AA123/AG104</f>
        <v>8</v>
      </c>
      <c r="AV123" s="602"/>
      <c r="AW123" s="602"/>
      <c r="AX123" s="602"/>
      <c r="AY123" s="602"/>
      <c r="AZ123" s="602"/>
      <c r="BA123" s="602"/>
      <c r="BB123" s="603"/>
    </row>
    <row r="124" spans="1:54" ht="15.75" customHeight="1" thickBot="1" x14ac:dyDescent="0.25">
      <c r="A124" s="1346" t="s">
        <v>517</v>
      </c>
      <c r="B124" s="798"/>
      <c r="C124" s="798"/>
      <c r="D124" s="798"/>
      <c r="E124" s="798"/>
      <c r="F124" s="798"/>
      <c r="G124" s="798"/>
      <c r="H124" s="798"/>
      <c r="I124" s="798"/>
      <c r="J124" s="798"/>
      <c r="K124" s="798"/>
      <c r="L124" s="798"/>
      <c r="M124" s="798"/>
      <c r="N124" s="798"/>
      <c r="O124" s="798"/>
      <c r="P124" s="798"/>
      <c r="Q124" s="798"/>
      <c r="R124" s="798"/>
      <c r="S124" s="798"/>
      <c r="T124" s="798"/>
      <c r="U124" s="798"/>
      <c r="V124" s="798"/>
      <c r="W124" s="798"/>
      <c r="X124" s="798"/>
      <c r="Y124" s="798"/>
      <c r="Z124" s="798"/>
      <c r="AA124" s="905">
        <v>100</v>
      </c>
      <c r="AB124" s="906"/>
      <c r="AC124" s="906"/>
      <c r="AD124" s="906"/>
      <c r="AE124" s="906"/>
      <c r="AF124" s="907"/>
      <c r="AG124" s="572"/>
      <c r="AH124" s="573"/>
      <c r="AI124" s="573"/>
      <c r="AJ124" s="573"/>
      <c r="AK124" s="573"/>
      <c r="AL124" s="574"/>
      <c r="AM124" s="572"/>
      <c r="AN124" s="573"/>
      <c r="AO124" s="573"/>
      <c r="AP124" s="573"/>
      <c r="AQ124" s="573"/>
      <c r="AR124" s="573"/>
      <c r="AS124" s="573"/>
      <c r="AT124" s="574"/>
      <c r="AU124" s="800">
        <f>AA124/AG104</f>
        <v>100</v>
      </c>
      <c r="AV124" s="800"/>
      <c r="AW124" s="800"/>
      <c r="AX124" s="800"/>
      <c r="AY124" s="800"/>
      <c r="AZ124" s="800"/>
      <c r="BA124" s="800"/>
      <c r="BB124" s="1347"/>
    </row>
    <row r="125" spans="1:54" ht="16.5" customHeight="1" thickBot="1" x14ac:dyDescent="0.25">
      <c r="A125" s="545" t="s">
        <v>51</v>
      </c>
      <c r="B125" s="546"/>
      <c r="C125" s="546"/>
      <c r="D125" s="546"/>
      <c r="E125" s="546"/>
      <c r="F125" s="546"/>
      <c r="G125" s="546"/>
      <c r="H125" s="546"/>
      <c r="I125" s="546"/>
      <c r="J125" s="546"/>
      <c r="K125" s="546"/>
      <c r="L125" s="546"/>
      <c r="M125" s="546"/>
      <c r="N125" s="546"/>
      <c r="O125" s="546"/>
      <c r="P125" s="546"/>
      <c r="Q125" s="546"/>
      <c r="R125" s="546"/>
      <c r="S125" s="546"/>
      <c r="T125" s="546"/>
      <c r="U125" s="546"/>
      <c r="V125" s="546"/>
      <c r="W125" s="546"/>
      <c r="X125" s="546"/>
      <c r="Y125" s="546"/>
      <c r="Z125" s="547"/>
      <c r="AA125" s="582">
        <f>SUM(AA104:AF124)</f>
        <v>2284.1400000000003</v>
      </c>
      <c r="AB125" s="583"/>
      <c r="AC125" s="583"/>
      <c r="AD125" s="583"/>
      <c r="AE125" s="583"/>
      <c r="AF125" s="583"/>
      <c r="AG125" s="532">
        <f>AG104</f>
        <v>1</v>
      </c>
      <c r="AH125" s="533"/>
      <c r="AI125" s="533"/>
      <c r="AJ125" s="533"/>
      <c r="AK125" s="533"/>
      <c r="AL125" s="534"/>
      <c r="AM125" s="551" t="s">
        <v>17</v>
      </c>
      <c r="AN125" s="552"/>
      <c r="AO125" s="552"/>
      <c r="AP125" s="552"/>
      <c r="AQ125" s="552"/>
      <c r="AR125" s="552"/>
      <c r="AS125" s="552"/>
      <c r="AT125" s="584"/>
      <c r="AU125" s="555">
        <f>SUM(AU104:BB124)</f>
        <v>2284.1400000000003</v>
      </c>
      <c r="AV125" s="555"/>
      <c r="AW125" s="555"/>
      <c r="AX125" s="555"/>
      <c r="AY125" s="555"/>
      <c r="AZ125" s="555"/>
      <c r="BA125" s="555"/>
      <c r="BB125" s="556"/>
    </row>
    <row r="126" spans="1:54" ht="37.15" customHeight="1" x14ac:dyDescent="0.2"/>
    <row r="127" spans="1:54" s="161" customFormat="1" ht="15" customHeight="1" x14ac:dyDescent="0.2">
      <c r="A127" s="159" t="s">
        <v>59</v>
      </c>
      <c r="B127" s="159"/>
      <c r="C127" s="159" t="s">
        <v>60</v>
      </c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  <c r="AU127" s="159"/>
      <c r="AV127" s="159"/>
      <c r="AW127" s="159"/>
      <c r="AX127" s="160"/>
      <c r="AY127" s="160"/>
      <c r="AZ127" s="160"/>
      <c r="BA127" s="160"/>
      <c r="BB127" s="160"/>
    </row>
    <row r="128" spans="1:54" ht="12" customHeight="1" thickBot="1" x14ac:dyDescent="0.25"/>
    <row r="129" spans="1:54" s="159" customFormat="1" ht="12" customHeight="1" x14ac:dyDescent="0.2">
      <c r="A129" s="585" t="s">
        <v>54</v>
      </c>
      <c r="B129" s="586"/>
      <c r="C129" s="586"/>
      <c r="D129" s="586"/>
      <c r="E129" s="586"/>
      <c r="F129" s="586"/>
      <c r="G129" s="586"/>
      <c r="H129" s="586"/>
      <c r="I129" s="586"/>
      <c r="J129" s="586"/>
      <c r="K129" s="586"/>
      <c r="L129" s="586"/>
      <c r="M129" s="586"/>
      <c r="N129" s="586"/>
      <c r="O129" s="586"/>
      <c r="P129" s="586"/>
      <c r="Q129" s="586"/>
      <c r="R129" s="586"/>
      <c r="S129" s="586"/>
      <c r="T129" s="586"/>
      <c r="U129" s="586"/>
      <c r="V129" s="586"/>
      <c r="W129" s="586"/>
      <c r="X129" s="586"/>
      <c r="Y129" s="586"/>
      <c r="Z129" s="587"/>
      <c r="AA129" s="536" t="s">
        <v>55</v>
      </c>
      <c r="AB129" s="537"/>
      <c r="AC129" s="537"/>
      <c r="AD129" s="537"/>
      <c r="AE129" s="537"/>
      <c r="AF129" s="538"/>
      <c r="AG129" s="536" t="s">
        <v>56</v>
      </c>
      <c r="AH129" s="537"/>
      <c r="AI129" s="537"/>
      <c r="AJ129" s="537"/>
      <c r="AK129" s="537"/>
      <c r="AL129" s="538"/>
      <c r="AM129" s="588" t="s">
        <v>57</v>
      </c>
      <c r="AN129" s="586"/>
      <c r="AO129" s="586"/>
      <c r="AP129" s="586"/>
      <c r="AQ129" s="586"/>
      <c r="AR129" s="586"/>
      <c r="AS129" s="586"/>
      <c r="AT129" s="587"/>
      <c r="AU129" s="588" t="s">
        <v>43</v>
      </c>
      <c r="AV129" s="586"/>
      <c r="AW129" s="586"/>
      <c r="AX129" s="586"/>
      <c r="AY129" s="586"/>
      <c r="AZ129" s="586"/>
      <c r="BA129" s="586"/>
      <c r="BB129" s="589"/>
    </row>
    <row r="130" spans="1:54" ht="11.25" customHeight="1" thickBot="1" x14ac:dyDescent="0.25">
      <c r="A130" s="564">
        <v>1</v>
      </c>
      <c r="B130" s="475"/>
      <c r="C130" s="475"/>
      <c r="D130" s="475"/>
      <c r="E130" s="475"/>
      <c r="F130" s="475"/>
      <c r="G130" s="475"/>
      <c r="H130" s="475"/>
      <c r="I130" s="475"/>
      <c r="J130" s="475"/>
      <c r="K130" s="475"/>
      <c r="L130" s="475"/>
      <c r="M130" s="475"/>
      <c r="N130" s="475"/>
      <c r="O130" s="475"/>
      <c r="P130" s="475"/>
      <c r="Q130" s="475"/>
      <c r="R130" s="475"/>
      <c r="S130" s="475"/>
      <c r="T130" s="475"/>
      <c r="U130" s="475"/>
      <c r="V130" s="475"/>
      <c r="W130" s="475"/>
      <c r="X130" s="475"/>
      <c r="Y130" s="475"/>
      <c r="Z130" s="476"/>
      <c r="AA130" s="474">
        <v>2</v>
      </c>
      <c r="AB130" s="475"/>
      <c r="AC130" s="475"/>
      <c r="AD130" s="475"/>
      <c r="AE130" s="475"/>
      <c r="AF130" s="476"/>
      <c r="AG130" s="474">
        <v>3</v>
      </c>
      <c r="AH130" s="475"/>
      <c r="AI130" s="475"/>
      <c r="AJ130" s="475"/>
      <c r="AK130" s="475"/>
      <c r="AL130" s="476"/>
      <c r="AM130" s="474">
        <v>4</v>
      </c>
      <c r="AN130" s="475"/>
      <c r="AO130" s="475"/>
      <c r="AP130" s="475"/>
      <c r="AQ130" s="475"/>
      <c r="AR130" s="475"/>
      <c r="AS130" s="475"/>
      <c r="AT130" s="476"/>
      <c r="AU130" s="474">
        <v>5</v>
      </c>
      <c r="AV130" s="475"/>
      <c r="AW130" s="475"/>
      <c r="AX130" s="475"/>
      <c r="AY130" s="475"/>
      <c r="AZ130" s="475"/>
      <c r="BA130" s="475"/>
      <c r="BB130" s="565"/>
    </row>
    <row r="131" spans="1:54" ht="31.5" hidden="1" customHeight="1" x14ac:dyDescent="0.2">
      <c r="A131" s="566"/>
      <c r="B131" s="567"/>
      <c r="C131" s="567"/>
      <c r="D131" s="567"/>
      <c r="E131" s="567"/>
      <c r="F131" s="567"/>
      <c r="G131" s="567"/>
      <c r="H131" s="567"/>
      <c r="I131" s="567"/>
      <c r="J131" s="567"/>
      <c r="K131" s="567"/>
      <c r="L131" s="567"/>
      <c r="M131" s="567"/>
      <c r="N131" s="567"/>
      <c r="O131" s="567"/>
      <c r="P131" s="567"/>
      <c r="Q131" s="567"/>
      <c r="R131" s="567"/>
      <c r="S131" s="567"/>
      <c r="T131" s="567"/>
      <c r="U131" s="567"/>
      <c r="V131" s="567"/>
      <c r="W131" s="567"/>
      <c r="X131" s="567"/>
      <c r="Y131" s="567"/>
      <c r="Z131" s="568"/>
      <c r="AA131" s="569">
        <v>0</v>
      </c>
      <c r="AB131" s="570"/>
      <c r="AC131" s="570"/>
      <c r="AD131" s="570"/>
      <c r="AE131" s="570"/>
      <c r="AF131" s="571"/>
      <c r="AG131" s="569">
        <f>U12</f>
        <v>1</v>
      </c>
      <c r="AH131" s="570"/>
      <c r="AI131" s="570"/>
      <c r="AJ131" s="570"/>
      <c r="AK131" s="570"/>
      <c r="AL131" s="571"/>
      <c r="AM131" s="569" t="s">
        <v>61</v>
      </c>
      <c r="AN131" s="570"/>
      <c r="AO131" s="570"/>
      <c r="AP131" s="570"/>
      <c r="AQ131" s="570"/>
      <c r="AR131" s="570"/>
      <c r="AS131" s="570"/>
      <c r="AT131" s="571"/>
      <c r="AU131" s="558">
        <f>AA131/AG131</f>
        <v>0</v>
      </c>
      <c r="AV131" s="559"/>
      <c r="AW131" s="559"/>
      <c r="AX131" s="559"/>
      <c r="AY131" s="559"/>
      <c r="AZ131" s="559"/>
      <c r="BA131" s="559"/>
      <c r="BB131" s="560"/>
    </row>
    <row r="132" spans="1:54" ht="12.75" hidden="1" customHeight="1" x14ac:dyDescent="0.2">
      <c r="A132" s="561"/>
      <c r="B132" s="562"/>
      <c r="C132" s="562"/>
      <c r="D132" s="562"/>
      <c r="E132" s="562"/>
      <c r="F132" s="562"/>
      <c r="G132" s="562"/>
      <c r="H132" s="562"/>
      <c r="I132" s="562"/>
      <c r="J132" s="562"/>
      <c r="K132" s="562"/>
      <c r="L132" s="562"/>
      <c r="M132" s="562"/>
      <c r="N132" s="562"/>
      <c r="O132" s="562"/>
      <c r="P132" s="562"/>
      <c r="Q132" s="562"/>
      <c r="R132" s="562"/>
      <c r="S132" s="562"/>
      <c r="T132" s="562"/>
      <c r="U132" s="562"/>
      <c r="V132" s="562"/>
      <c r="W132" s="562"/>
      <c r="X132" s="562"/>
      <c r="Y132" s="562"/>
      <c r="Z132" s="563"/>
      <c r="AA132" s="518"/>
      <c r="AB132" s="518"/>
      <c r="AC132" s="518"/>
      <c r="AD132" s="518"/>
      <c r="AE132" s="518"/>
      <c r="AF132" s="518"/>
      <c r="AG132" s="572"/>
      <c r="AH132" s="573"/>
      <c r="AI132" s="573"/>
      <c r="AJ132" s="573"/>
      <c r="AK132" s="573"/>
      <c r="AL132" s="574"/>
      <c r="AM132" s="572"/>
      <c r="AN132" s="573"/>
      <c r="AO132" s="573"/>
      <c r="AP132" s="573"/>
      <c r="AQ132" s="573"/>
      <c r="AR132" s="573"/>
      <c r="AS132" s="573"/>
      <c r="AT132" s="574"/>
      <c r="AU132" s="558">
        <f>AA132/AG131</f>
        <v>0</v>
      </c>
      <c r="AV132" s="559"/>
      <c r="AW132" s="559"/>
      <c r="AX132" s="559"/>
      <c r="AY132" s="559"/>
      <c r="AZ132" s="559"/>
      <c r="BA132" s="559"/>
      <c r="BB132" s="560"/>
    </row>
    <row r="133" spans="1:54" ht="21" customHeight="1" x14ac:dyDescent="0.2">
      <c r="A133" s="449"/>
      <c r="B133" s="450"/>
      <c r="C133" s="450"/>
      <c r="D133" s="450"/>
      <c r="E133" s="450"/>
      <c r="F133" s="450"/>
      <c r="G133" s="450"/>
      <c r="H133" s="450"/>
      <c r="I133" s="450"/>
      <c r="J133" s="450"/>
      <c r="K133" s="450"/>
      <c r="L133" s="450"/>
      <c r="M133" s="450"/>
      <c r="N133" s="450"/>
      <c r="O133" s="450"/>
      <c r="P133" s="450"/>
      <c r="Q133" s="450"/>
      <c r="R133" s="450"/>
      <c r="S133" s="450"/>
      <c r="T133" s="450"/>
      <c r="U133" s="450"/>
      <c r="V133" s="450"/>
      <c r="W133" s="450"/>
      <c r="X133" s="450"/>
      <c r="Y133" s="450"/>
      <c r="Z133" s="451"/>
      <c r="AA133" s="557"/>
      <c r="AB133" s="557"/>
      <c r="AC133" s="557"/>
      <c r="AD133" s="557"/>
      <c r="AE133" s="557"/>
      <c r="AF133" s="557"/>
      <c r="AG133" s="572"/>
      <c r="AH133" s="573"/>
      <c r="AI133" s="573"/>
      <c r="AJ133" s="573"/>
      <c r="AK133" s="573"/>
      <c r="AL133" s="574"/>
      <c r="AM133" s="572"/>
      <c r="AN133" s="573"/>
      <c r="AO133" s="573"/>
      <c r="AP133" s="573"/>
      <c r="AQ133" s="573"/>
      <c r="AR133" s="573"/>
      <c r="AS133" s="573"/>
      <c r="AT133" s="574"/>
      <c r="AU133" s="558">
        <f>AA133/AG131</f>
        <v>0</v>
      </c>
      <c r="AV133" s="559"/>
      <c r="AW133" s="559"/>
      <c r="AX133" s="559"/>
      <c r="AY133" s="559"/>
      <c r="AZ133" s="559"/>
      <c r="BA133" s="559"/>
      <c r="BB133" s="560"/>
    </row>
    <row r="134" spans="1:54" ht="21" customHeight="1" x14ac:dyDescent="0.2">
      <c r="A134" s="449"/>
      <c r="B134" s="450"/>
      <c r="C134" s="450"/>
      <c r="D134" s="450"/>
      <c r="E134" s="450"/>
      <c r="F134" s="450"/>
      <c r="G134" s="450"/>
      <c r="H134" s="450"/>
      <c r="I134" s="450"/>
      <c r="J134" s="450"/>
      <c r="K134" s="450"/>
      <c r="L134" s="450"/>
      <c r="M134" s="450"/>
      <c r="N134" s="450"/>
      <c r="O134" s="450"/>
      <c r="P134" s="450"/>
      <c r="Q134" s="450"/>
      <c r="R134" s="450"/>
      <c r="S134" s="450"/>
      <c r="T134" s="450"/>
      <c r="U134" s="450"/>
      <c r="V134" s="450"/>
      <c r="W134" s="450"/>
      <c r="X134" s="450"/>
      <c r="Y134" s="450"/>
      <c r="Z134" s="451"/>
      <c r="AA134" s="557"/>
      <c r="AB134" s="557"/>
      <c r="AC134" s="557"/>
      <c r="AD134" s="557"/>
      <c r="AE134" s="557"/>
      <c r="AF134" s="557"/>
      <c r="AG134" s="572"/>
      <c r="AH134" s="573"/>
      <c r="AI134" s="573"/>
      <c r="AJ134" s="573"/>
      <c r="AK134" s="573"/>
      <c r="AL134" s="574"/>
      <c r="AM134" s="572"/>
      <c r="AN134" s="573"/>
      <c r="AO134" s="573"/>
      <c r="AP134" s="573"/>
      <c r="AQ134" s="573"/>
      <c r="AR134" s="573"/>
      <c r="AS134" s="573"/>
      <c r="AT134" s="574"/>
      <c r="AU134" s="558">
        <f>AA134/AG131</f>
        <v>0</v>
      </c>
      <c r="AV134" s="559"/>
      <c r="AW134" s="559"/>
      <c r="AX134" s="559"/>
      <c r="AY134" s="559"/>
      <c r="AZ134" s="559"/>
      <c r="BA134" s="559"/>
      <c r="BB134" s="560"/>
    </row>
    <row r="135" spans="1:54" ht="6" hidden="1" customHeight="1" x14ac:dyDescent="0.2">
      <c r="A135" s="449"/>
      <c r="B135" s="450"/>
      <c r="C135" s="450"/>
      <c r="D135" s="450"/>
      <c r="E135" s="450"/>
      <c r="F135" s="450"/>
      <c r="G135" s="450"/>
      <c r="H135" s="450"/>
      <c r="I135" s="450"/>
      <c r="J135" s="450"/>
      <c r="K135" s="450"/>
      <c r="L135" s="450"/>
      <c r="M135" s="450"/>
      <c r="N135" s="450"/>
      <c r="O135" s="450"/>
      <c r="P135" s="450"/>
      <c r="Q135" s="450"/>
      <c r="R135" s="450"/>
      <c r="S135" s="450"/>
      <c r="T135" s="450"/>
      <c r="U135" s="450"/>
      <c r="V135" s="450"/>
      <c r="W135" s="450"/>
      <c r="X135" s="450"/>
      <c r="Y135" s="450"/>
      <c r="Z135" s="451"/>
      <c r="AA135" s="557"/>
      <c r="AB135" s="557"/>
      <c r="AC135" s="557"/>
      <c r="AD135" s="557"/>
      <c r="AE135" s="557"/>
      <c r="AF135" s="557"/>
      <c r="AG135" s="572"/>
      <c r="AH135" s="573"/>
      <c r="AI135" s="573"/>
      <c r="AJ135" s="573"/>
      <c r="AK135" s="573"/>
      <c r="AL135" s="574"/>
      <c r="AM135" s="572"/>
      <c r="AN135" s="573"/>
      <c r="AO135" s="573"/>
      <c r="AP135" s="573"/>
      <c r="AQ135" s="573"/>
      <c r="AR135" s="573"/>
      <c r="AS135" s="573"/>
      <c r="AT135" s="574"/>
      <c r="AU135" s="558">
        <f>AA135/AG131</f>
        <v>0</v>
      </c>
      <c r="AV135" s="559"/>
      <c r="AW135" s="559"/>
      <c r="AX135" s="559"/>
      <c r="AY135" s="559"/>
      <c r="AZ135" s="559"/>
      <c r="BA135" s="559"/>
      <c r="BB135" s="560"/>
    </row>
    <row r="136" spans="1:54" ht="0.75" customHeight="1" thickBot="1" x14ac:dyDescent="0.25">
      <c r="A136" s="575"/>
      <c r="B136" s="576"/>
      <c r="C136" s="576"/>
      <c r="D136" s="576"/>
      <c r="E136" s="576"/>
      <c r="F136" s="576"/>
      <c r="G136" s="576"/>
      <c r="H136" s="576"/>
      <c r="I136" s="576"/>
      <c r="J136" s="576"/>
      <c r="K136" s="576"/>
      <c r="L136" s="576"/>
      <c r="M136" s="576"/>
      <c r="N136" s="576"/>
      <c r="O136" s="576"/>
      <c r="P136" s="576"/>
      <c r="Q136" s="576"/>
      <c r="R136" s="576"/>
      <c r="S136" s="576"/>
      <c r="T136" s="576"/>
      <c r="U136" s="576"/>
      <c r="V136" s="576"/>
      <c r="W136" s="576"/>
      <c r="X136" s="576"/>
      <c r="Y136" s="576"/>
      <c r="Z136" s="577"/>
      <c r="AA136" s="578">
        <v>0</v>
      </c>
      <c r="AB136" s="578"/>
      <c r="AC136" s="578"/>
      <c r="AD136" s="578"/>
      <c r="AE136" s="578"/>
      <c r="AF136" s="578"/>
      <c r="AG136" s="572"/>
      <c r="AH136" s="573"/>
      <c r="AI136" s="573"/>
      <c r="AJ136" s="573"/>
      <c r="AK136" s="573"/>
      <c r="AL136" s="574"/>
      <c r="AM136" s="572"/>
      <c r="AN136" s="573"/>
      <c r="AO136" s="573"/>
      <c r="AP136" s="573"/>
      <c r="AQ136" s="573"/>
      <c r="AR136" s="573"/>
      <c r="AS136" s="573"/>
      <c r="AT136" s="574"/>
      <c r="AU136" s="579">
        <f>AA136/AG131</f>
        <v>0</v>
      </c>
      <c r="AV136" s="580"/>
      <c r="AW136" s="580"/>
      <c r="AX136" s="580"/>
      <c r="AY136" s="580"/>
      <c r="AZ136" s="580"/>
      <c r="BA136" s="580"/>
      <c r="BB136" s="581"/>
    </row>
    <row r="137" spans="1:54" ht="15" customHeight="1" thickBot="1" x14ac:dyDescent="0.25">
      <c r="A137" s="545" t="s">
        <v>51</v>
      </c>
      <c r="B137" s="546"/>
      <c r="C137" s="546"/>
      <c r="D137" s="546"/>
      <c r="E137" s="546"/>
      <c r="F137" s="546"/>
      <c r="G137" s="546"/>
      <c r="H137" s="546"/>
      <c r="I137" s="546"/>
      <c r="J137" s="546"/>
      <c r="K137" s="546"/>
      <c r="L137" s="546"/>
      <c r="M137" s="546"/>
      <c r="N137" s="546"/>
      <c r="O137" s="546"/>
      <c r="P137" s="546"/>
      <c r="Q137" s="546"/>
      <c r="R137" s="546"/>
      <c r="S137" s="546"/>
      <c r="T137" s="546"/>
      <c r="U137" s="546"/>
      <c r="V137" s="546"/>
      <c r="W137" s="546"/>
      <c r="X137" s="546"/>
      <c r="Y137" s="546"/>
      <c r="Z137" s="547"/>
      <c r="AA137" s="548">
        <f>SUM(AA131:AF134)</f>
        <v>0</v>
      </c>
      <c r="AB137" s="549"/>
      <c r="AC137" s="549"/>
      <c r="AD137" s="549"/>
      <c r="AE137" s="549"/>
      <c r="AF137" s="550"/>
      <c r="AG137" s="531">
        <f>AG131</f>
        <v>1</v>
      </c>
      <c r="AH137" s="533"/>
      <c r="AI137" s="533"/>
      <c r="AJ137" s="533"/>
      <c r="AK137" s="533"/>
      <c r="AL137" s="534"/>
      <c r="AM137" s="551" t="s">
        <v>17</v>
      </c>
      <c r="AN137" s="552"/>
      <c r="AO137" s="552"/>
      <c r="AP137" s="552"/>
      <c r="AQ137" s="552"/>
      <c r="AR137" s="552"/>
      <c r="AS137" s="552"/>
      <c r="AT137" s="553"/>
      <c r="AU137" s="554">
        <f>SUM(AU131:BB136)</f>
        <v>0</v>
      </c>
      <c r="AV137" s="555"/>
      <c r="AW137" s="555"/>
      <c r="AX137" s="555"/>
      <c r="AY137" s="555"/>
      <c r="AZ137" s="555"/>
      <c r="BA137" s="555"/>
      <c r="BB137" s="556"/>
    </row>
    <row r="138" spans="1:54" s="161" customFormat="1" ht="12" x14ac:dyDescent="0.2">
      <c r="A138" s="117"/>
      <c r="B138" s="117"/>
      <c r="C138" s="117"/>
      <c r="D138" s="117"/>
      <c r="E138" s="117"/>
      <c r="F138" s="117"/>
      <c r="G138" s="117"/>
      <c r="H138" s="117"/>
      <c r="I138" s="117"/>
      <c r="J138" s="117"/>
      <c r="K138" s="117"/>
      <c r="L138" s="117"/>
      <c r="M138" s="117"/>
      <c r="N138" s="117"/>
      <c r="O138" s="117"/>
      <c r="P138" s="117"/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</row>
    <row r="139" spans="1:54" ht="27" customHeight="1" x14ac:dyDescent="0.2">
      <c r="A139" s="159" t="s">
        <v>62</v>
      </c>
      <c r="B139" s="159"/>
      <c r="C139" s="159" t="s">
        <v>63</v>
      </c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  <c r="AU139" s="159"/>
      <c r="AV139" s="159"/>
      <c r="AW139" s="159"/>
      <c r="AX139" s="160"/>
      <c r="AY139" s="160"/>
      <c r="AZ139" s="160"/>
      <c r="BA139" s="160"/>
      <c r="BB139" s="160"/>
    </row>
    <row r="140" spans="1:54" ht="21.75" customHeight="1" thickBot="1" x14ac:dyDescent="0.25">
      <c r="AD140" s="224"/>
      <c r="AE140" s="224"/>
      <c r="AF140" s="224"/>
      <c r="AG140" s="224"/>
      <c r="AH140" s="224"/>
      <c r="AI140" s="224"/>
      <c r="AJ140" s="224"/>
      <c r="AK140" s="224"/>
      <c r="AL140" s="224"/>
      <c r="AM140" s="224"/>
      <c r="AN140" s="224"/>
      <c r="AO140" s="224"/>
      <c r="AP140" s="224"/>
    </row>
    <row r="141" spans="1:54" ht="63" customHeight="1" x14ac:dyDescent="0.2">
      <c r="A141" s="499" t="s">
        <v>54</v>
      </c>
      <c r="B141" s="500"/>
      <c r="C141" s="500"/>
      <c r="D141" s="500"/>
      <c r="E141" s="500"/>
      <c r="F141" s="500"/>
      <c r="G141" s="500"/>
      <c r="H141" s="535" t="s">
        <v>64</v>
      </c>
      <c r="I141" s="535"/>
      <c r="J141" s="535"/>
      <c r="K141" s="535"/>
      <c r="L141" s="535"/>
      <c r="M141" s="535" t="s">
        <v>123</v>
      </c>
      <c r="N141" s="535"/>
      <c r="O141" s="535"/>
      <c r="P141" s="535"/>
      <c r="Q141" s="535"/>
      <c r="R141" s="535" t="s">
        <v>82</v>
      </c>
      <c r="S141" s="535"/>
      <c r="T141" s="535"/>
      <c r="U141" s="535"/>
      <c r="V141" s="535" t="s">
        <v>65</v>
      </c>
      <c r="W141" s="535"/>
      <c r="X141" s="535"/>
      <c r="Y141" s="535"/>
      <c r="Z141" s="535" t="s">
        <v>66</v>
      </c>
      <c r="AA141" s="535"/>
      <c r="AB141" s="535"/>
      <c r="AC141" s="536"/>
      <c r="AD141" s="535" t="s">
        <v>67</v>
      </c>
      <c r="AE141" s="535"/>
      <c r="AF141" s="535"/>
      <c r="AG141" s="535"/>
      <c r="AH141" s="535"/>
      <c r="AI141" s="535"/>
      <c r="AJ141" s="535"/>
      <c r="AK141" s="535"/>
      <c r="AL141" s="535"/>
      <c r="AM141" s="535"/>
      <c r="AN141" s="535"/>
      <c r="AO141" s="535"/>
      <c r="AP141" s="1345"/>
      <c r="AQ141" s="675"/>
      <c r="AR141" s="675"/>
      <c r="AS141" s="675"/>
      <c r="AT141" s="675"/>
      <c r="AU141" s="675"/>
      <c r="AV141" s="675"/>
      <c r="AW141" s="675"/>
      <c r="AX141" s="675"/>
      <c r="AY141" s="675"/>
      <c r="AZ141" s="675"/>
      <c r="BA141" s="675"/>
      <c r="BB141" s="675"/>
    </row>
    <row r="142" spans="1:54" ht="71.25" customHeight="1" thickBot="1" x14ac:dyDescent="0.25">
      <c r="A142" s="888"/>
      <c r="B142" s="889"/>
      <c r="C142" s="889"/>
      <c r="D142" s="889"/>
      <c r="E142" s="889"/>
      <c r="F142" s="889"/>
      <c r="G142" s="889"/>
      <c r="H142" s="894" t="s">
        <v>69</v>
      </c>
      <c r="I142" s="894"/>
      <c r="J142" s="894"/>
      <c r="K142" s="894"/>
      <c r="L142" s="894"/>
      <c r="M142" s="894" t="s">
        <v>69</v>
      </c>
      <c r="N142" s="894"/>
      <c r="O142" s="894"/>
      <c r="P142" s="894"/>
      <c r="Q142" s="894"/>
      <c r="R142" s="894"/>
      <c r="S142" s="894"/>
      <c r="T142" s="894"/>
      <c r="U142" s="894"/>
      <c r="V142" s="894"/>
      <c r="W142" s="894"/>
      <c r="X142" s="894"/>
      <c r="Y142" s="894"/>
      <c r="Z142" s="894"/>
      <c r="AA142" s="894"/>
      <c r="AB142" s="894"/>
      <c r="AC142" s="895"/>
      <c r="AD142" s="894" t="s">
        <v>69</v>
      </c>
      <c r="AE142" s="894"/>
      <c r="AF142" s="894"/>
      <c r="AG142" s="894"/>
      <c r="AH142" s="894"/>
      <c r="AI142" s="894"/>
      <c r="AJ142" s="894" t="s">
        <v>69</v>
      </c>
      <c r="AK142" s="894"/>
      <c r="AL142" s="894"/>
      <c r="AM142" s="894"/>
      <c r="AN142" s="894"/>
      <c r="AO142" s="894"/>
      <c r="AP142" s="898"/>
      <c r="AQ142" s="675"/>
      <c r="AR142" s="675"/>
      <c r="AS142" s="675"/>
      <c r="AT142" s="675"/>
      <c r="AU142" s="675"/>
      <c r="AV142" s="675"/>
      <c r="AW142" s="675"/>
      <c r="AX142" s="675"/>
      <c r="AY142" s="675"/>
      <c r="AZ142" s="675"/>
      <c r="BA142" s="675"/>
      <c r="BB142" s="675"/>
    </row>
    <row r="143" spans="1:54" ht="22.5" customHeight="1" thickBot="1" x14ac:dyDescent="0.25">
      <c r="A143" s="530">
        <v>1</v>
      </c>
      <c r="B143" s="503"/>
      <c r="C143" s="503"/>
      <c r="D143" s="503"/>
      <c r="E143" s="503"/>
      <c r="F143" s="503"/>
      <c r="G143" s="503"/>
      <c r="H143" s="503">
        <v>2</v>
      </c>
      <c r="I143" s="503"/>
      <c r="J143" s="503"/>
      <c r="K143" s="503"/>
      <c r="L143" s="503"/>
      <c r="M143" s="503">
        <v>3</v>
      </c>
      <c r="N143" s="503"/>
      <c r="O143" s="503"/>
      <c r="P143" s="503"/>
      <c r="Q143" s="503"/>
      <c r="R143" s="503">
        <v>4</v>
      </c>
      <c r="S143" s="503"/>
      <c r="T143" s="503"/>
      <c r="U143" s="503"/>
      <c r="V143" s="503">
        <v>5</v>
      </c>
      <c r="W143" s="503"/>
      <c r="X143" s="503"/>
      <c r="Y143" s="503"/>
      <c r="Z143" s="503">
        <v>6</v>
      </c>
      <c r="AA143" s="503"/>
      <c r="AB143" s="503"/>
      <c r="AC143" s="531"/>
      <c r="AD143" s="503">
        <v>7</v>
      </c>
      <c r="AE143" s="503"/>
      <c r="AF143" s="503"/>
      <c r="AG143" s="503"/>
      <c r="AH143" s="503"/>
      <c r="AI143" s="503"/>
      <c r="AJ143" s="503">
        <v>8</v>
      </c>
      <c r="AK143" s="503"/>
      <c r="AL143" s="503"/>
      <c r="AM143" s="503"/>
      <c r="AN143" s="503"/>
      <c r="AO143" s="503"/>
      <c r="AP143" s="504"/>
      <c r="AQ143" s="1340"/>
      <c r="AR143" s="1340"/>
      <c r="AS143" s="1340"/>
      <c r="AT143" s="1340"/>
      <c r="AU143" s="1340"/>
      <c r="AV143" s="1340"/>
      <c r="AW143" s="1340"/>
      <c r="AX143" s="1340"/>
      <c r="AY143" s="1340"/>
      <c r="AZ143" s="1340"/>
      <c r="BA143" s="1340"/>
      <c r="BB143" s="1340"/>
    </row>
    <row r="144" spans="1:54" ht="18" customHeight="1" x14ac:dyDescent="0.2">
      <c r="A144" s="505" t="s">
        <v>70</v>
      </c>
      <c r="B144" s="506"/>
      <c r="C144" s="506"/>
      <c r="D144" s="506"/>
      <c r="E144" s="506"/>
      <c r="F144" s="506"/>
      <c r="G144" s="506"/>
      <c r="H144" s="507">
        <f>AO88</f>
        <v>513.42200000000003</v>
      </c>
      <c r="I144" s="507"/>
      <c r="J144" s="507"/>
      <c r="K144" s="507"/>
      <c r="L144" s="507"/>
      <c r="M144" s="507">
        <f>H144</f>
        <v>513.42200000000003</v>
      </c>
      <c r="N144" s="507"/>
      <c r="O144" s="507"/>
      <c r="P144" s="507"/>
      <c r="Q144" s="507"/>
      <c r="R144" s="508">
        <f>U12</f>
        <v>1</v>
      </c>
      <c r="S144" s="509"/>
      <c r="T144" s="509"/>
      <c r="U144" s="510"/>
      <c r="V144" s="517">
        <f>Y16</f>
        <v>1</v>
      </c>
      <c r="W144" s="517"/>
      <c r="X144" s="517"/>
      <c r="Y144" s="517"/>
      <c r="Z144" s="517">
        <f>U16</f>
        <v>1</v>
      </c>
      <c r="AA144" s="517"/>
      <c r="AB144" s="517"/>
      <c r="AC144" s="1341"/>
      <c r="AD144" s="1344" t="s">
        <v>71</v>
      </c>
      <c r="AE144" s="1344"/>
      <c r="AF144" s="1344"/>
      <c r="AG144" s="1344"/>
      <c r="AH144" s="1344"/>
      <c r="AI144" s="1344"/>
      <c r="AJ144" s="1338"/>
      <c r="AK144" s="1338"/>
      <c r="AL144" s="1338"/>
      <c r="AM144" s="1338"/>
      <c r="AN144" s="1338"/>
      <c r="AO144" s="1338"/>
      <c r="AP144" s="1339"/>
      <c r="AQ144" s="659"/>
      <c r="AR144" s="659"/>
      <c r="AS144" s="659"/>
      <c r="AT144" s="659"/>
      <c r="AU144" s="659"/>
      <c r="AV144" s="659"/>
      <c r="AW144" s="659"/>
      <c r="AX144" s="659"/>
      <c r="AY144" s="659"/>
      <c r="AZ144" s="659"/>
      <c r="BA144" s="659"/>
      <c r="BB144" s="659"/>
    </row>
    <row r="145" spans="1:85" ht="14.25" customHeight="1" x14ac:dyDescent="0.2">
      <c r="A145" s="527" t="s">
        <v>72</v>
      </c>
      <c r="B145" s="528"/>
      <c r="C145" s="528"/>
      <c r="D145" s="528"/>
      <c r="E145" s="528"/>
      <c r="F145" s="528"/>
      <c r="G145" s="528"/>
      <c r="H145" s="529">
        <f>AV98</f>
        <v>59.582015081027635</v>
      </c>
      <c r="I145" s="529"/>
      <c r="J145" s="529"/>
      <c r="K145" s="529"/>
      <c r="L145" s="529"/>
      <c r="M145" s="477">
        <f t="shared" ref="M145:M147" si="3">H145</f>
        <v>59.582015081027635</v>
      </c>
      <c r="N145" s="477"/>
      <c r="O145" s="477"/>
      <c r="P145" s="477"/>
      <c r="Q145" s="477"/>
      <c r="R145" s="511"/>
      <c r="S145" s="512"/>
      <c r="T145" s="512"/>
      <c r="U145" s="513"/>
      <c r="V145" s="518"/>
      <c r="W145" s="518"/>
      <c r="X145" s="518"/>
      <c r="Y145" s="518"/>
      <c r="Z145" s="518"/>
      <c r="AA145" s="518"/>
      <c r="AB145" s="518"/>
      <c r="AC145" s="1342"/>
      <c r="AD145" s="529" t="s">
        <v>71</v>
      </c>
      <c r="AE145" s="529"/>
      <c r="AF145" s="529"/>
      <c r="AG145" s="529"/>
      <c r="AH145" s="529"/>
      <c r="AI145" s="529"/>
      <c r="AJ145" s="529"/>
      <c r="AK145" s="529"/>
      <c r="AL145" s="529"/>
      <c r="AM145" s="529"/>
      <c r="AN145" s="529"/>
      <c r="AO145" s="529"/>
      <c r="AP145" s="665"/>
      <c r="AQ145" s="659"/>
      <c r="AR145" s="659"/>
      <c r="AS145" s="659"/>
      <c r="AT145" s="659"/>
      <c r="AU145" s="659"/>
      <c r="AV145" s="659"/>
      <c r="AW145" s="659"/>
      <c r="AX145" s="659"/>
      <c r="AY145" s="659"/>
      <c r="AZ145" s="659"/>
      <c r="BA145" s="659"/>
      <c r="BB145" s="659"/>
    </row>
    <row r="146" spans="1:85" ht="15" customHeight="1" x14ac:dyDescent="0.2">
      <c r="A146" s="527" t="s">
        <v>73</v>
      </c>
      <c r="B146" s="528"/>
      <c r="C146" s="528"/>
      <c r="D146" s="528"/>
      <c r="E146" s="528"/>
      <c r="F146" s="528"/>
      <c r="G146" s="528"/>
      <c r="H146" s="529">
        <f>AU125</f>
        <v>2284.1400000000003</v>
      </c>
      <c r="I146" s="529"/>
      <c r="J146" s="529"/>
      <c r="K146" s="529"/>
      <c r="L146" s="529"/>
      <c r="M146" s="477">
        <f>H146</f>
        <v>2284.1400000000003</v>
      </c>
      <c r="N146" s="477"/>
      <c r="O146" s="477"/>
      <c r="P146" s="477"/>
      <c r="Q146" s="477"/>
      <c r="R146" s="511"/>
      <c r="S146" s="512"/>
      <c r="T146" s="512"/>
      <c r="U146" s="513"/>
      <c r="V146" s="518"/>
      <c r="W146" s="518"/>
      <c r="X146" s="518"/>
      <c r="Y146" s="518"/>
      <c r="Z146" s="518"/>
      <c r="AA146" s="518"/>
      <c r="AB146" s="518"/>
      <c r="AC146" s="1342"/>
      <c r="AD146" s="529" t="s">
        <v>71</v>
      </c>
      <c r="AE146" s="529"/>
      <c r="AF146" s="529"/>
      <c r="AG146" s="529"/>
      <c r="AH146" s="529"/>
      <c r="AI146" s="529"/>
      <c r="AJ146" s="529"/>
      <c r="AK146" s="529"/>
      <c r="AL146" s="529"/>
      <c r="AM146" s="529"/>
      <c r="AN146" s="529"/>
      <c r="AO146" s="529"/>
      <c r="AP146" s="665"/>
      <c r="AQ146" s="659"/>
      <c r="AR146" s="659"/>
      <c r="AS146" s="659"/>
      <c r="AT146" s="659"/>
      <c r="AU146" s="659"/>
      <c r="AV146" s="659"/>
      <c r="AW146" s="659"/>
      <c r="AX146" s="659"/>
      <c r="AY146" s="659"/>
      <c r="AZ146" s="659"/>
      <c r="BA146" s="659"/>
      <c r="BB146" s="659"/>
    </row>
    <row r="147" spans="1:85" ht="16.5" customHeight="1" thickBot="1" x14ac:dyDescent="0.25">
      <c r="A147" s="494" t="s">
        <v>74</v>
      </c>
      <c r="B147" s="495"/>
      <c r="C147" s="495"/>
      <c r="D147" s="495"/>
      <c r="E147" s="495"/>
      <c r="F147" s="495"/>
      <c r="G147" s="495"/>
      <c r="H147" s="483">
        <f>AU137</f>
        <v>0</v>
      </c>
      <c r="I147" s="483"/>
      <c r="J147" s="483"/>
      <c r="K147" s="483"/>
      <c r="L147" s="483"/>
      <c r="M147" s="482">
        <f t="shared" si="3"/>
        <v>0</v>
      </c>
      <c r="N147" s="482"/>
      <c r="O147" s="482"/>
      <c r="P147" s="482"/>
      <c r="Q147" s="482"/>
      <c r="R147" s="514"/>
      <c r="S147" s="515"/>
      <c r="T147" s="515"/>
      <c r="U147" s="516"/>
      <c r="V147" s="519"/>
      <c r="W147" s="519"/>
      <c r="X147" s="519"/>
      <c r="Y147" s="519"/>
      <c r="Z147" s="519"/>
      <c r="AA147" s="519"/>
      <c r="AB147" s="519"/>
      <c r="AC147" s="1343"/>
      <c r="AD147" s="483" t="s">
        <v>71</v>
      </c>
      <c r="AE147" s="483"/>
      <c r="AF147" s="483"/>
      <c r="AG147" s="483"/>
      <c r="AH147" s="483"/>
      <c r="AI147" s="483"/>
      <c r="AJ147" s="483" t="s">
        <v>17</v>
      </c>
      <c r="AK147" s="483"/>
      <c r="AL147" s="483"/>
      <c r="AM147" s="483"/>
      <c r="AN147" s="483"/>
      <c r="AO147" s="483"/>
      <c r="AP147" s="484"/>
      <c r="AQ147" s="659"/>
      <c r="AR147" s="659"/>
      <c r="AS147" s="659"/>
      <c r="AT147" s="659"/>
      <c r="AU147" s="659"/>
      <c r="AV147" s="659"/>
      <c r="AW147" s="659"/>
      <c r="AX147" s="659"/>
      <c r="AY147" s="659"/>
      <c r="AZ147" s="659"/>
      <c r="BA147" s="659"/>
      <c r="BB147" s="659"/>
    </row>
    <row r="148" spans="1:85" ht="25.5" customHeight="1" x14ac:dyDescent="0.2">
      <c r="A148" s="485" t="s">
        <v>80</v>
      </c>
      <c r="B148" s="486"/>
      <c r="C148" s="486"/>
      <c r="D148" s="486"/>
      <c r="E148" s="486"/>
      <c r="F148" s="486"/>
      <c r="G148" s="487"/>
      <c r="H148" s="488">
        <f>SUM(H144:L147)</f>
        <v>2857.1440150810281</v>
      </c>
      <c r="I148" s="488"/>
      <c r="J148" s="488"/>
      <c r="K148" s="488"/>
      <c r="L148" s="488"/>
      <c r="M148" s="488">
        <f>SUM(M144:Q147)</f>
        <v>2857.1440150810281</v>
      </c>
      <c r="N148" s="488"/>
      <c r="O148" s="488"/>
      <c r="P148" s="488"/>
      <c r="Q148" s="488"/>
      <c r="R148" s="489">
        <f>R144</f>
        <v>1</v>
      </c>
      <c r="S148" s="489"/>
      <c r="T148" s="489"/>
      <c r="U148" s="489"/>
      <c r="V148" s="490">
        <f>V144</f>
        <v>1</v>
      </c>
      <c r="W148" s="490"/>
      <c r="X148" s="490"/>
      <c r="Y148" s="490"/>
      <c r="Z148" s="490">
        <f>Z144</f>
        <v>1</v>
      </c>
      <c r="AA148" s="490"/>
      <c r="AB148" s="490"/>
      <c r="AC148" s="1337"/>
      <c r="AD148" s="453" t="s">
        <v>17</v>
      </c>
      <c r="AE148" s="453"/>
      <c r="AF148" s="453"/>
      <c r="AG148" s="453"/>
      <c r="AH148" s="453"/>
      <c r="AI148" s="453"/>
      <c r="AJ148" s="453" t="s">
        <v>17</v>
      </c>
      <c r="AK148" s="453"/>
      <c r="AL148" s="453"/>
      <c r="AM148" s="453"/>
      <c r="AN148" s="453"/>
      <c r="AO148" s="453"/>
      <c r="AP148" s="454"/>
      <c r="AQ148" s="1336"/>
      <c r="AR148" s="1336"/>
      <c r="AS148" s="1336"/>
      <c r="AT148" s="1336"/>
      <c r="AU148" s="1336"/>
      <c r="AV148" s="1336"/>
      <c r="AW148" s="1336"/>
      <c r="AX148" s="1336"/>
      <c r="AY148" s="1336"/>
      <c r="AZ148" s="1336"/>
      <c r="BA148" s="1336"/>
      <c r="BB148" s="1336"/>
    </row>
    <row r="149" spans="1:85" ht="30.75" customHeight="1" x14ac:dyDescent="0.2">
      <c r="A149" s="455" t="s">
        <v>75</v>
      </c>
      <c r="B149" s="456"/>
      <c r="C149" s="456"/>
      <c r="D149" s="456"/>
      <c r="E149" s="456"/>
      <c r="F149" s="456"/>
      <c r="G149" s="215">
        <v>0.4</v>
      </c>
      <c r="H149" s="457">
        <f>H148*G149</f>
        <v>1142.8576060324112</v>
      </c>
      <c r="I149" s="457"/>
      <c r="J149" s="457"/>
      <c r="K149" s="457"/>
      <c r="L149" s="457"/>
      <c r="M149" s="457">
        <f>M148*G149</f>
        <v>1142.8576060324112</v>
      </c>
      <c r="N149" s="457"/>
      <c r="O149" s="457"/>
      <c r="P149" s="457"/>
      <c r="Q149" s="457"/>
      <c r="R149" s="818">
        <f>R144</f>
        <v>1</v>
      </c>
      <c r="S149" s="819"/>
      <c r="T149" s="819"/>
      <c r="U149" s="820"/>
      <c r="V149" s="821">
        <f>V144</f>
        <v>1</v>
      </c>
      <c r="W149" s="819"/>
      <c r="X149" s="819"/>
      <c r="Y149" s="820"/>
      <c r="Z149" s="821">
        <f>Z144</f>
        <v>1</v>
      </c>
      <c r="AA149" s="819"/>
      <c r="AB149" s="819"/>
      <c r="AC149" s="819"/>
      <c r="AD149" s="1331" t="s">
        <v>17</v>
      </c>
      <c r="AE149" s="1331"/>
      <c r="AF149" s="1331"/>
      <c r="AG149" s="1331"/>
      <c r="AH149" s="1331"/>
      <c r="AI149" s="1331"/>
      <c r="AJ149" s="1331" t="s">
        <v>17</v>
      </c>
      <c r="AK149" s="1331"/>
      <c r="AL149" s="1331"/>
      <c r="AM149" s="1331"/>
      <c r="AN149" s="1331"/>
      <c r="AO149" s="1331"/>
      <c r="AP149" s="1332"/>
      <c r="AQ149" s="1330"/>
      <c r="AR149" s="1330"/>
      <c r="AS149" s="1330"/>
      <c r="AT149" s="1330"/>
      <c r="AU149" s="1330"/>
      <c r="AV149" s="1330"/>
      <c r="AW149" s="1330"/>
      <c r="AX149" s="1330"/>
      <c r="AY149" s="1330"/>
      <c r="AZ149" s="1330"/>
      <c r="BA149" s="1330"/>
      <c r="BB149" s="1330"/>
    </row>
    <row r="150" spans="1:85" ht="30.75" customHeight="1" thickBot="1" x14ac:dyDescent="0.25">
      <c r="A150" s="468" t="s">
        <v>81</v>
      </c>
      <c r="B150" s="469"/>
      <c r="C150" s="469"/>
      <c r="D150" s="469"/>
      <c r="E150" s="469"/>
      <c r="F150" s="469"/>
      <c r="G150" s="470"/>
      <c r="H150" s="464">
        <f>H148+H149</f>
        <v>4000.0016211134393</v>
      </c>
      <c r="I150" s="464"/>
      <c r="J150" s="464"/>
      <c r="K150" s="464"/>
      <c r="L150" s="464"/>
      <c r="M150" s="471">
        <f>M148+M149</f>
        <v>4000.0016211134393</v>
      </c>
      <c r="N150" s="472"/>
      <c r="O150" s="472"/>
      <c r="P150" s="472"/>
      <c r="Q150" s="473"/>
      <c r="R150" s="1333">
        <f>R144</f>
        <v>1</v>
      </c>
      <c r="S150" s="1334"/>
      <c r="T150" s="1334"/>
      <c r="U150" s="1335"/>
      <c r="V150" s="828">
        <f>V144</f>
        <v>1</v>
      </c>
      <c r="W150" s="829"/>
      <c r="X150" s="829"/>
      <c r="Y150" s="830"/>
      <c r="Z150" s="828">
        <f>Z144</f>
        <v>1</v>
      </c>
      <c r="AA150" s="829"/>
      <c r="AB150" s="829"/>
      <c r="AC150" s="829"/>
      <c r="AD150" s="463" t="s">
        <v>17</v>
      </c>
      <c r="AE150" s="463"/>
      <c r="AF150" s="463"/>
      <c r="AG150" s="463"/>
      <c r="AH150" s="463"/>
      <c r="AI150" s="463"/>
      <c r="AJ150" s="463" t="s">
        <v>17</v>
      </c>
      <c r="AK150" s="463"/>
      <c r="AL150" s="463"/>
      <c r="AM150" s="463"/>
      <c r="AN150" s="463"/>
      <c r="AO150" s="463"/>
      <c r="AP150" s="633"/>
      <c r="AQ150" s="1330"/>
      <c r="AR150" s="1330"/>
      <c r="AS150" s="1330"/>
      <c r="AT150" s="1330"/>
      <c r="AU150" s="1330"/>
      <c r="AV150" s="1330"/>
      <c r="AW150" s="1330"/>
      <c r="AX150" s="1330"/>
      <c r="AY150" s="1330"/>
      <c r="AZ150" s="1330"/>
      <c r="BA150" s="1330"/>
      <c r="BB150" s="1330"/>
    </row>
    <row r="153" spans="1:85" ht="12.75" customHeight="1" x14ac:dyDescent="0.2">
      <c r="B153" s="452" t="s">
        <v>221</v>
      </c>
      <c r="C153" s="452"/>
      <c r="D153" s="452"/>
      <c r="E153" s="452"/>
      <c r="F153" s="452"/>
      <c r="G153" s="452"/>
      <c r="H153" s="452"/>
      <c r="I153" s="452"/>
      <c r="J153" s="452"/>
      <c r="K153" s="452"/>
      <c r="L153" s="452"/>
      <c r="M153" s="452"/>
      <c r="N153" s="452"/>
      <c r="O153" s="452"/>
      <c r="P153" s="452"/>
      <c r="Q153" s="452"/>
      <c r="R153" s="452"/>
      <c r="S153" s="452"/>
      <c r="U153" s="164"/>
      <c r="V153" s="164"/>
      <c r="W153" s="164"/>
      <c r="X153" s="217"/>
      <c r="Y153" s="217"/>
      <c r="Z153" s="217"/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M153" s="442" t="s">
        <v>222</v>
      </c>
      <c r="AN153" s="763"/>
      <c r="AO153" s="763"/>
      <c r="AP153" s="763"/>
      <c r="AQ153" s="763"/>
      <c r="AR153" s="763"/>
      <c r="AS153" s="763"/>
      <c r="AT153" s="763"/>
      <c r="AU153" s="763"/>
      <c r="AV153" s="763"/>
      <c r="AW153" s="763"/>
      <c r="AX153" s="763"/>
      <c r="AY153" s="763"/>
      <c r="AZ153" s="763"/>
      <c r="BA153" s="763"/>
      <c r="BB153" s="763"/>
      <c r="BC153" s="442"/>
      <c r="BD153" s="442"/>
    </row>
    <row r="154" spans="1:85" ht="15" customHeight="1" x14ac:dyDescent="0.2">
      <c r="B154" s="452" t="s">
        <v>78</v>
      </c>
      <c r="C154" s="452"/>
      <c r="D154" s="452"/>
      <c r="E154" s="452"/>
      <c r="F154" s="452"/>
      <c r="G154" s="452"/>
      <c r="H154" s="452"/>
      <c r="I154" s="452"/>
      <c r="J154" s="452"/>
      <c r="K154" s="452"/>
      <c r="L154" s="452"/>
      <c r="M154" s="452"/>
      <c r="N154" s="452"/>
      <c r="O154" s="452"/>
      <c r="P154" s="452"/>
      <c r="Q154" s="452"/>
      <c r="R154" s="452"/>
      <c r="S154" s="452"/>
      <c r="AM154" s="442" t="s">
        <v>355</v>
      </c>
      <c r="AN154" s="442"/>
      <c r="AO154" s="442"/>
      <c r="AP154" s="442"/>
      <c r="AQ154" s="442"/>
      <c r="AR154" s="442"/>
      <c r="AS154" s="442"/>
      <c r="AT154" s="442"/>
      <c r="AU154" s="442"/>
      <c r="AV154" s="442"/>
      <c r="AW154" s="442"/>
      <c r="AX154" s="442"/>
      <c r="AY154" s="442"/>
      <c r="AZ154" s="442"/>
      <c r="BA154" s="442"/>
      <c r="BB154" s="442"/>
      <c r="BC154" s="442"/>
      <c r="BD154" s="219"/>
    </row>
    <row r="155" spans="1:85" ht="15" customHeight="1" x14ac:dyDescent="0.2">
      <c r="B155" s="452"/>
      <c r="C155" s="452"/>
      <c r="D155" s="452"/>
      <c r="E155" s="452"/>
      <c r="F155" s="452"/>
      <c r="G155" s="452"/>
      <c r="H155" s="452"/>
      <c r="I155" s="452"/>
      <c r="J155" s="452"/>
      <c r="K155" s="452"/>
      <c r="L155" s="452"/>
      <c r="M155" s="452"/>
      <c r="N155" s="452"/>
      <c r="O155" s="452"/>
      <c r="P155" s="452"/>
      <c r="Q155" s="452"/>
      <c r="R155" s="452"/>
      <c r="S155" s="452"/>
      <c r="U155" s="164"/>
      <c r="V155" s="164"/>
      <c r="W155" s="164"/>
      <c r="X155" s="217"/>
      <c r="Y155" s="217"/>
      <c r="Z155" s="217"/>
      <c r="AA155" s="217"/>
      <c r="AB155" s="217"/>
      <c r="AC155" s="217"/>
      <c r="AD155" s="217"/>
      <c r="AE155" s="217"/>
      <c r="AF155" s="217"/>
      <c r="AG155" s="217"/>
      <c r="AH155" s="217"/>
      <c r="AI155" s="217"/>
      <c r="AJ155" s="217"/>
      <c r="AK155" s="217"/>
      <c r="AM155" s="442"/>
      <c r="AN155" s="442"/>
      <c r="AO155" s="442"/>
      <c r="AP155" s="442"/>
      <c r="AQ155" s="442"/>
      <c r="AR155" s="442"/>
      <c r="AS155" s="442"/>
      <c r="AT155" s="442"/>
      <c r="AU155" s="442"/>
      <c r="AV155" s="442"/>
      <c r="AW155" s="442"/>
      <c r="AX155" s="442"/>
      <c r="AY155" s="442"/>
      <c r="AZ155" s="442"/>
      <c r="BA155" s="442"/>
      <c r="BB155" s="442"/>
      <c r="BC155" s="442"/>
      <c r="BD155" s="219"/>
    </row>
    <row r="156" spans="1:85" ht="15.75" customHeight="1" x14ac:dyDescent="0.2"/>
    <row r="157" spans="1:85" ht="12" hidden="1" x14ac:dyDescent="0.2">
      <c r="AS157" s="432" t="s">
        <v>546</v>
      </c>
      <c r="AT157" s="432"/>
      <c r="AU157" s="432"/>
      <c r="AV157" s="432"/>
      <c r="AW157" s="432"/>
      <c r="AX157" s="432"/>
      <c r="AY157" s="432"/>
      <c r="AZ157" s="432"/>
      <c r="BA157" s="432"/>
      <c r="BB157" s="432"/>
      <c r="BC157" s="432"/>
      <c r="BD157" s="432"/>
      <c r="BE157" s="432"/>
      <c r="BF157" s="432"/>
      <c r="BG157" s="432"/>
      <c r="BH157" s="432"/>
      <c r="BI157" s="432"/>
      <c r="BJ157" s="432"/>
      <c r="BK157" s="432"/>
      <c r="BL157" s="432"/>
      <c r="BM157" s="432"/>
      <c r="BN157" s="432"/>
      <c r="BO157" s="432"/>
    </row>
    <row r="158" spans="1:85" ht="12" hidden="1" x14ac:dyDescent="0.2">
      <c r="AS158" s="432" t="s">
        <v>126</v>
      </c>
      <c r="AT158" s="432"/>
      <c r="AU158" s="432"/>
      <c r="AV158" s="433">
        <f>4000*1</f>
        <v>4000</v>
      </c>
      <c r="AW158" s="433"/>
      <c r="AX158" s="433"/>
      <c r="AY158" s="433"/>
      <c r="AZ158" s="433"/>
      <c r="BA158" s="304" t="s">
        <v>127</v>
      </c>
      <c r="BB158" s="304"/>
      <c r="BC158" s="304"/>
      <c r="BD158" s="304"/>
      <c r="BE158" s="304"/>
      <c r="BF158" s="304"/>
      <c r="BG158" s="304"/>
      <c r="BH158" s="304"/>
    </row>
    <row r="159" spans="1:85" ht="15" hidden="1" x14ac:dyDescent="0.25">
      <c r="AS159" s="434">
        <v>0.6</v>
      </c>
      <c r="AT159" s="432"/>
      <c r="AU159" s="432"/>
      <c r="AV159" s="216">
        <f>AV158*AS159</f>
        <v>2400</v>
      </c>
      <c r="AW159" s="432" t="s">
        <v>128</v>
      </c>
      <c r="AX159" s="432"/>
      <c r="AY159" s="432"/>
      <c r="AZ159" s="432"/>
      <c r="BA159" s="432"/>
      <c r="BB159" s="432" t="s">
        <v>129</v>
      </c>
      <c r="BC159" s="432"/>
      <c r="BD159" s="432"/>
      <c r="BE159" s="432"/>
      <c r="BF159" s="432"/>
      <c r="BG159" s="432"/>
      <c r="BH159" s="432"/>
      <c r="BR159" s="432" t="s">
        <v>368</v>
      </c>
      <c r="BS159" s="443"/>
      <c r="BT159" s="443"/>
      <c r="BU159" s="443"/>
      <c r="BV159" s="443"/>
      <c r="BW159" s="443"/>
      <c r="BZ159" s="432" t="s">
        <v>366</v>
      </c>
      <c r="CA159" s="443"/>
      <c r="CB159" s="443"/>
      <c r="CC159" s="443"/>
      <c r="CD159" s="443"/>
      <c r="CE159" s="443"/>
      <c r="CF159" s="443"/>
      <c r="CG159" s="443"/>
    </row>
    <row r="160" spans="1:85" ht="15" hidden="1" x14ac:dyDescent="0.25">
      <c r="AS160" s="432">
        <v>211</v>
      </c>
      <c r="AT160" s="432"/>
      <c r="AU160" s="432"/>
      <c r="AV160" s="216">
        <f>AV159-AV161</f>
        <v>1843.3179723502303</v>
      </c>
      <c r="AW160" s="435">
        <f>AV160*0.2</f>
        <v>368.66359447004606</v>
      </c>
      <c r="AX160" s="435"/>
      <c r="AY160" s="435"/>
      <c r="AZ160" s="435"/>
      <c r="BA160" s="435"/>
      <c r="BB160" s="436">
        <f>AV160-AW160</f>
        <v>1474.6543778801843</v>
      </c>
      <c r="BC160" s="445"/>
      <c r="BD160" s="445"/>
      <c r="BE160" s="445"/>
      <c r="BF160" s="445"/>
      <c r="BG160" s="445"/>
      <c r="BH160" s="445"/>
      <c r="BR160" s="437">
        <f>AW160*15/20+0.01</f>
        <v>276.50769585253454</v>
      </c>
      <c r="BS160" s="446"/>
      <c r="BT160" s="446"/>
      <c r="BU160" s="446"/>
      <c r="BV160" s="446"/>
      <c r="BW160" s="446"/>
      <c r="BZ160" s="437">
        <f>AW160*5/20-0.01</f>
        <v>92.155898617511511</v>
      </c>
      <c r="CA160" s="446"/>
      <c r="CB160" s="446"/>
      <c r="CC160" s="446"/>
      <c r="CD160" s="446"/>
      <c r="CE160" s="446"/>
      <c r="CF160" s="446"/>
      <c r="CG160" s="446"/>
    </row>
    <row r="161" spans="45:85" ht="12" hidden="1" x14ac:dyDescent="0.2">
      <c r="AS161" s="432">
        <v>213</v>
      </c>
      <c r="AT161" s="432"/>
      <c r="AU161" s="432"/>
      <c r="AV161" s="216">
        <f>AV159*30.2/130.2</f>
        <v>556.68202764976968</v>
      </c>
      <c r="AW161" s="435">
        <f>AW160*30.2%</f>
        <v>111.33640552995391</v>
      </c>
      <c r="AX161" s="435"/>
      <c r="AY161" s="435"/>
      <c r="AZ161" s="435"/>
      <c r="BA161" s="435"/>
      <c r="BB161" s="435">
        <f>BB160*30.2%</f>
        <v>445.34562211981563</v>
      </c>
      <c r="BC161" s="435"/>
      <c r="BD161" s="435"/>
      <c r="BE161" s="435"/>
      <c r="BF161" s="435"/>
      <c r="BG161" s="435"/>
      <c r="BH161" s="435"/>
    </row>
    <row r="162" spans="45:85" ht="8.25" hidden="1" customHeight="1" x14ac:dyDescent="0.2"/>
    <row r="163" spans="45:85" ht="8.25" hidden="1" customHeight="1" x14ac:dyDescent="0.2"/>
    <row r="164" spans="45:85" ht="12" hidden="1" x14ac:dyDescent="0.2">
      <c r="AS164" s="432" t="s">
        <v>595</v>
      </c>
      <c r="AT164" s="432"/>
      <c r="AU164" s="432"/>
      <c r="AV164" s="432"/>
      <c r="AW164" s="432"/>
      <c r="AX164" s="432"/>
      <c r="AY164" s="432"/>
      <c r="AZ164" s="432"/>
      <c r="BA164" s="432"/>
      <c r="BB164" s="432"/>
      <c r="BC164" s="432"/>
      <c r="BD164" s="432"/>
      <c r="BE164" s="432"/>
      <c r="BF164" s="432"/>
      <c r="BG164" s="432"/>
      <c r="BH164" s="432"/>
      <c r="BI164" s="432"/>
      <c r="BJ164" s="432"/>
      <c r="BK164" s="432"/>
      <c r="BL164" s="432"/>
      <c r="BM164" s="432"/>
      <c r="BN164" s="432"/>
      <c r="BO164" s="432"/>
    </row>
    <row r="165" spans="45:85" ht="12" hidden="1" x14ac:dyDescent="0.2">
      <c r="AS165" s="432" t="s">
        <v>126</v>
      </c>
      <c r="AT165" s="432"/>
      <c r="AU165" s="432"/>
      <c r="AV165" s="433">
        <f>4000*2</f>
        <v>8000</v>
      </c>
      <c r="AW165" s="433"/>
      <c r="AX165" s="433"/>
      <c r="AY165" s="433"/>
      <c r="AZ165" s="433"/>
      <c r="BA165" s="340" t="s">
        <v>127</v>
      </c>
      <c r="BB165" s="340"/>
      <c r="BC165" s="340"/>
      <c r="BD165" s="340"/>
      <c r="BE165" s="340"/>
      <c r="BF165" s="340"/>
      <c r="BG165" s="340"/>
      <c r="BH165" s="340"/>
    </row>
    <row r="166" spans="45:85" ht="15" hidden="1" x14ac:dyDescent="0.25">
      <c r="AS166" s="434">
        <v>0.6</v>
      </c>
      <c r="AT166" s="432"/>
      <c r="AU166" s="432"/>
      <c r="AV166" s="216">
        <f>AV165*AS166</f>
        <v>4800</v>
      </c>
      <c r="AW166" s="432" t="s">
        <v>128</v>
      </c>
      <c r="AX166" s="432"/>
      <c r="AY166" s="432"/>
      <c r="AZ166" s="432"/>
      <c r="BA166" s="432"/>
      <c r="BB166" s="432" t="s">
        <v>129</v>
      </c>
      <c r="BC166" s="432"/>
      <c r="BD166" s="432"/>
      <c r="BE166" s="432"/>
      <c r="BF166" s="432"/>
      <c r="BG166" s="432"/>
      <c r="BH166" s="432"/>
      <c r="BR166" s="432" t="s">
        <v>368</v>
      </c>
      <c r="BS166" s="443"/>
      <c r="BT166" s="443"/>
      <c r="BU166" s="443"/>
      <c r="BV166" s="443"/>
      <c r="BW166" s="443"/>
      <c r="BZ166" s="432" t="s">
        <v>366</v>
      </c>
      <c r="CA166" s="443"/>
      <c r="CB166" s="443"/>
      <c r="CC166" s="443"/>
      <c r="CD166" s="443"/>
      <c r="CE166" s="443"/>
      <c r="CF166" s="443"/>
      <c r="CG166" s="443"/>
    </row>
    <row r="167" spans="45:85" ht="15" hidden="1" x14ac:dyDescent="0.25">
      <c r="AS167" s="432">
        <v>211</v>
      </c>
      <c r="AT167" s="432"/>
      <c r="AU167" s="432"/>
      <c r="AV167" s="216">
        <f>AV166-AV168</f>
        <v>3686.6359447004606</v>
      </c>
      <c r="AW167" s="435">
        <f>AV167*0.2</f>
        <v>737.32718894009213</v>
      </c>
      <c r="AX167" s="435"/>
      <c r="AY167" s="435"/>
      <c r="AZ167" s="435"/>
      <c r="BA167" s="435"/>
      <c r="BB167" s="436">
        <f>AV167-AW167</f>
        <v>2949.3087557603685</v>
      </c>
      <c r="BC167" s="445"/>
      <c r="BD167" s="445"/>
      <c r="BE167" s="445"/>
      <c r="BF167" s="445"/>
      <c r="BG167" s="445"/>
      <c r="BH167" s="445"/>
      <c r="BR167" s="437">
        <f>AW167*15/20+0.01</f>
        <v>553.00539170506909</v>
      </c>
      <c r="BS167" s="446"/>
      <c r="BT167" s="446"/>
      <c r="BU167" s="446"/>
      <c r="BV167" s="446"/>
      <c r="BW167" s="446"/>
      <c r="BZ167" s="437">
        <f>AW167*5/20-0.01</f>
        <v>184.32179723502304</v>
      </c>
      <c r="CA167" s="446"/>
      <c r="CB167" s="446"/>
      <c r="CC167" s="446"/>
      <c r="CD167" s="446"/>
      <c r="CE167" s="446"/>
      <c r="CF167" s="446"/>
      <c r="CG167" s="446"/>
    </row>
    <row r="168" spans="45:85" ht="12" hidden="1" x14ac:dyDescent="0.2">
      <c r="AS168" s="432">
        <v>213</v>
      </c>
      <c r="AT168" s="432"/>
      <c r="AU168" s="432"/>
      <c r="AV168" s="216">
        <f>AV166*30.2/130.2</f>
        <v>1113.3640552995394</v>
      </c>
      <c r="AW168" s="435">
        <f>AW167*30.2%</f>
        <v>222.67281105990781</v>
      </c>
      <c r="AX168" s="435"/>
      <c r="AY168" s="435"/>
      <c r="AZ168" s="435"/>
      <c r="BA168" s="435"/>
      <c r="BB168" s="435">
        <f>BB167*30.2%</f>
        <v>890.69124423963126</v>
      </c>
      <c r="BC168" s="435"/>
      <c r="BD168" s="435"/>
      <c r="BE168" s="435"/>
      <c r="BF168" s="435"/>
      <c r="BG168" s="435"/>
      <c r="BH168" s="435"/>
    </row>
    <row r="169" spans="45:85" ht="8.25" hidden="1" customHeight="1" x14ac:dyDescent="0.2"/>
    <row r="170" spans="45:85" ht="8.25" hidden="1" customHeight="1" x14ac:dyDescent="0.2"/>
    <row r="171" spans="45:85" ht="8.25" hidden="1" customHeight="1" x14ac:dyDescent="0.2"/>
    <row r="172" spans="45:85" ht="12" hidden="1" x14ac:dyDescent="0.2">
      <c r="AS172" s="432" t="s">
        <v>597</v>
      </c>
      <c r="AT172" s="432"/>
      <c r="AU172" s="432"/>
      <c r="AV172" s="432"/>
      <c r="AW172" s="432"/>
      <c r="AX172" s="432"/>
      <c r="AY172" s="432"/>
      <c r="AZ172" s="432"/>
      <c r="BA172" s="432"/>
      <c r="BB172" s="432"/>
      <c r="BC172" s="432"/>
      <c r="BD172" s="432"/>
      <c r="BE172" s="432"/>
      <c r="BF172" s="432"/>
      <c r="BG172" s="432"/>
      <c r="BH172" s="432"/>
      <c r="BI172" s="432"/>
      <c r="BJ172" s="432"/>
      <c r="BK172" s="432"/>
      <c r="BL172" s="432"/>
      <c r="BM172" s="432"/>
      <c r="BN172" s="432"/>
      <c r="BO172" s="432"/>
    </row>
    <row r="173" spans="45:85" ht="12" hidden="1" x14ac:dyDescent="0.2">
      <c r="AS173" s="432" t="s">
        <v>126</v>
      </c>
      <c r="AT173" s="432"/>
      <c r="AU173" s="432"/>
      <c r="AV173" s="433">
        <f>4000*1</f>
        <v>4000</v>
      </c>
      <c r="AW173" s="433"/>
      <c r="AX173" s="433"/>
      <c r="AY173" s="433"/>
      <c r="AZ173" s="433"/>
      <c r="BA173" s="348" t="s">
        <v>127</v>
      </c>
      <c r="BB173" s="348"/>
      <c r="BC173" s="348"/>
      <c r="BD173" s="348"/>
      <c r="BE173" s="348"/>
      <c r="BF173" s="348"/>
      <c r="BG173" s="348"/>
      <c r="BH173" s="348"/>
    </row>
    <row r="174" spans="45:85" ht="15" hidden="1" x14ac:dyDescent="0.25">
      <c r="AS174" s="434">
        <v>0.6</v>
      </c>
      <c r="AT174" s="432"/>
      <c r="AU174" s="432"/>
      <c r="AV174" s="216">
        <f>AV173*AS174</f>
        <v>2400</v>
      </c>
      <c r="AW174" s="432" t="s">
        <v>128</v>
      </c>
      <c r="AX174" s="432"/>
      <c r="AY174" s="432"/>
      <c r="AZ174" s="432"/>
      <c r="BA174" s="432"/>
      <c r="BB174" s="432" t="s">
        <v>129</v>
      </c>
      <c r="BC174" s="432"/>
      <c r="BD174" s="432"/>
      <c r="BE174" s="432"/>
      <c r="BF174" s="432"/>
      <c r="BG174" s="432"/>
      <c r="BH174" s="432"/>
      <c r="BR174" s="432" t="s">
        <v>368</v>
      </c>
      <c r="BS174" s="443"/>
      <c r="BT174" s="443"/>
      <c r="BU174" s="443"/>
      <c r="BV174" s="443"/>
      <c r="BW174" s="443"/>
      <c r="BZ174" s="432" t="s">
        <v>366</v>
      </c>
      <c r="CA174" s="443"/>
      <c r="CB174" s="443"/>
      <c r="CC174" s="443"/>
      <c r="CD174" s="443"/>
      <c r="CE174" s="443"/>
      <c r="CF174" s="443"/>
      <c r="CG174" s="443"/>
    </row>
    <row r="175" spans="45:85" ht="15" hidden="1" x14ac:dyDescent="0.25">
      <c r="AS175" s="432">
        <v>211</v>
      </c>
      <c r="AT175" s="432"/>
      <c r="AU175" s="432"/>
      <c r="AV175" s="216">
        <f>AV174-AV176</f>
        <v>1843.3179723502303</v>
      </c>
      <c r="AW175" s="435">
        <f>AV175*0.2</f>
        <v>368.66359447004606</v>
      </c>
      <c r="AX175" s="435"/>
      <c r="AY175" s="435"/>
      <c r="AZ175" s="435"/>
      <c r="BA175" s="435"/>
      <c r="BB175" s="436">
        <f>AV175-AW175</f>
        <v>1474.6543778801843</v>
      </c>
      <c r="BC175" s="445"/>
      <c r="BD175" s="445"/>
      <c r="BE175" s="445"/>
      <c r="BF175" s="445"/>
      <c r="BG175" s="445"/>
      <c r="BH175" s="445"/>
      <c r="BR175" s="437">
        <f>AW175*15/20+0.01</f>
        <v>276.50769585253454</v>
      </c>
      <c r="BS175" s="446"/>
      <c r="BT175" s="446"/>
      <c r="BU175" s="446"/>
      <c r="BV175" s="446"/>
      <c r="BW175" s="446"/>
      <c r="BZ175" s="437">
        <f>AW175*5/20-0.01</f>
        <v>92.155898617511511</v>
      </c>
      <c r="CA175" s="446"/>
      <c r="CB175" s="446"/>
      <c r="CC175" s="446"/>
      <c r="CD175" s="446"/>
      <c r="CE175" s="446"/>
      <c r="CF175" s="446"/>
      <c r="CG175" s="446"/>
    </row>
    <row r="176" spans="45:85" ht="12" hidden="1" x14ac:dyDescent="0.2">
      <c r="AS176" s="432">
        <v>213</v>
      </c>
      <c r="AT176" s="432"/>
      <c r="AU176" s="432"/>
      <c r="AV176" s="216">
        <f>AV174*30.2/130.2</f>
        <v>556.68202764976968</v>
      </c>
      <c r="AW176" s="435">
        <f>AW175*30.2%</f>
        <v>111.33640552995391</v>
      </c>
      <c r="AX176" s="435"/>
      <c r="AY176" s="435"/>
      <c r="AZ176" s="435"/>
      <c r="BA176" s="435"/>
      <c r="BB176" s="435">
        <f>BB175*30.2%</f>
        <v>445.34562211981563</v>
      </c>
      <c r="BC176" s="435"/>
      <c r="BD176" s="435"/>
      <c r="BE176" s="435"/>
      <c r="BF176" s="435"/>
      <c r="BG176" s="435"/>
      <c r="BH176" s="435"/>
    </row>
    <row r="177" spans="45:85" ht="8.25" hidden="1" customHeight="1" x14ac:dyDescent="0.2"/>
    <row r="178" spans="45:85" ht="8.25" hidden="1" customHeight="1" x14ac:dyDescent="0.2"/>
    <row r="179" spans="45:85" ht="8.25" hidden="1" customHeight="1" x14ac:dyDescent="0.2"/>
    <row r="180" spans="45:85" ht="12" hidden="1" x14ac:dyDescent="0.2">
      <c r="AS180" s="432" t="s">
        <v>625</v>
      </c>
      <c r="AT180" s="432"/>
      <c r="AU180" s="432"/>
      <c r="AV180" s="432"/>
      <c r="AW180" s="432"/>
      <c r="AX180" s="432"/>
      <c r="AY180" s="432"/>
      <c r="AZ180" s="432"/>
      <c r="BA180" s="432"/>
      <c r="BB180" s="432"/>
      <c r="BC180" s="432"/>
      <c r="BD180" s="432"/>
      <c r="BE180" s="432"/>
      <c r="BF180" s="432"/>
      <c r="BG180" s="432"/>
      <c r="BH180" s="432"/>
      <c r="BI180" s="432"/>
      <c r="BJ180" s="432"/>
      <c r="BK180" s="432"/>
      <c r="BL180" s="432"/>
      <c r="BM180" s="432"/>
      <c r="BN180" s="432"/>
      <c r="BO180" s="432"/>
    </row>
    <row r="181" spans="45:85" ht="12" hidden="1" x14ac:dyDescent="0.2">
      <c r="AS181" s="432" t="s">
        <v>126</v>
      </c>
      <c r="AT181" s="432"/>
      <c r="AU181" s="432"/>
      <c r="AV181" s="433">
        <f>4000*1</f>
        <v>4000</v>
      </c>
      <c r="AW181" s="433"/>
      <c r="AX181" s="433"/>
      <c r="AY181" s="433"/>
      <c r="AZ181" s="433"/>
      <c r="BA181" s="381" t="s">
        <v>127</v>
      </c>
      <c r="BB181" s="381"/>
      <c r="BC181" s="381"/>
      <c r="BD181" s="381"/>
      <c r="BE181" s="381"/>
      <c r="BF181" s="381"/>
      <c r="BG181" s="381"/>
      <c r="BH181" s="381"/>
    </row>
    <row r="182" spans="45:85" ht="15" hidden="1" x14ac:dyDescent="0.25">
      <c r="AS182" s="434">
        <v>0.6</v>
      </c>
      <c r="AT182" s="432"/>
      <c r="AU182" s="432"/>
      <c r="AV182" s="216">
        <f>AV181*AS182</f>
        <v>2400</v>
      </c>
      <c r="AW182" s="432" t="s">
        <v>128</v>
      </c>
      <c r="AX182" s="432"/>
      <c r="AY182" s="432"/>
      <c r="AZ182" s="432"/>
      <c r="BA182" s="432"/>
      <c r="BB182" s="432" t="s">
        <v>129</v>
      </c>
      <c r="BC182" s="432"/>
      <c r="BD182" s="432"/>
      <c r="BE182" s="432"/>
      <c r="BF182" s="432"/>
      <c r="BG182" s="432"/>
      <c r="BH182" s="432"/>
      <c r="BR182" s="432" t="s">
        <v>368</v>
      </c>
      <c r="BS182" s="443"/>
      <c r="BT182" s="443"/>
      <c r="BU182" s="443"/>
      <c r="BV182" s="443"/>
      <c r="BW182" s="443"/>
      <c r="BZ182" s="432" t="s">
        <v>366</v>
      </c>
      <c r="CA182" s="443"/>
      <c r="CB182" s="443"/>
      <c r="CC182" s="443"/>
      <c r="CD182" s="443"/>
      <c r="CE182" s="443"/>
      <c r="CF182" s="443"/>
      <c r="CG182" s="443"/>
    </row>
    <row r="183" spans="45:85" ht="15" hidden="1" x14ac:dyDescent="0.25">
      <c r="AS183" s="432">
        <v>211</v>
      </c>
      <c r="AT183" s="432"/>
      <c r="AU183" s="432"/>
      <c r="AV183" s="216">
        <f>AV182-AV184</f>
        <v>1843.3179723502303</v>
      </c>
      <c r="AW183" s="435">
        <f>AV183*0.2</f>
        <v>368.66359447004606</v>
      </c>
      <c r="AX183" s="435"/>
      <c r="AY183" s="435"/>
      <c r="AZ183" s="435"/>
      <c r="BA183" s="435"/>
      <c r="BB183" s="436">
        <f>AV183-AW183</f>
        <v>1474.6543778801843</v>
      </c>
      <c r="BC183" s="445"/>
      <c r="BD183" s="445"/>
      <c r="BE183" s="445"/>
      <c r="BF183" s="445"/>
      <c r="BG183" s="445"/>
      <c r="BH183" s="445"/>
      <c r="BR183" s="437">
        <f>AW183*15/20+0.01</f>
        <v>276.50769585253454</v>
      </c>
      <c r="BS183" s="446"/>
      <c r="BT183" s="446"/>
      <c r="BU183" s="446"/>
      <c r="BV183" s="446"/>
      <c r="BW183" s="446"/>
      <c r="BZ183" s="437">
        <f>AW183*5/20-0.01</f>
        <v>92.155898617511511</v>
      </c>
      <c r="CA183" s="446"/>
      <c r="CB183" s="446"/>
      <c r="CC183" s="446"/>
      <c r="CD183" s="446"/>
      <c r="CE183" s="446"/>
      <c r="CF183" s="446"/>
      <c r="CG183" s="446"/>
    </row>
    <row r="184" spans="45:85" ht="12" hidden="1" x14ac:dyDescent="0.2">
      <c r="AS184" s="432">
        <v>213</v>
      </c>
      <c r="AT184" s="432"/>
      <c r="AU184" s="432"/>
      <c r="AV184" s="216">
        <f>AV182*30.2/130.2</f>
        <v>556.68202764976968</v>
      </c>
      <c r="AW184" s="435">
        <f>AW183*30.2%</f>
        <v>111.33640552995391</v>
      </c>
      <c r="AX184" s="435"/>
      <c r="AY184" s="435"/>
      <c r="AZ184" s="435"/>
      <c r="BA184" s="435"/>
      <c r="BB184" s="435">
        <f>BB183*30.2%</f>
        <v>445.34562211981563</v>
      </c>
      <c r="BC184" s="435"/>
      <c r="BD184" s="435"/>
      <c r="BE184" s="435"/>
      <c r="BF184" s="435"/>
      <c r="BG184" s="435"/>
      <c r="BH184" s="435"/>
    </row>
    <row r="185" spans="45:85" ht="8.25" hidden="1" customHeight="1" x14ac:dyDescent="0.2"/>
    <row r="186" spans="45:85" ht="8.25" hidden="1" customHeight="1" x14ac:dyDescent="0.2"/>
    <row r="187" spans="45:85" ht="8.25" hidden="1" customHeight="1" x14ac:dyDescent="0.2"/>
    <row r="188" spans="45:85" ht="12" hidden="1" x14ac:dyDescent="0.2">
      <c r="AS188" s="432" t="s">
        <v>630</v>
      </c>
      <c r="AT188" s="432"/>
      <c r="AU188" s="432"/>
      <c r="AV188" s="432"/>
      <c r="AW188" s="432"/>
      <c r="AX188" s="432"/>
      <c r="AY188" s="432"/>
      <c r="AZ188" s="432"/>
      <c r="BA188" s="432"/>
      <c r="BB188" s="432"/>
      <c r="BC188" s="432"/>
      <c r="BD188" s="432"/>
      <c r="BE188" s="432"/>
      <c r="BF188" s="432"/>
      <c r="BG188" s="432"/>
      <c r="BH188" s="432"/>
      <c r="BI188" s="432"/>
      <c r="BJ188" s="432"/>
      <c r="BK188" s="432"/>
      <c r="BL188" s="432"/>
      <c r="BM188" s="432"/>
      <c r="BN188" s="432"/>
      <c r="BO188" s="432"/>
    </row>
    <row r="189" spans="45:85" ht="12" hidden="1" x14ac:dyDescent="0.2">
      <c r="AS189" s="432" t="s">
        <v>126</v>
      </c>
      <c r="AT189" s="432"/>
      <c r="AU189" s="432"/>
      <c r="AV189" s="433">
        <f>4000*2</f>
        <v>8000</v>
      </c>
      <c r="AW189" s="433"/>
      <c r="AX189" s="433"/>
      <c r="AY189" s="433"/>
      <c r="AZ189" s="433"/>
      <c r="BA189" s="381" t="s">
        <v>127</v>
      </c>
      <c r="BB189" s="381"/>
      <c r="BC189" s="381"/>
      <c r="BD189" s="381"/>
      <c r="BE189" s="381"/>
      <c r="BF189" s="381"/>
      <c r="BG189" s="381"/>
      <c r="BH189" s="381"/>
    </row>
    <row r="190" spans="45:85" ht="15" hidden="1" x14ac:dyDescent="0.25">
      <c r="AS190" s="434">
        <v>0.6</v>
      </c>
      <c r="AT190" s="432"/>
      <c r="AU190" s="432"/>
      <c r="AV190" s="216">
        <f>AV189*AS190</f>
        <v>4800</v>
      </c>
      <c r="AW190" s="432" t="s">
        <v>128</v>
      </c>
      <c r="AX190" s="432"/>
      <c r="AY190" s="432"/>
      <c r="AZ190" s="432"/>
      <c r="BA190" s="432"/>
      <c r="BB190" s="432" t="s">
        <v>129</v>
      </c>
      <c r="BC190" s="432"/>
      <c r="BD190" s="432"/>
      <c r="BE190" s="432"/>
      <c r="BF190" s="432"/>
      <c r="BG190" s="432"/>
      <c r="BH190" s="432"/>
      <c r="BR190" s="432" t="s">
        <v>368</v>
      </c>
      <c r="BS190" s="443"/>
      <c r="BT190" s="443"/>
      <c r="BU190" s="443"/>
      <c r="BV190" s="443"/>
      <c r="BW190" s="443"/>
      <c r="BZ190" s="432" t="s">
        <v>366</v>
      </c>
      <c r="CA190" s="443"/>
      <c r="CB190" s="443"/>
      <c r="CC190" s="443"/>
      <c r="CD190" s="443"/>
      <c r="CE190" s="443"/>
      <c r="CF190" s="443"/>
      <c r="CG190" s="443"/>
    </row>
    <row r="191" spans="45:85" ht="15" hidden="1" x14ac:dyDescent="0.25">
      <c r="AS191" s="432">
        <v>211</v>
      </c>
      <c r="AT191" s="432"/>
      <c r="AU191" s="432"/>
      <c r="AV191" s="216">
        <f>AV190-AV192</f>
        <v>3686.6359447004606</v>
      </c>
      <c r="AW191" s="435">
        <f>AV191*0.2</f>
        <v>737.32718894009213</v>
      </c>
      <c r="AX191" s="435"/>
      <c r="AY191" s="435"/>
      <c r="AZ191" s="435"/>
      <c r="BA191" s="435"/>
      <c r="BB191" s="436">
        <f>AV191-AW191</f>
        <v>2949.3087557603685</v>
      </c>
      <c r="BC191" s="445"/>
      <c r="BD191" s="445"/>
      <c r="BE191" s="445"/>
      <c r="BF191" s="445"/>
      <c r="BG191" s="445"/>
      <c r="BH191" s="445"/>
      <c r="BR191" s="437">
        <f>AW191*15/20+0.01</f>
        <v>553.00539170506909</v>
      </c>
      <c r="BS191" s="446"/>
      <c r="BT191" s="446"/>
      <c r="BU191" s="446"/>
      <c r="BV191" s="446"/>
      <c r="BW191" s="446"/>
      <c r="BZ191" s="437">
        <f>AW191*5/20-0.01</f>
        <v>184.32179723502304</v>
      </c>
      <c r="CA191" s="446"/>
      <c r="CB191" s="446"/>
      <c r="CC191" s="446"/>
      <c r="CD191" s="446"/>
      <c r="CE191" s="446"/>
      <c r="CF191" s="446"/>
      <c r="CG191" s="446"/>
    </row>
    <row r="192" spans="45:85" ht="12" hidden="1" x14ac:dyDescent="0.2">
      <c r="AS192" s="432">
        <v>213</v>
      </c>
      <c r="AT192" s="432"/>
      <c r="AU192" s="432"/>
      <c r="AV192" s="216">
        <f>AV190*30.2/130.2</f>
        <v>1113.3640552995394</v>
      </c>
      <c r="AW192" s="435">
        <f>AW191*30.2%</f>
        <v>222.67281105990781</v>
      </c>
      <c r="AX192" s="435"/>
      <c r="AY192" s="435"/>
      <c r="AZ192" s="435"/>
      <c r="BA192" s="435"/>
      <c r="BB192" s="435">
        <f>BB191*30.2%</f>
        <v>890.69124423963126</v>
      </c>
      <c r="BC192" s="435"/>
      <c r="BD192" s="435"/>
      <c r="BE192" s="435"/>
      <c r="BF192" s="435"/>
      <c r="BG192" s="435"/>
      <c r="BH192" s="435"/>
    </row>
    <row r="193" spans="45:85" ht="8.25" hidden="1" customHeight="1" x14ac:dyDescent="0.2"/>
    <row r="194" spans="45:85" ht="8.25" hidden="1" customHeight="1" x14ac:dyDescent="0.2"/>
    <row r="195" spans="45:85" ht="8.25" hidden="1" customHeight="1" x14ac:dyDescent="0.2"/>
    <row r="196" spans="45:85" ht="12" hidden="1" x14ac:dyDescent="0.2">
      <c r="AS196" s="432" t="s">
        <v>645</v>
      </c>
      <c r="AT196" s="432"/>
      <c r="AU196" s="432"/>
      <c r="AV196" s="432"/>
      <c r="AW196" s="432"/>
      <c r="AX196" s="432"/>
      <c r="AY196" s="432"/>
      <c r="AZ196" s="432"/>
      <c r="BA196" s="432"/>
      <c r="BB196" s="432"/>
      <c r="BC196" s="432"/>
      <c r="BD196" s="432"/>
      <c r="BE196" s="432"/>
      <c r="BF196" s="432"/>
      <c r="BG196" s="432"/>
      <c r="BH196" s="432"/>
      <c r="BI196" s="432"/>
      <c r="BJ196" s="432"/>
      <c r="BK196" s="432"/>
      <c r="BL196" s="432"/>
      <c r="BM196" s="432"/>
      <c r="BN196" s="432"/>
      <c r="BO196" s="432"/>
    </row>
    <row r="197" spans="45:85" ht="12" hidden="1" x14ac:dyDescent="0.2">
      <c r="AS197" s="432" t="s">
        <v>126</v>
      </c>
      <c r="AT197" s="432"/>
      <c r="AU197" s="432"/>
      <c r="AV197" s="433">
        <f>4000*1</f>
        <v>4000</v>
      </c>
      <c r="AW197" s="433"/>
      <c r="AX197" s="433"/>
      <c r="AY197" s="433"/>
      <c r="AZ197" s="433"/>
      <c r="BA197" s="385" t="s">
        <v>127</v>
      </c>
      <c r="BB197" s="385"/>
      <c r="BC197" s="385"/>
      <c r="BD197" s="385"/>
      <c r="BE197" s="385"/>
      <c r="BF197" s="385"/>
      <c r="BG197" s="385"/>
      <c r="BH197" s="385"/>
    </row>
    <row r="198" spans="45:85" ht="15" hidden="1" x14ac:dyDescent="0.25">
      <c r="AS198" s="434">
        <v>0.6</v>
      </c>
      <c r="AT198" s="432"/>
      <c r="AU198" s="432"/>
      <c r="AV198" s="216">
        <f>AV197*AS198</f>
        <v>2400</v>
      </c>
      <c r="AW198" s="432" t="s">
        <v>128</v>
      </c>
      <c r="AX198" s="432"/>
      <c r="AY198" s="432"/>
      <c r="AZ198" s="432"/>
      <c r="BA198" s="432"/>
      <c r="BB198" s="432" t="s">
        <v>129</v>
      </c>
      <c r="BC198" s="432"/>
      <c r="BD198" s="432"/>
      <c r="BE198" s="432"/>
      <c r="BF198" s="432"/>
      <c r="BG198" s="432"/>
      <c r="BH198" s="432"/>
      <c r="BR198" s="432" t="s">
        <v>368</v>
      </c>
      <c r="BS198" s="443"/>
      <c r="BT198" s="443"/>
      <c r="BU198" s="443"/>
      <c r="BV198" s="443"/>
      <c r="BW198" s="443"/>
      <c r="BZ198" s="432" t="s">
        <v>366</v>
      </c>
      <c r="CA198" s="443"/>
      <c r="CB198" s="443"/>
      <c r="CC198" s="443"/>
      <c r="CD198" s="443"/>
      <c r="CE198" s="443"/>
      <c r="CF198" s="443"/>
      <c r="CG198" s="443"/>
    </row>
    <row r="199" spans="45:85" ht="15" hidden="1" x14ac:dyDescent="0.25">
      <c r="AS199" s="432">
        <v>211</v>
      </c>
      <c r="AT199" s="432"/>
      <c r="AU199" s="432"/>
      <c r="AV199" s="216">
        <f>AV198-AV200</f>
        <v>1843.3179723502303</v>
      </c>
      <c r="AW199" s="435">
        <f>AV199*0.2</f>
        <v>368.66359447004606</v>
      </c>
      <c r="AX199" s="435"/>
      <c r="AY199" s="435"/>
      <c r="AZ199" s="435"/>
      <c r="BA199" s="435"/>
      <c r="BB199" s="436">
        <f>AV199-AW199</f>
        <v>1474.6543778801843</v>
      </c>
      <c r="BC199" s="445"/>
      <c r="BD199" s="445"/>
      <c r="BE199" s="445"/>
      <c r="BF199" s="445"/>
      <c r="BG199" s="445"/>
      <c r="BH199" s="445"/>
      <c r="BR199" s="437">
        <f>AW199*15/20+0.01</f>
        <v>276.50769585253454</v>
      </c>
      <c r="BS199" s="446"/>
      <c r="BT199" s="446"/>
      <c r="BU199" s="446"/>
      <c r="BV199" s="446"/>
      <c r="BW199" s="446"/>
      <c r="BZ199" s="437">
        <f>AW199*5/20-0.01</f>
        <v>92.155898617511511</v>
      </c>
      <c r="CA199" s="446"/>
      <c r="CB199" s="446"/>
      <c r="CC199" s="446"/>
      <c r="CD199" s="446"/>
      <c r="CE199" s="446"/>
      <c r="CF199" s="446"/>
      <c r="CG199" s="446"/>
    </row>
    <row r="200" spans="45:85" ht="12" hidden="1" x14ac:dyDescent="0.2">
      <c r="AS200" s="432">
        <v>213</v>
      </c>
      <c r="AT200" s="432"/>
      <c r="AU200" s="432"/>
      <c r="AV200" s="216">
        <f>AV198*30.2/130.2</f>
        <v>556.68202764976968</v>
      </c>
      <c r="AW200" s="435">
        <f>AW199*30.2%</f>
        <v>111.33640552995391</v>
      </c>
      <c r="AX200" s="435"/>
      <c r="AY200" s="435"/>
      <c r="AZ200" s="435"/>
      <c r="BA200" s="435"/>
      <c r="BB200" s="435">
        <f>BB199*30.2%</f>
        <v>445.34562211981563</v>
      </c>
      <c r="BC200" s="435"/>
      <c r="BD200" s="435"/>
      <c r="BE200" s="435"/>
      <c r="BF200" s="435"/>
      <c r="BG200" s="435"/>
      <c r="BH200" s="435"/>
    </row>
    <row r="201" spans="45:85" ht="8.25" hidden="1" customHeight="1" x14ac:dyDescent="0.2"/>
    <row r="202" spans="45:85" ht="8.25" hidden="1" customHeight="1" x14ac:dyDescent="0.2"/>
    <row r="203" spans="45:85" ht="12" x14ac:dyDescent="0.2"/>
    <row r="204" spans="45:85" ht="12" hidden="1" x14ac:dyDescent="0.2">
      <c r="AS204" s="432" t="s">
        <v>646</v>
      </c>
      <c r="AT204" s="432"/>
      <c r="AU204" s="432"/>
      <c r="AV204" s="432"/>
      <c r="AW204" s="432"/>
      <c r="AX204" s="432"/>
      <c r="AY204" s="432"/>
      <c r="AZ204" s="432"/>
      <c r="BA204" s="432"/>
      <c r="BB204" s="432"/>
      <c r="BC204" s="432"/>
      <c r="BD204" s="432"/>
      <c r="BE204" s="432"/>
      <c r="BF204" s="432"/>
      <c r="BG204" s="432"/>
      <c r="BH204" s="432"/>
      <c r="BI204" s="432"/>
      <c r="BJ204" s="432"/>
      <c r="BK204" s="432"/>
      <c r="BL204" s="432"/>
      <c r="BM204" s="432"/>
      <c r="BN204" s="432"/>
      <c r="BO204" s="432"/>
    </row>
    <row r="205" spans="45:85" ht="12" hidden="1" x14ac:dyDescent="0.2">
      <c r="AS205" s="432" t="s">
        <v>126</v>
      </c>
      <c r="AT205" s="432"/>
      <c r="AU205" s="432"/>
      <c r="AV205" s="433">
        <f>4000*1</f>
        <v>4000</v>
      </c>
      <c r="AW205" s="433"/>
      <c r="AX205" s="433"/>
      <c r="AY205" s="433"/>
      <c r="AZ205" s="433"/>
      <c r="BA205" s="385" t="s">
        <v>127</v>
      </c>
      <c r="BB205" s="385"/>
      <c r="BC205" s="385"/>
      <c r="BD205" s="385"/>
      <c r="BE205" s="385"/>
      <c r="BF205" s="385"/>
      <c r="BG205" s="385"/>
      <c r="BH205" s="385"/>
    </row>
    <row r="206" spans="45:85" ht="15" hidden="1" x14ac:dyDescent="0.25">
      <c r="AS206" s="434">
        <v>0.6</v>
      </c>
      <c r="AT206" s="432"/>
      <c r="AU206" s="432"/>
      <c r="AV206" s="216">
        <f>AV205*AS206</f>
        <v>2400</v>
      </c>
      <c r="AW206" s="432" t="s">
        <v>128</v>
      </c>
      <c r="AX206" s="432"/>
      <c r="AY206" s="432"/>
      <c r="AZ206" s="432"/>
      <c r="BA206" s="432"/>
      <c r="BB206" s="432" t="s">
        <v>129</v>
      </c>
      <c r="BC206" s="432"/>
      <c r="BD206" s="432"/>
      <c r="BE206" s="432"/>
      <c r="BF206" s="432"/>
      <c r="BG206" s="432"/>
      <c r="BH206" s="432"/>
      <c r="BR206" s="432" t="s">
        <v>368</v>
      </c>
      <c r="BS206" s="443"/>
      <c r="BT206" s="443"/>
      <c r="BU206" s="443"/>
      <c r="BV206" s="443"/>
      <c r="BW206" s="443"/>
      <c r="BZ206" s="432" t="s">
        <v>366</v>
      </c>
      <c r="CA206" s="443"/>
      <c r="CB206" s="443"/>
      <c r="CC206" s="443"/>
      <c r="CD206" s="443"/>
      <c r="CE206" s="443"/>
      <c r="CF206" s="443"/>
      <c r="CG206" s="443"/>
    </row>
    <row r="207" spans="45:85" ht="15" hidden="1" x14ac:dyDescent="0.25">
      <c r="AS207" s="432">
        <v>211</v>
      </c>
      <c r="AT207" s="432"/>
      <c r="AU207" s="432"/>
      <c r="AV207" s="216">
        <f>AV206-AV208</f>
        <v>1843.3179723502303</v>
      </c>
      <c r="AW207" s="435">
        <f>AV207*0.2</f>
        <v>368.66359447004606</v>
      </c>
      <c r="AX207" s="435"/>
      <c r="AY207" s="435"/>
      <c r="AZ207" s="435"/>
      <c r="BA207" s="435"/>
      <c r="BB207" s="436">
        <f>AV207-AW207</f>
        <v>1474.6543778801843</v>
      </c>
      <c r="BC207" s="445"/>
      <c r="BD207" s="445"/>
      <c r="BE207" s="445"/>
      <c r="BF207" s="445"/>
      <c r="BG207" s="445"/>
      <c r="BH207" s="445"/>
      <c r="BR207" s="437">
        <f>AW207*15/20+0.01</f>
        <v>276.50769585253454</v>
      </c>
      <c r="BS207" s="446"/>
      <c r="BT207" s="446"/>
      <c r="BU207" s="446"/>
      <c r="BV207" s="446"/>
      <c r="BW207" s="446"/>
      <c r="BZ207" s="437">
        <f>AW207*5/20-0.01</f>
        <v>92.155898617511511</v>
      </c>
      <c r="CA207" s="446"/>
      <c r="CB207" s="446"/>
      <c r="CC207" s="446"/>
      <c r="CD207" s="446"/>
      <c r="CE207" s="446"/>
      <c r="CF207" s="446"/>
      <c r="CG207" s="446"/>
    </row>
    <row r="208" spans="45:85" ht="12" hidden="1" x14ac:dyDescent="0.2">
      <c r="AS208" s="432">
        <v>213</v>
      </c>
      <c r="AT208" s="432"/>
      <c r="AU208" s="432"/>
      <c r="AV208" s="216">
        <f>AV206*30.2/130.2</f>
        <v>556.68202764976968</v>
      </c>
      <c r="AW208" s="435">
        <f>AW207*30.2%</f>
        <v>111.33640552995391</v>
      </c>
      <c r="AX208" s="435"/>
      <c r="AY208" s="435"/>
      <c r="AZ208" s="435"/>
      <c r="BA208" s="435"/>
      <c r="BB208" s="435">
        <f>BB207*30.2%</f>
        <v>445.34562211981563</v>
      </c>
      <c r="BC208" s="435"/>
      <c r="BD208" s="435"/>
      <c r="BE208" s="435"/>
      <c r="BF208" s="435"/>
      <c r="BG208" s="435"/>
      <c r="BH208" s="435"/>
    </row>
    <row r="209" spans="45:85" ht="8.25" hidden="1" customHeight="1" x14ac:dyDescent="0.2"/>
    <row r="211" spans="45:85" ht="12" x14ac:dyDescent="0.2">
      <c r="AS211" s="432" t="s">
        <v>671</v>
      </c>
      <c r="AT211" s="432"/>
      <c r="AU211" s="432"/>
      <c r="AV211" s="432"/>
      <c r="AW211" s="432"/>
      <c r="AX211" s="432"/>
      <c r="AY211" s="432"/>
      <c r="AZ211" s="432"/>
      <c r="BA211" s="432"/>
      <c r="BB211" s="432"/>
      <c r="BC211" s="432"/>
      <c r="BD211" s="432"/>
      <c r="BE211" s="432"/>
      <c r="BF211" s="432"/>
      <c r="BG211" s="432"/>
      <c r="BH211" s="432"/>
      <c r="BI211" s="432"/>
      <c r="BJ211" s="432"/>
      <c r="BK211" s="432"/>
      <c r="BL211" s="432"/>
      <c r="BM211" s="432"/>
      <c r="BN211" s="432"/>
      <c r="BO211" s="432"/>
    </row>
    <row r="212" spans="45:85" ht="12" x14ac:dyDescent="0.2">
      <c r="AS212" s="432" t="s">
        <v>126</v>
      </c>
      <c r="AT212" s="432"/>
      <c r="AU212" s="432"/>
      <c r="AV212" s="433">
        <f>4000*1</f>
        <v>4000</v>
      </c>
      <c r="AW212" s="433"/>
      <c r="AX212" s="433"/>
      <c r="AY212" s="433"/>
      <c r="AZ212" s="433"/>
      <c r="BA212" s="395" t="s">
        <v>127</v>
      </c>
      <c r="BB212" s="395"/>
      <c r="BC212" s="395"/>
      <c r="BD212" s="395"/>
      <c r="BE212" s="395"/>
      <c r="BF212" s="395"/>
      <c r="BG212" s="395"/>
      <c r="BH212" s="395"/>
    </row>
    <row r="213" spans="45:85" ht="15" x14ac:dyDescent="0.25">
      <c r="AS213" s="434">
        <v>0.6</v>
      </c>
      <c r="AT213" s="432"/>
      <c r="AU213" s="432"/>
      <c r="AV213" s="216">
        <f>AV212*AS213</f>
        <v>2400</v>
      </c>
      <c r="AW213" s="432" t="s">
        <v>128</v>
      </c>
      <c r="AX213" s="432"/>
      <c r="AY213" s="432"/>
      <c r="AZ213" s="432"/>
      <c r="BA213" s="432"/>
      <c r="BB213" s="432" t="s">
        <v>129</v>
      </c>
      <c r="BC213" s="432"/>
      <c r="BD213" s="432"/>
      <c r="BE213" s="432"/>
      <c r="BF213" s="432"/>
      <c r="BG213" s="432"/>
      <c r="BH213" s="432"/>
      <c r="BR213" s="432" t="s">
        <v>368</v>
      </c>
      <c r="BS213" s="443"/>
      <c r="BT213" s="443"/>
      <c r="BU213" s="443"/>
      <c r="BV213" s="443"/>
      <c r="BW213" s="443"/>
      <c r="BZ213" s="432" t="s">
        <v>366</v>
      </c>
      <c r="CA213" s="443"/>
      <c r="CB213" s="443"/>
      <c r="CC213" s="443"/>
      <c r="CD213" s="443"/>
      <c r="CE213" s="443"/>
      <c r="CF213" s="443"/>
      <c r="CG213" s="443"/>
    </row>
    <row r="214" spans="45:85" ht="15" x14ac:dyDescent="0.25">
      <c r="AS214" s="432">
        <v>211</v>
      </c>
      <c r="AT214" s="432"/>
      <c r="AU214" s="432"/>
      <c r="AV214" s="216">
        <f>AV213-AV215</f>
        <v>1843.3179723502303</v>
      </c>
      <c r="AW214" s="435">
        <f>AV214*0.2</f>
        <v>368.66359447004606</v>
      </c>
      <c r="AX214" s="435"/>
      <c r="AY214" s="435"/>
      <c r="AZ214" s="435"/>
      <c r="BA214" s="435"/>
      <c r="BB214" s="436">
        <f>AV214-AW214</f>
        <v>1474.6543778801843</v>
      </c>
      <c r="BC214" s="445"/>
      <c r="BD214" s="445"/>
      <c r="BE214" s="445"/>
      <c r="BF214" s="445"/>
      <c r="BG214" s="445"/>
      <c r="BH214" s="445"/>
      <c r="BR214" s="437">
        <f>AW214*15/20+0.01</f>
        <v>276.50769585253454</v>
      </c>
      <c r="BS214" s="446"/>
      <c r="BT214" s="446"/>
      <c r="BU214" s="446"/>
      <c r="BV214" s="446"/>
      <c r="BW214" s="446"/>
      <c r="BZ214" s="437">
        <f>AW214*5/20-0.01</f>
        <v>92.155898617511511</v>
      </c>
      <c r="CA214" s="446"/>
      <c r="CB214" s="446"/>
      <c r="CC214" s="446"/>
      <c r="CD214" s="446"/>
      <c r="CE214" s="446"/>
      <c r="CF214" s="446"/>
      <c r="CG214" s="446"/>
    </row>
    <row r="215" spans="45:85" ht="12" x14ac:dyDescent="0.2">
      <c r="AS215" s="432">
        <v>213</v>
      </c>
      <c r="AT215" s="432"/>
      <c r="AU215" s="432"/>
      <c r="AV215" s="216">
        <f>AV213*30.2/130.2</f>
        <v>556.68202764976968</v>
      </c>
      <c r="AW215" s="435">
        <f>AW214*30.2%</f>
        <v>111.33640552995391</v>
      </c>
      <c r="AX215" s="435"/>
      <c r="AY215" s="435"/>
      <c r="AZ215" s="435"/>
      <c r="BA215" s="435"/>
      <c r="BB215" s="435">
        <f>BB214*30.2%</f>
        <v>445.34562211981563</v>
      </c>
      <c r="BC215" s="435"/>
      <c r="BD215" s="435"/>
      <c r="BE215" s="435"/>
      <c r="BF215" s="435"/>
      <c r="BG215" s="435"/>
      <c r="BH215" s="435"/>
    </row>
    <row r="219" spans="45:85" ht="12" x14ac:dyDescent="0.2">
      <c r="AS219" s="432" t="s">
        <v>672</v>
      </c>
      <c r="AT219" s="432"/>
      <c r="AU219" s="432"/>
      <c r="AV219" s="432"/>
      <c r="AW219" s="432"/>
      <c r="AX219" s="432"/>
      <c r="AY219" s="432"/>
      <c r="AZ219" s="432"/>
      <c r="BA219" s="432"/>
      <c r="BB219" s="432"/>
      <c r="BC219" s="432"/>
      <c r="BD219" s="432"/>
      <c r="BE219" s="432"/>
      <c r="BF219" s="432"/>
      <c r="BG219" s="432"/>
      <c r="BH219" s="432"/>
      <c r="BI219" s="432"/>
      <c r="BJ219" s="432"/>
      <c r="BK219" s="432"/>
      <c r="BL219" s="432"/>
      <c r="BM219" s="432"/>
      <c r="BN219" s="432"/>
      <c r="BO219" s="432"/>
    </row>
    <row r="220" spans="45:85" ht="12" x14ac:dyDescent="0.2">
      <c r="AS220" s="432" t="s">
        <v>126</v>
      </c>
      <c r="AT220" s="432"/>
      <c r="AU220" s="432"/>
      <c r="AV220" s="433">
        <f>4000*1</f>
        <v>4000</v>
      </c>
      <c r="AW220" s="433"/>
      <c r="AX220" s="433"/>
      <c r="AY220" s="433"/>
      <c r="AZ220" s="433"/>
      <c r="BA220" s="396" t="s">
        <v>127</v>
      </c>
      <c r="BB220" s="396"/>
      <c r="BC220" s="396"/>
      <c r="BD220" s="396"/>
      <c r="BE220" s="396"/>
      <c r="BF220" s="396"/>
      <c r="BG220" s="396"/>
      <c r="BH220" s="396"/>
    </row>
    <row r="221" spans="45:85" ht="15" x14ac:dyDescent="0.25">
      <c r="AS221" s="434">
        <v>0.6</v>
      </c>
      <c r="AT221" s="432"/>
      <c r="AU221" s="432"/>
      <c r="AV221" s="216">
        <f>AV220*AS221</f>
        <v>2400</v>
      </c>
      <c r="AW221" s="432" t="s">
        <v>128</v>
      </c>
      <c r="AX221" s="432"/>
      <c r="AY221" s="432"/>
      <c r="AZ221" s="432"/>
      <c r="BA221" s="432"/>
      <c r="BB221" s="432" t="s">
        <v>129</v>
      </c>
      <c r="BC221" s="432"/>
      <c r="BD221" s="432"/>
      <c r="BE221" s="432"/>
      <c r="BF221" s="432"/>
      <c r="BG221" s="432"/>
      <c r="BH221" s="432"/>
      <c r="BR221" s="432" t="s">
        <v>368</v>
      </c>
      <c r="BS221" s="443"/>
      <c r="BT221" s="443"/>
      <c r="BU221" s="443"/>
      <c r="BV221" s="443"/>
      <c r="BW221" s="443"/>
      <c r="BZ221" s="432" t="s">
        <v>366</v>
      </c>
      <c r="CA221" s="443"/>
      <c r="CB221" s="443"/>
      <c r="CC221" s="443"/>
      <c r="CD221" s="443"/>
      <c r="CE221" s="443"/>
      <c r="CF221" s="443"/>
      <c r="CG221" s="443"/>
    </row>
    <row r="222" spans="45:85" ht="15" x14ac:dyDescent="0.25">
      <c r="AS222" s="432">
        <v>211</v>
      </c>
      <c r="AT222" s="432"/>
      <c r="AU222" s="432"/>
      <c r="AV222" s="216">
        <f>AV221-AV223</f>
        <v>1843.3179723502303</v>
      </c>
      <c r="AW222" s="435">
        <f>AV222*0.2</f>
        <v>368.66359447004606</v>
      </c>
      <c r="AX222" s="435"/>
      <c r="AY222" s="435"/>
      <c r="AZ222" s="435"/>
      <c r="BA222" s="435"/>
      <c r="BB222" s="436">
        <f>AV222-AW222</f>
        <v>1474.6543778801843</v>
      </c>
      <c r="BC222" s="445"/>
      <c r="BD222" s="445"/>
      <c r="BE222" s="445"/>
      <c r="BF222" s="445"/>
      <c r="BG222" s="445"/>
      <c r="BH222" s="445"/>
      <c r="BR222" s="437">
        <f>AW222*15/20+0.01</f>
        <v>276.50769585253454</v>
      </c>
      <c r="BS222" s="446"/>
      <c r="BT222" s="446"/>
      <c r="BU222" s="446"/>
      <c r="BV222" s="446"/>
      <c r="BW222" s="446"/>
      <c r="BZ222" s="437">
        <f>AW222*5/20-0.01</f>
        <v>92.155898617511511</v>
      </c>
      <c r="CA222" s="446"/>
      <c r="CB222" s="446"/>
      <c r="CC222" s="446"/>
      <c r="CD222" s="446"/>
      <c r="CE222" s="446"/>
      <c r="CF222" s="446"/>
      <c r="CG222" s="446"/>
    </row>
    <row r="223" spans="45:85" ht="12" x14ac:dyDescent="0.2">
      <c r="AS223" s="432">
        <v>213</v>
      </c>
      <c r="AT223" s="432"/>
      <c r="AU223" s="432"/>
      <c r="AV223" s="216">
        <f>AV221*30.2/130.2</f>
        <v>556.68202764976968</v>
      </c>
      <c r="AW223" s="435">
        <f>AW222*30.2%</f>
        <v>111.33640552995391</v>
      </c>
      <c r="AX223" s="435"/>
      <c r="AY223" s="435"/>
      <c r="AZ223" s="435"/>
      <c r="BA223" s="435"/>
      <c r="BB223" s="435">
        <f>BB222*30.2%</f>
        <v>445.34562211981563</v>
      </c>
      <c r="BC223" s="435"/>
      <c r="BD223" s="435"/>
      <c r="BE223" s="435"/>
      <c r="BF223" s="435"/>
      <c r="BG223" s="435"/>
      <c r="BH223" s="435"/>
    </row>
    <row r="227" spans="45:85" ht="12" x14ac:dyDescent="0.2">
      <c r="AS227" s="432" t="s">
        <v>673</v>
      </c>
      <c r="AT227" s="432"/>
      <c r="AU227" s="432"/>
      <c r="AV227" s="432"/>
      <c r="AW227" s="432"/>
      <c r="AX227" s="432"/>
      <c r="AY227" s="432"/>
      <c r="AZ227" s="432"/>
      <c r="BA227" s="432"/>
      <c r="BB227" s="432"/>
      <c r="BC227" s="432"/>
      <c r="BD227" s="432"/>
      <c r="BE227" s="432"/>
      <c r="BF227" s="432"/>
      <c r="BG227" s="432"/>
      <c r="BH227" s="432"/>
      <c r="BI227" s="432"/>
      <c r="BJ227" s="432"/>
      <c r="BK227" s="432"/>
      <c r="BL227" s="432"/>
      <c r="BM227" s="432"/>
      <c r="BN227" s="432"/>
      <c r="BO227" s="432"/>
    </row>
    <row r="228" spans="45:85" ht="12" x14ac:dyDescent="0.2">
      <c r="AS228" s="432" t="s">
        <v>126</v>
      </c>
      <c r="AT228" s="432"/>
      <c r="AU228" s="432"/>
      <c r="AV228" s="433">
        <f>4000*1</f>
        <v>4000</v>
      </c>
      <c r="AW228" s="433"/>
      <c r="AX228" s="433"/>
      <c r="AY228" s="433"/>
      <c r="AZ228" s="433"/>
      <c r="BA228" s="396" t="s">
        <v>127</v>
      </c>
      <c r="BB228" s="396"/>
      <c r="BC228" s="396"/>
      <c r="BD228" s="396"/>
      <c r="BE228" s="396"/>
      <c r="BF228" s="396"/>
      <c r="BG228" s="396"/>
      <c r="BH228" s="396"/>
    </row>
    <row r="229" spans="45:85" ht="15" x14ac:dyDescent="0.25">
      <c r="AS229" s="434">
        <v>0.6</v>
      </c>
      <c r="AT229" s="432"/>
      <c r="AU229" s="432"/>
      <c r="AV229" s="216">
        <f>AV228*AS229</f>
        <v>2400</v>
      </c>
      <c r="AW229" s="432" t="s">
        <v>128</v>
      </c>
      <c r="AX229" s="432"/>
      <c r="AY229" s="432"/>
      <c r="AZ229" s="432"/>
      <c r="BA229" s="432"/>
      <c r="BB229" s="432" t="s">
        <v>129</v>
      </c>
      <c r="BC229" s="432"/>
      <c r="BD229" s="432"/>
      <c r="BE229" s="432"/>
      <c r="BF229" s="432"/>
      <c r="BG229" s="432"/>
      <c r="BH229" s="432"/>
      <c r="BR229" s="432" t="s">
        <v>368</v>
      </c>
      <c r="BS229" s="443"/>
      <c r="BT229" s="443"/>
      <c r="BU229" s="443"/>
      <c r="BV229" s="443"/>
      <c r="BW229" s="443"/>
      <c r="BZ229" s="432" t="s">
        <v>366</v>
      </c>
      <c r="CA229" s="443"/>
      <c r="CB229" s="443"/>
      <c r="CC229" s="443"/>
      <c r="CD229" s="443"/>
      <c r="CE229" s="443"/>
      <c r="CF229" s="443"/>
      <c r="CG229" s="443"/>
    </row>
    <row r="230" spans="45:85" ht="15" x14ac:dyDescent="0.25">
      <c r="AS230" s="432">
        <v>211</v>
      </c>
      <c r="AT230" s="432"/>
      <c r="AU230" s="432"/>
      <c r="AV230" s="216">
        <f>AV229-AV231</f>
        <v>1843.3179723502303</v>
      </c>
      <c r="AW230" s="435">
        <f>AV230*0.2</f>
        <v>368.66359447004606</v>
      </c>
      <c r="AX230" s="435"/>
      <c r="AY230" s="435"/>
      <c r="AZ230" s="435"/>
      <c r="BA230" s="435"/>
      <c r="BB230" s="436">
        <f>AV230-AW230</f>
        <v>1474.6543778801843</v>
      </c>
      <c r="BC230" s="445"/>
      <c r="BD230" s="445"/>
      <c r="BE230" s="445"/>
      <c r="BF230" s="445"/>
      <c r="BG230" s="445"/>
      <c r="BH230" s="445"/>
      <c r="BR230" s="437">
        <f>AW230*15/20+0.01</f>
        <v>276.50769585253454</v>
      </c>
      <c r="BS230" s="446"/>
      <c r="BT230" s="446"/>
      <c r="BU230" s="446"/>
      <c r="BV230" s="446"/>
      <c r="BW230" s="446"/>
      <c r="BZ230" s="437">
        <f>AW230*5/20-0.01</f>
        <v>92.155898617511511</v>
      </c>
      <c r="CA230" s="446"/>
      <c r="CB230" s="446"/>
      <c r="CC230" s="446"/>
      <c r="CD230" s="446"/>
      <c r="CE230" s="446"/>
      <c r="CF230" s="446"/>
      <c r="CG230" s="446"/>
    </row>
    <row r="231" spans="45:85" ht="12" x14ac:dyDescent="0.2">
      <c r="AS231" s="432">
        <v>213</v>
      </c>
      <c r="AT231" s="432"/>
      <c r="AU231" s="432"/>
      <c r="AV231" s="216">
        <f>AV229*30.2/130.2</f>
        <v>556.68202764976968</v>
      </c>
      <c r="AW231" s="435">
        <f>AW230*30.2%</f>
        <v>111.33640552995391</v>
      </c>
      <c r="AX231" s="435"/>
      <c r="AY231" s="435"/>
      <c r="AZ231" s="435"/>
      <c r="BA231" s="435"/>
      <c r="BB231" s="435">
        <f>BB230*30.2%</f>
        <v>445.34562211981563</v>
      </c>
      <c r="BC231" s="435"/>
      <c r="BD231" s="435"/>
      <c r="BE231" s="435"/>
      <c r="BF231" s="435"/>
      <c r="BG231" s="435"/>
      <c r="BH231" s="435"/>
    </row>
    <row r="235" spans="45:85" ht="12" x14ac:dyDescent="0.2">
      <c r="AS235" s="432" t="s">
        <v>674</v>
      </c>
      <c r="AT235" s="432"/>
      <c r="AU235" s="432"/>
      <c r="AV235" s="432"/>
      <c r="AW235" s="432"/>
      <c r="AX235" s="432"/>
      <c r="AY235" s="432"/>
      <c r="AZ235" s="432"/>
      <c r="BA235" s="432"/>
      <c r="BB235" s="432"/>
      <c r="BC235" s="432"/>
      <c r="BD235" s="432"/>
      <c r="BE235" s="432"/>
      <c r="BF235" s="432"/>
      <c r="BG235" s="432"/>
      <c r="BH235" s="432"/>
      <c r="BI235" s="432"/>
      <c r="BJ235" s="432"/>
      <c r="BK235" s="432"/>
      <c r="BL235" s="432"/>
      <c r="BM235" s="432"/>
      <c r="BN235" s="432"/>
      <c r="BO235" s="432"/>
    </row>
    <row r="236" spans="45:85" ht="12" x14ac:dyDescent="0.2">
      <c r="AS236" s="432" t="s">
        <v>126</v>
      </c>
      <c r="AT236" s="432"/>
      <c r="AU236" s="432"/>
      <c r="AV236" s="433">
        <f>4000*1</f>
        <v>4000</v>
      </c>
      <c r="AW236" s="433"/>
      <c r="AX236" s="433"/>
      <c r="AY236" s="433"/>
      <c r="AZ236" s="433"/>
      <c r="BA236" s="397" t="s">
        <v>127</v>
      </c>
      <c r="BB236" s="397"/>
      <c r="BC236" s="397"/>
      <c r="BD236" s="397"/>
      <c r="BE236" s="397"/>
      <c r="BF236" s="397"/>
      <c r="BG236" s="397"/>
      <c r="BH236" s="397"/>
    </row>
    <row r="237" spans="45:85" ht="15" x14ac:dyDescent="0.25">
      <c r="AS237" s="434">
        <v>0.6</v>
      </c>
      <c r="AT237" s="432"/>
      <c r="AU237" s="432"/>
      <c r="AV237" s="216">
        <f>AV236*AS237</f>
        <v>2400</v>
      </c>
      <c r="AW237" s="432" t="s">
        <v>128</v>
      </c>
      <c r="AX237" s="432"/>
      <c r="AY237" s="432"/>
      <c r="AZ237" s="432"/>
      <c r="BA237" s="432"/>
      <c r="BB237" s="432" t="s">
        <v>129</v>
      </c>
      <c r="BC237" s="432"/>
      <c r="BD237" s="432"/>
      <c r="BE237" s="432"/>
      <c r="BF237" s="432"/>
      <c r="BG237" s="432"/>
      <c r="BH237" s="432"/>
      <c r="BR237" s="432" t="s">
        <v>368</v>
      </c>
      <c r="BS237" s="443"/>
      <c r="BT237" s="443"/>
      <c r="BU237" s="443"/>
      <c r="BV237" s="443"/>
      <c r="BW237" s="443"/>
      <c r="BZ237" s="432" t="s">
        <v>366</v>
      </c>
      <c r="CA237" s="443"/>
      <c r="CB237" s="443"/>
      <c r="CC237" s="443"/>
      <c r="CD237" s="443"/>
      <c r="CE237" s="443"/>
      <c r="CF237" s="443"/>
      <c r="CG237" s="443"/>
    </row>
    <row r="238" spans="45:85" ht="15" x14ac:dyDescent="0.25">
      <c r="AS238" s="432">
        <v>211</v>
      </c>
      <c r="AT238" s="432"/>
      <c r="AU238" s="432"/>
      <c r="AV238" s="216">
        <f>AV237-AV239</f>
        <v>1843.3179723502303</v>
      </c>
      <c r="AW238" s="435">
        <f>AV238*0.2</f>
        <v>368.66359447004606</v>
      </c>
      <c r="AX238" s="435"/>
      <c r="AY238" s="435"/>
      <c r="AZ238" s="435"/>
      <c r="BA238" s="435"/>
      <c r="BB238" s="436">
        <f>AV238-AW238</f>
        <v>1474.6543778801843</v>
      </c>
      <c r="BC238" s="445"/>
      <c r="BD238" s="445"/>
      <c r="BE238" s="445"/>
      <c r="BF238" s="445"/>
      <c r="BG238" s="445"/>
      <c r="BH238" s="445"/>
      <c r="BR238" s="437">
        <f>AW238*15/20+0.01</f>
        <v>276.50769585253454</v>
      </c>
      <c r="BS238" s="446"/>
      <c r="BT238" s="446"/>
      <c r="BU238" s="446"/>
      <c r="BV238" s="446"/>
      <c r="BW238" s="446"/>
      <c r="BZ238" s="437">
        <f>AW238*5/20-0.01</f>
        <v>92.155898617511511</v>
      </c>
      <c r="CA238" s="446"/>
      <c r="CB238" s="446"/>
      <c r="CC238" s="446"/>
      <c r="CD238" s="446"/>
      <c r="CE238" s="446"/>
      <c r="CF238" s="446"/>
      <c r="CG238" s="446"/>
    </row>
    <row r="239" spans="45:85" ht="12" x14ac:dyDescent="0.2">
      <c r="AS239" s="432">
        <v>213</v>
      </c>
      <c r="AT239" s="432"/>
      <c r="AU239" s="432"/>
      <c r="AV239" s="216">
        <f>AV237*30.2/130.2</f>
        <v>556.68202764976968</v>
      </c>
      <c r="AW239" s="435">
        <f>AW238*30.2%</f>
        <v>111.33640552995391</v>
      </c>
      <c r="AX239" s="435"/>
      <c r="AY239" s="435"/>
      <c r="AZ239" s="435"/>
      <c r="BA239" s="435"/>
      <c r="BB239" s="435">
        <f>BB238*30.2%</f>
        <v>445.34562211981563</v>
      </c>
      <c r="BC239" s="435"/>
      <c r="BD239" s="435"/>
      <c r="BE239" s="435"/>
      <c r="BF239" s="435"/>
      <c r="BG239" s="435"/>
      <c r="BH239" s="435"/>
    </row>
    <row r="242" spans="45:85" ht="12" x14ac:dyDescent="0.2"/>
    <row r="243" spans="45:85" ht="12" x14ac:dyDescent="0.2">
      <c r="AS243" s="432" t="s">
        <v>682</v>
      </c>
      <c r="AT243" s="432"/>
      <c r="AU243" s="432"/>
      <c r="AV243" s="432"/>
      <c r="AW243" s="432"/>
      <c r="AX243" s="432"/>
      <c r="AY243" s="432"/>
      <c r="AZ243" s="432"/>
      <c r="BA243" s="432"/>
      <c r="BB243" s="432"/>
      <c r="BC243" s="432"/>
      <c r="BD243" s="432"/>
      <c r="BE243" s="432"/>
      <c r="BF243" s="432"/>
      <c r="BG243" s="432"/>
      <c r="BH243" s="432"/>
      <c r="BI243" s="432"/>
      <c r="BJ243" s="432"/>
      <c r="BK243" s="432"/>
      <c r="BL243" s="432"/>
      <c r="BM243" s="432"/>
      <c r="BN243" s="432"/>
      <c r="BO243" s="432"/>
    </row>
    <row r="244" spans="45:85" ht="12" x14ac:dyDescent="0.2">
      <c r="AS244" s="432" t="s">
        <v>126</v>
      </c>
      <c r="AT244" s="432"/>
      <c r="AU244" s="432"/>
      <c r="AV244" s="433">
        <f>4000*2</f>
        <v>8000</v>
      </c>
      <c r="AW244" s="433"/>
      <c r="AX244" s="433"/>
      <c r="AY244" s="433"/>
      <c r="AZ244" s="433"/>
      <c r="BA244" s="398" t="s">
        <v>127</v>
      </c>
      <c r="BB244" s="398"/>
      <c r="BC244" s="398"/>
      <c r="BD244" s="398"/>
      <c r="BE244" s="398"/>
      <c r="BF244" s="398"/>
      <c r="BG244" s="398"/>
      <c r="BH244" s="398"/>
    </row>
    <row r="245" spans="45:85" ht="15" x14ac:dyDescent="0.25">
      <c r="AS245" s="434">
        <v>0.6</v>
      </c>
      <c r="AT245" s="432"/>
      <c r="AU245" s="432"/>
      <c r="AV245" s="216">
        <f>AV244*AS245</f>
        <v>4800</v>
      </c>
      <c r="AW245" s="432" t="s">
        <v>128</v>
      </c>
      <c r="AX245" s="432"/>
      <c r="AY245" s="432"/>
      <c r="AZ245" s="432"/>
      <c r="BA245" s="432"/>
      <c r="BB245" s="432" t="s">
        <v>129</v>
      </c>
      <c r="BC245" s="432"/>
      <c r="BD245" s="432"/>
      <c r="BE245" s="432"/>
      <c r="BF245" s="432"/>
      <c r="BG245" s="432"/>
      <c r="BH245" s="432"/>
      <c r="BR245" s="432" t="s">
        <v>368</v>
      </c>
      <c r="BS245" s="443"/>
      <c r="BT245" s="443"/>
      <c r="BU245" s="443"/>
      <c r="BV245" s="443"/>
      <c r="BW245" s="443"/>
      <c r="BZ245" s="432" t="s">
        <v>366</v>
      </c>
      <c r="CA245" s="443"/>
      <c r="CB245" s="443"/>
      <c r="CC245" s="443"/>
      <c r="CD245" s="443"/>
      <c r="CE245" s="443"/>
      <c r="CF245" s="443"/>
      <c r="CG245" s="443"/>
    </row>
    <row r="246" spans="45:85" ht="15" x14ac:dyDescent="0.25">
      <c r="AS246" s="432">
        <v>211</v>
      </c>
      <c r="AT246" s="432"/>
      <c r="AU246" s="432"/>
      <c r="AV246" s="216">
        <f>AV245-AV247</f>
        <v>3686.6359447004606</v>
      </c>
      <c r="AW246" s="435">
        <f>AV246*0.2</f>
        <v>737.32718894009213</v>
      </c>
      <c r="AX246" s="435"/>
      <c r="AY246" s="435"/>
      <c r="AZ246" s="435"/>
      <c r="BA246" s="435"/>
      <c r="BB246" s="436">
        <f>AV246-AW246</f>
        <v>2949.3087557603685</v>
      </c>
      <c r="BC246" s="445"/>
      <c r="BD246" s="445"/>
      <c r="BE246" s="445"/>
      <c r="BF246" s="445"/>
      <c r="BG246" s="445"/>
      <c r="BH246" s="445"/>
      <c r="BR246" s="437">
        <f>AW246*15/20+0.01</f>
        <v>553.00539170506909</v>
      </c>
      <c r="BS246" s="446"/>
      <c r="BT246" s="446"/>
      <c r="BU246" s="446"/>
      <c r="BV246" s="446"/>
      <c r="BW246" s="446"/>
      <c r="BZ246" s="437">
        <f>AW246*5/20-0.01</f>
        <v>184.32179723502304</v>
      </c>
      <c r="CA246" s="446"/>
      <c r="CB246" s="446"/>
      <c r="CC246" s="446"/>
      <c r="CD246" s="446"/>
      <c r="CE246" s="446"/>
      <c r="CF246" s="446"/>
      <c r="CG246" s="446"/>
    </row>
    <row r="247" spans="45:85" ht="12" x14ac:dyDescent="0.2">
      <c r="AS247" s="432">
        <v>213</v>
      </c>
      <c r="AT247" s="432"/>
      <c r="AU247" s="432"/>
      <c r="AV247" s="216">
        <f>AV245*30.2/130.2</f>
        <v>1113.3640552995394</v>
      </c>
      <c r="AW247" s="435">
        <f>AW246*30.2%</f>
        <v>222.67281105990781</v>
      </c>
      <c r="AX247" s="435"/>
      <c r="AY247" s="435"/>
      <c r="AZ247" s="435"/>
      <c r="BA247" s="435"/>
      <c r="BB247" s="435">
        <f>BB246*30.2%</f>
        <v>890.69124423963126</v>
      </c>
      <c r="BC247" s="435"/>
      <c r="BD247" s="435"/>
      <c r="BE247" s="435"/>
      <c r="BF247" s="435"/>
      <c r="BG247" s="435"/>
      <c r="BH247" s="435"/>
    </row>
  </sheetData>
  <mergeCells count="579">
    <mergeCell ref="AS219:BO219"/>
    <mergeCell ref="AS220:AU220"/>
    <mergeCell ref="AV220:AZ220"/>
    <mergeCell ref="AS221:AU221"/>
    <mergeCell ref="AW221:BA221"/>
    <mergeCell ref="BB221:BH221"/>
    <mergeCell ref="BR221:BW221"/>
    <mergeCell ref="AS239:AU239"/>
    <mergeCell ref="AW239:BA239"/>
    <mergeCell ref="BB239:BH239"/>
    <mergeCell ref="AS235:BO235"/>
    <mergeCell ref="AS236:AU236"/>
    <mergeCell ref="AV236:AZ236"/>
    <mergeCell ref="AS237:AU237"/>
    <mergeCell ref="AW237:BA237"/>
    <mergeCell ref="BB237:BH237"/>
    <mergeCell ref="AS227:BO227"/>
    <mergeCell ref="AS228:AU228"/>
    <mergeCell ref="AV228:AZ228"/>
    <mergeCell ref="AS229:AU229"/>
    <mergeCell ref="AW229:BA229"/>
    <mergeCell ref="BB229:BH229"/>
    <mergeCell ref="BR229:BW229"/>
    <mergeCell ref="BR213:BW213"/>
    <mergeCell ref="BZ213:CG213"/>
    <mergeCell ref="AS214:AU214"/>
    <mergeCell ref="AW214:BA214"/>
    <mergeCell ref="BB214:BH214"/>
    <mergeCell ref="BR214:BW214"/>
    <mergeCell ref="BZ214:CG214"/>
    <mergeCell ref="AS215:AU215"/>
    <mergeCell ref="AW215:BA215"/>
    <mergeCell ref="BB215:BH215"/>
    <mergeCell ref="AS200:AU200"/>
    <mergeCell ref="AW200:BA200"/>
    <mergeCell ref="BB200:BH200"/>
    <mergeCell ref="AS204:BO204"/>
    <mergeCell ref="AS205:AU205"/>
    <mergeCell ref="AV205:AZ205"/>
    <mergeCell ref="AS206:AU206"/>
    <mergeCell ref="AW206:BA206"/>
    <mergeCell ref="BB206:BH206"/>
    <mergeCell ref="AS211:BO211"/>
    <mergeCell ref="AS212:AU212"/>
    <mergeCell ref="AV212:AZ212"/>
    <mergeCell ref="AS213:AU213"/>
    <mergeCell ref="AW213:BA213"/>
    <mergeCell ref="BB213:BH213"/>
    <mergeCell ref="AS208:AU208"/>
    <mergeCell ref="AW208:BA208"/>
    <mergeCell ref="BB208:BH208"/>
    <mergeCell ref="BR190:BW190"/>
    <mergeCell ref="BZ190:CG190"/>
    <mergeCell ref="AS191:AU191"/>
    <mergeCell ref="AW191:BA191"/>
    <mergeCell ref="BB191:BH191"/>
    <mergeCell ref="BR191:BW191"/>
    <mergeCell ref="BZ191:CG191"/>
    <mergeCell ref="AS192:AU192"/>
    <mergeCell ref="AW192:BA192"/>
    <mergeCell ref="BB192:BH192"/>
    <mergeCell ref="AS184:AU184"/>
    <mergeCell ref="AW184:BA184"/>
    <mergeCell ref="BB184:BH184"/>
    <mergeCell ref="AS188:BO188"/>
    <mergeCell ref="AS189:AU189"/>
    <mergeCell ref="AV189:AZ189"/>
    <mergeCell ref="AS190:AU190"/>
    <mergeCell ref="AW190:BA190"/>
    <mergeCell ref="BB190:BH190"/>
    <mergeCell ref="BR159:BW159"/>
    <mergeCell ref="BZ159:CG159"/>
    <mergeCell ref="AS160:AU160"/>
    <mergeCell ref="AW160:BA160"/>
    <mergeCell ref="BB160:BH160"/>
    <mergeCell ref="BR160:BW160"/>
    <mergeCell ref="BZ160:CG160"/>
    <mergeCell ref="AS161:AU161"/>
    <mergeCell ref="AS183:AU183"/>
    <mergeCell ref="AW183:BA183"/>
    <mergeCell ref="BB183:BH183"/>
    <mergeCell ref="BR183:BW183"/>
    <mergeCell ref="BZ183:CG183"/>
    <mergeCell ref="AS180:BO180"/>
    <mergeCell ref="AS181:AU181"/>
    <mergeCell ref="AV181:AZ181"/>
    <mergeCell ref="AS182:AU182"/>
    <mergeCell ref="AW182:BA182"/>
    <mergeCell ref="BB182:BH182"/>
    <mergeCell ref="BR182:BW182"/>
    <mergeCell ref="BZ182:CG182"/>
    <mergeCell ref="BR166:BW166"/>
    <mergeCell ref="BZ166:CG166"/>
    <mergeCell ref="AS167:AU167"/>
    <mergeCell ref="AW167:BA167"/>
    <mergeCell ref="BB167:BH167"/>
    <mergeCell ref="BR167:BW167"/>
    <mergeCell ref="BZ167:CG167"/>
    <mergeCell ref="AW159:BA159"/>
    <mergeCell ref="A7:BA7"/>
    <mergeCell ref="A8:BA8"/>
    <mergeCell ref="Y16:AA16"/>
    <mergeCell ref="C10:E10"/>
    <mergeCell ref="G10:L10"/>
    <mergeCell ref="N10:Q10"/>
    <mergeCell ref="A20:G22"/>
    <mergeCell ref="H20:AB22"/>
    <mergeCell ref="AC20:AG22"/>
    <mergeCell ref="AH20:AM22"/>
    <mergeCell ref="AN20:AR22"/>
    <mergeCell ref="AS20:AW22"/>
    <mergeCell ref="AX20:BB22"/>
    <mergeCell ref="AH10:AI10"/>
    <mergeCell ref="AJ10:AL10"/>
    <mergeCell ref="AN10:AT10"/>
    <mergeCell ref="AV10:AY10"/>
    <mergeCell ref="A12:S12"/>
    <mergeCell ref="U12:W12"/>
    <mergeCell ref="A14:S14"/>
    <mergeCell ref="AX19:BB19"/>
    <mergeCell ref="U14:W14"/>
    <mergeCell ref="A16:S16"/>
    <mergeCell ref="U16:W16"/>
    <mergeCell ref="U10:AG10"/>
    <mergeCell ref="AX37:BB39"/>
    <mergeCell ref="A40:BB40"/>
    <mergeCell ref="A37:G39"/>
    <mergeCell ref="H37:AB39"/>
    <mergeCell ref="AC37:AG39"/>
    <mergeCell ref="AH37:AM39"/>
    <mergeCell ref="AN37:AR39"/>
    <mergeCell ref="AS37:AW39"/>
    <mergeCell ref="AO35:AR35"/>
    <mergeCell ref="AS35:AW35"/>
    <mergeCell ref="AX35:BB35"/>
    <mergeCell ref="H34:M34"/>
    <mergeCell ref="AS34:AW34"/>
    <mergeCell ref="AX34:BB34"/>
    <mergeCell ref="A23:BB23"/>
    <mergeCell ref="A24:G25"/>
    <mergeCell ref="H24:Y33"/>
    <mergeCell ref="Z24:AB33"/>
    <mergeCell ref="AC24:AG33"/>
    <mergeCell ref="AH24:AM33"/>
    <mergeCell ref="AN24:AR33"/>
    <mergeCell ref="AS24:AW33"/>
    <mergeCell ref="AX24:BB33"/>
    <mergeCell ref="A26:G33"/>
    <mergeCell ref="A41:G50"/>
    <mergeCell ref="H41:Y50"/>
    <mergeCell ref="Z41:AB50"/>
    <mergeCell ref="AC41:AG50"/>
    <mergeCell ref="AH41:AM50"/>
    <mergeCell ref="AN41:AR50"/>
    <mergeCell ref="AS41:AW50"/>
    <mergeCell ref="AX41:BB50"/>
    <mergeCell ref="H51:K51"/>
    <mergeCell ref="AS51:AW51"/>
    <mergeCell ref="AX51:BB51"/>
    <mergeCell ref="AO52:AR52"/>
    <mergeCell ref="AS52:AW52"/>
    <mergeCell ref="AX52:BB52"/>
    <mergeCell ref="AX54:BB56"/>
    <mergeCell ref="A57:BB57"/>
    <mergeCell ref="A58:G62"/>
    <mergeCell ref="AC58:AG62"/>
    <mergeCell ref="AH58:AM62"/>
    <mergeCell ref="AN58:AR62"/>
    <mergeCell ref="AS58:AW62"/>
    <mergeCell ref="AX58:BB62"/>
    <mergeCell ref="H59:M59"/>
    <mergeCell ref="N59:P59"/>
    <mergeCell ref="A54:G56"/>
    <mergeCell ref="H54:AB56"/>
    <mergeCell ref="AC54:AG56"/>
    <mergeCell ref="AH54:AM56"/>
    <mergeCell ref="AN54:AR56"/>
    <mergeCell ref="AS54:AW56"/>
    <mergeCell ref="AX63:BB67"/>
    <mergeCell ref="H64:M64"/>
    <mergeCell ref="N64:P64"/>
    <mergeCell ref="R64:V64"/>
    <mergeCell ref="I66:K66"/>
    <mergeCell ref="R59:V59"/>
    <mergeCell ref="Z61:AB61"/>
    <mergeCell ref="M66:O66"/>
    <mergeCell ref="Q66:S66"/>
    <mergeCell ref="U66:W66"/>
    <mergeCell ref="Z66:AB66"/>
    <mergeCell ref="H61:X61"/>
    <mergeCell ref="A68:G72"/>
    <mergeCell ref="AC68:AG72"/>
    <mergeCell ref="U71:W71"/>
    <mergeCell ref="Z71:AB71"/>
    <mergeCell ref="A63:G67"/>
    <mergeCell ref="AC63:AG67"/>
    <mergeCell ref="AH73:AM77"/>
    <mergeCell ref="AN73:AR77"/>
    <mergeCell ref="AS73:AW77"/>
    <mergeCell ref="AH63:AM67"/>
    <mergeCell ref="AN63:AR67"/>
    <mergeCell ref="AS63:AW67"/>
    <mergeCell ref="AX73:BB77"/>
    <mergeCell ref="H74:M74"/>
    <mergeCell ref="N74:P74"/>
    <mergeCell ref="R74:V74"/>
    <mergeCell ref="I76:K76"/>
    <mergeCell ref="AH68:AM72"/>
    <mergeCell ref="AN68:AR72"/>
    <mergeCell ref="AS68:AW72"/>
    <mergeCell ref="AX68:BB72"/>
    <mergeCell ref="H69:M69"/>
    <mergeCell ref="N69:P69"/>
    <mergeCell ref="R69:V69"/>
    <mergeCell ref="I71:K71"/>
    <mergeCell ref="M71:O71"/>
    <mergeCell ref="Q71:S71"/>
    <mergeCell ref="M76:O76"/>
    <mergeCell ref="Q76:S76"/>
    <mergeCell ref="U76:W76"/>
    <mergeCell ref="Z76:AB76"/>
    <mergeCell ref="A78:G82"/>
    <mergeCell ref="AC78:AG82"/>
    <mergeCell ref="U81:W81"/>
    <mergeCell ref="Z81:AB81"/>
    <mergeCell ref="A73:G77"/>
    <mergeCell ref="AC73:AG77"/>
    <mergeCell ref="AH78:AM82"/>
    <mergeCell ref="AN78:AR82"/>
    <mergeCell ref="AS78:AW82"/>
    <mergeCell ref="AX78:BB82"/>
    <mergeCell ref="H79:M79"/>
    <mergeCell ref="N79:P79"/>
    <mergeCell ref="R79:V79"/>
    <mergeCell ref="I81:K81"/>
    <mergeCell ref="M81:O81"/>
    <mergeCell ref="Q81:S81"/>
    <mergeCell ref="AS83:AW83"/>
    <mergeCell ref="AX83:BB83"/>
    <mergeCell ref="AO84:AR84"/>
    <mergeCell ref="AS84:AW84"/>
    <mergeCell ref="AX84:BB84"/>
    <mergeCell ref="A86:N86"/>
    <mergeCell ref="O86:AN86"/>
    <mergeCell ref="AO86:AU86"/>
    <mergeCell ref="AV86:BB86"/>
    <mergeCell ref="AV92:BB92"/>
    <mergeCell ref="A93:P93"/>
    <mergeCell ref="Q93:W93"/>
    <mergeCell ref="X93:AD93"/>
    <mergeCell ref="AE93:AL93"/>
    <mergeCell ref="AM93:AU93"/>
    <mergeCell ref="AV93:BB93"/>
    <mergeCell ref="O87:AN87"/>
    <mergeCell ref="AO87:AU87"/>
    <mergeCell ref="AV87:BB87"/>
    <mergeCell ref="AO88:AU88"/>
    <mergeCell ref="AV88:BB88"/>
    <mergeCell ref="A92:P92"/>
    <mergeCell ref="Q92:W92"/>
    <mergeCell ref="X92:AD92"/>
    <mergeCell ref="AE92:AL92"/>
    <mergeCell ref="AM92:AU92"/>
    <mergeCell ref="AV95:BB95"/>
    <mergeCell ref="A96:P96"/>
    <mergeCell ref="AE96:AL96"/>
    <mergeCell ref="AN96:AP96"/>
    <mergeCell ref="AQ96:AT96"/>
    <mergeCell ref="AV96:BB96"/>
    <mergeCell ref="A94:P94"/>
    <mergeCell ref="Q94:W97"/>
    <mergeCell ref="X94:AD97"/>
    <mergeCell ref="AE94:AL94"/>
    <mergeCell ref="AM94:AU94"/>
    <mergeCell ref="AV94:BB94"/>
    <mergeCell ref="A95:P95"/>
    <mergeCell ref="AE95:AL95"/>
    <mergeCell ref="AN95:AP95"/>
    <mergeCell ref="AQ95:AT95"/>
    <mergeCell ref="A97:P97"/>
    <mergeCell ref="AE97:AL97"/>
    <mergeCell ref="AV97:BB97"/>
    <mergeCell ref="A98:P98"/>
    <mergeCell ref="Q98:W98"/>
    <mergeCell ref="X98:AD98"/>
    <mergeCell ref="AE98:AL98"/>
    <mergeCell ref="AM98:AU98"/>
    <mergeCell ref="AV98:BB98"/>
    <mergeCell ref="A102:Z102"/>
    <mergeCell ref="AA102:AF102"/>
    <mergeCell ref="AG102:AL102"/>
    <mergeCell ref="AM102:AT102"/>
    <mergeCell ref="AU102:BB102"/>
    <mergeCell ref="A103:Z103"/>
    <mergeCell ref="AA103:AF103"/>
    <mergeCell ref="AG103:AL103"/>
    <mergeCell ref="AM103:AT103"/>
    <mergeCell ref="AU103:BB103"/>
    <mergeCell ref="AU106:BB106"/>
    <mergeCell ref="A107:Z107"/>
    <mergeCell ref="AA107:AF107"/>
    <mergeCell ref="AU107:BB107"/>
    <mergeCell ref="A108:Z108"/>
    <mergeCell ref="AA108:AF108"/>
    <mergeCell ref="AU108:BB108"/>
    <mergeCell ref="A104:Z104"/>
    <mergeCell ref="AA104:AF104"/>
    <mergeCell ref="AG104:AL124"/>
    <mergeCell ref="AM104:AT124"/>
    <mergeCell ref="AU104:BB104"/>
    <mergeCell ref="A105:Z105"/>
    <mergeCell ref="AA105:AF105"/>
    <mergeCell ref="AU105:BB105"/>
    <mergeCell ref="A106:Z106"/>
    <mergeCell ref="AA106:AF106"/>
    <mergeCell ref="A111:Z111"/>
    <mergeCell ref="AA111:AF111"/>
    <mergeCell ref="AU111:BB111"/>
    <mergeCell ref="A112:Z112"/>
    <mergeCell ref="AA112:AF112"/>
    <mergeCell ref="AU112:BB112"/>
    <mergeCell ref="A109:Z109"/>
    <mergeCell ref="AA109:AF109"/>
    <mergeCell ref="AU109:BB109"/>
    <mergeCell ref="A110:Z110"/>
    <mergeCell ref="AA110:AF110"/>
    <mergeCell ref="AU110:BB110"/>
    <mergeCell ref="A115:Z115"/>
    <mergeCell ref="AA115:AF115"/>
    <mergeCell ref="AU115:BB115"/>
    <mergeCell ref="A116:Z116"/>
    <mergeCell ref="AA116:AF116"/>
    <mergeCell ref="AU116:BB116"/>
    <mergeCell ref="A113:Z113"/>
    <mergeCell ref="AA113:AF113"/>
    <mergeCell ref="AU113:BB113"/>
    <mergeCell ref="A114:Z114"/>
    <mergeCell ref="AA114:AF114"/>
    <mergeCell ref="AU114:BB114"/>
    <mergeCell ref="A119:Z119"/>
    <mergeCell ref="AA119:AF119"/>
    <mergeCell ref="AU119:BB119"/>
    <mergeCell ref="A120:Z120"/>
    <mergeCell ref="AA120:AF120"/>
    <mergeCell ref="AU120:BB120"/>
    <mergeCell ref="A117:Z117"/>
    <mergeCell ref="AA117:AF117"/>
    <mergeCell ref="AU117:BB117"/>
    <mergeCell ref="A118:Z118"/>
    <mergeCell ref="AA118:AF118"/>
    <mergeCell ref="AU118:BB118"/>
    <mergeCell ref="A123:Z123"/>
    <mergeCell ref="AA123:AF123"/>
    <mergeCell ref="AU123:BB123"/>
    <mergeCell ref="A124:Z124"/>
    <mergeCell ref="AA124:AF124"/>
    <mergeCell ref="AU124:BB124"/>
    <mergeCell ref="A121:Z121"/>
    <mergeCell ref="AA121:AF121"/>
    <mergeCell ref="AU121:BB121"/>
    <mergeCell ref="A122:Z122"/>
    <mergeCell ref="AA122:AF122"/>
    <mergeCell ref="AU122:BB122"/>
    <mergeCell ref="A125:Z125"/>
    <mergeCell ref="AA125:AF125"/>
    <mergeCell ref="AG125:AL125"/>
    <mergeCell ref="AM125:AT125"/>
    <mergeCell ref="AU125:BB125"/>
    <mergeCell ref="A129:Z129"/>
    <mergeCell ref="AA129:AF129"/>
    <mergeCell ref="AG129:AL129"/>
    <mergeCell ref="AM129:AT129"/>
    <mergeCell ref="AU129:BB129"/>
    <mergeCell ref="A132:Z132"/>
    <mergeCell ref="AA132:AF132"/>
    <mergeCell ref="AU132:BB132"/>
    <mergeCell ref="A133:Z133"/>
    <mergeCell ref="AA133:AF133"/>
    <mergeCell ref="AU133:BB133"/>
    <mergeCell ref="A130:Z130"/>
    <mergeCell ref="AA130:AF130"/>
    <mergeCell ref="AG130:AL130"/>
    <mergeCell ref="AM130:AT130"/>
    <mergeCell ref="AU130:BB130"/>
    <mergeCell ref="A131:Z131"/>
    <mergeCell ref="AA131:AF131"/>
    <mergeCell ref="AG131:AL136"/>
    <mergeCell ref="AM131:AT136"/>
    <mergeCell ref="AU131:BB131"/>
    <mergeCell ref="A136:Z136"/>
    <mergeCell ref="AA136:AF136"/>
    <mergeCell ref="AU136:BB136"/>
    <mergeCell ref="A137:Z137"/>
    <mergeCell ref="AA137:AF137"/>
    <mergeCell ref="AG137:AL137"/>
    <mergeCell ref="AM137:AT137"/>
    <mergeCell ref="AU137:BB137"/>
    <mergeCell ref="A134:Z134"/>
    <mergeCell ref="AA134:AF134"/>
    <mergeCell ref="AU134:BB134"/>
    <mergeCell ref="A135:Z135"/>
    <mergeCell ref="AA135:AF135"/>
    <mergeCell ref="AU135:BB135"/>
    <mergeCell ref="AD141:AP141"/>
    <mergeCell ref="AQ141:BB141"/>
    <mergeCell ref="H142:L142"/>
    <mergeCell ref="M142:Q142"/>
    <mergeCell ref="AD142:AI142"/>
    <mergeCell ref="AJ142:AP142"/>
    <mergeCell ref="AQ142:BB142"/>
    <mergeCell ref="A141:G142"/>
    <mergeCell ref="H141:L141"/>
    <mergeCell ref="M141:Q141"/>
    <mergeCell ref="R141:U142"/>
    <mergeCell ref="V141:Y142"/>
    <mergeCell ref="Z141:AC142"/>
    <mergeCell ref="AJ144:AP144"/>
    <mergeCell ref="AQ144:BB144"/>
    <mergeCell ref="A145:G145"/>
    <mergeCell ref="H145:L145"/>
    <mergeCell ref="M145:Q145"/>
    <mergeCell ref="AD145:AI145"/>
    <mergeCell ref="AJ145:AP145"/>
    <mergeCell ref="AQ145:BB145"/>
    <mergeCell ref="AD143:AI143"/>
    <mergeCell ref="AJ143:AP143"/>
    <mergeCell ref="AQ143:BB143"/>
    <mergeCell ref="A144:G144"/>
    <mergeCell ref="H144:L144"/>
    <mergeCell ref="M144:Q144"/>
    <mergeCell ref="R144:U147"/>
    <mergeCell ref="V144:Y147"/>
    <mergeCell ref="Z144:AC147"/>
    <mergeCell ref="AD144:AI144"/>
    <mergeCell ref="A143:G143"/>
    <mergeCell ref="H143:L143"/>
    <mergeCell ref="M143:Q143"/>
    <mergeCell ref="R143:U143"/>
    <mergeCell ref="V143:Y143"/>
    <mergeCell ref="Z143:AC143"/>
    <mergeCell ref="A147:G147"/>
    <mergeCell ref="H147:L147"/>
    <mergeCell ref="M147:Q147"/>
    <mergeCell ref="AD147:AI147"/>
    <mergeCell ref="AJ147:AP147"/>
    <mergeCell ref="AQ147:BB147"/>
    <mergeCell ref="A146:G146"/>
    <mergeCell ref="H146:L146"/>
    <mergeCell ref="M146:Q146"/>
    <mergeCell ref="AD146:AI146"/>
    <mergeCell ref="AJ146:AP146"/>
    <mergeCell ref="AQ146:BB146"/>
    <mergeCell ref="AD148:AI148"/>
    <mergeCell ref="AJ148:AP148"/>
    <mergeCell ref="AQ148:BB148"/>
    <mergeCell ref="A149:F149"/>
    <mergeCell ref="H149:L149"/>
    <mergeCell ref="M149:Q149"/>
    <mergeCell ref="R149:U149"/>
    <mergeCell ref="V149:Y149"/>
    <mergeCell ref="Z149:AC149"/>
    <mergeCell ref="AD149:AI149"/>
    <mergeCell ref="A148:G148"/>
    <mergeCell ref="H148:L148"/>
    <mergeCell ref="M148:Q148"/>
    <mergeCell ref="R148:U148"/>
    <mergeCell ref="V148:Y148"/>
    <mergeCell ref="Z148:AC148"/>
    <mergeCell ref="AQ150:BB150"/>
    <mergeCell ref="AJ149:AP149"/>
    <mergeCell ref="AQ149:BB149"/>
    <mergeCell ref="A150:G150"/>
    <mergeCell ref="H150:L150"/>
    <mergeCell ref="M150:Q150"/>
    <mergeCell ref="R150:U150"/>
    <mergeCell ref="V150:Y150"/>
    <mergeCell ref="Z150:AC150"/>
    <mergeCell ref="AD150:AI150"/>
    <mergeCell ref="AJ150:AP150"/>
    <mergeCell ref="AM153:BB153"/>
    <mergeCell ref="B153:S153"/>
    <mergeCell ref="BC153:BD153"/>
    <mergeCell ref="B154:S155"/>
    <mergeCell ref="AM154:BC155"/>
    <mergeCell ref="AS164:BO164"/>
    <mergeCell ref="AS172:BO172"/>
    <mergeCell ref="AS173:AU173"/>
    <mergeCell ref="AV173:AZ173"/>
    <mergeCell ref="AS168:AU168"/>
    <mergeCell ref="AW168:BA168"/>
    <mergeCell ref="BB168:BH168"/>
    <mergeCell ref="AS165:AU165"/>
    <mergeCell ref="AV165:AZ165"/>
    <mergeCell ref="AS166:AU166"/>
    <mergeCell ref="AW166:BA166"/>
    <mergeCell ref="BB166:BH166"/>
    <mergeCell ref="BB159:BH159"/>
    <mergeCell ref="AS157:BO157"/>
    <mergeCell ref="AS158:AU158"/>
    <mergeCell ref="AV158:AZ158"/>
    <mergeCell ref="AW161:BA161"/>
    <mergeCell ref="BB161:BH161"/>
    <mergeCell ref="AS159:AU159"/>
    <mergeCell ref="BB176:BH176"/>
    <mergeCell ref="AS174:AU174"/>
    <mergeCell ref="AW174:BA174"/>
    <mergeCell ref="BB174:BH174"/>
    <mergeCell ref="BR174:BW174"/>
    <mergeCell ref="BZ174:CG174"/>
    <mergeCell ref="AS175:AU175"/>
    <mergeCell ref="AW175:BA175"/>
    <mergeCell ref="BB175:BH175"/>
    <mergeCell ref="BR175:BW175"/>
    <mergeCell ref="BZ175:CG175"/>
    <mergeCell ref="AV5:BB5"/>
    <mergeCell ref="AP2:BA2"/>
    <mergeCell ref="BR206:BW206"/>
    <mergeCell ref="BZ206:CG206"/>
    <mergeCell ref="AS207:AU207"/>
    <mergeCell ref="AW207:BA207"/>
    <mergeCell ref="BB207:BH207"/>
    <mergeCell ref="BR207:BW207"/>
    <mergeCell ref="BZ207:CG207"/>
    <mergeCell ref="AS196:BO196"/>
    <mergeCell ref="AS197:AU197"/>
    <mergeCell ref="AV197:AZ197"/>
    <mergeCell ref="AS198:AU198"/>
    <mergeCell ref="AW198:BA198"/>
    <mergeCell ref="BB198:BH198"/>
    <mergeCell ref="BR198:BW198"/>
    <mergeCell ref="BZ198:CG198"/>
    <mergeCell ref="AS199:AU199"/>
    <mergeCell ref="AW199:BA199"/>
    <mergeCell ref="BB199:BH199"/>
    <mergeCell ref="BR199:BW199"/>
    <mergeCell ref="BZ199:CG199"/>
    <mergeCell ref="AS176:AU176"/>
    <mergeCell ref="AW176:BA176"/>
    <mergeCell ref="BZ221:CG221"/>
    <mergeCell ref="AS222:AU222"/>
    <mergeCell ref="AW222:BA222"/>
    <mergeCell ref="BB222:BH222"/>
    <mergeCell ref="BR222:BW222"/>
    <mergeCell ref="BZ222:CG222"/>
    <mergeCell ref="AS223:AU223"/>
    <mergeCell ref="AW223:BA223"/>
    <mergeCell ref="BB223:BH223"/>
    <mergeCell ref="BZ229:CG229"/>
    <mergeCell ref="AS230:AU230"/>
    <mergeCell ref="AW230:BA230"/>
    <mergeCell ref="BB230:BH230"/>
    <mergeCell ref="BR230:BW230"/>
    <mergeCell ref="BZ230:CG230"/>
    <mergeCell ref="BR245:BW245"/>
    <mergeCell ref="BZ245:CG245"/>
    <mergeCell ref="AS246:AU246"/>
    <mergeCell ref="AW246:BA246"/>
    <mergeCell ref="BB246:BH246"/>
    <mergeCell ref="BR246:BW246"/>
    <mergeCell ref="BZ246:CG246"/>
    <mergeCell ref="AS231:AU231"/>
    <mergeCell ref="AW231:BA231"/>
    <mergeCell ref="BB231:BH231"/>
    <mergeCell ref="BR237:BW237"/>
    <mergeCell ref="BZ237:CG237"/>
    <mergeCell ref="AS238:AU238"/>
    <mergeCell ref="AW238:BA238"/>
    <mergeCell ref="BB238:BH238"/>
    <mergeCell ref="BR238:BW238"/>
    <mergeCell ref="BZ238:CG238"/>
    <mergeCell ref="AS247:AU247"/>
    <mergeCell ref="AW247:BA247"/>
    <mergeCell ref="BB247:BH247"/>
    <mergeCell ref="AS243:BO243"/>
    <mergeCell ref="AS244:AU244"/>
    <mergeCell ref="AV244:AZ244"/>
    <mergeCell ref="AS245:AU245"/>
    <mergeCell ref="AW245:BA245"/>
    <mergeCell ref="BB245:BH245"/>
  </mergeCells>
  <pageMargins left="0" right="0" top="0" bottom="0" header="0.31496062992125984" footer="0.31496062992125984"/>
  <pageSetup paperSize="9" scale="74" fitToHeight="0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27</vt:i4>
      </vt:variant>
      <vt:variant>
        <vt:lpstr>Именованные диапазоны</vt:lpstr>
      </vt:variant>
      <vt:variant>
        <vt:i4>24</vt:i4>
      </vt:variant>
    </vt:vector>
  </HeadingPairs>
  <TitlesOfParts>
    <vt:vector size="51" baseType="lpstr">
      <vt:lpstr>Step by step</vt:lpstr>
      <vt:lpstr>занимат матем</vt:lpstr>
      <vt:lpstr>капелька</vt:lpstr>
      <vt:lpstr>богатырь</vt:lpstr>
      <vt:lpstr>джунгли зовут</vt:lpstr>
      <vt:lpstr>Тиммоко</vt:lpstr>
      <vt:lpstr>Эстет.занятие по хореографии</vt:lpstr>
      <vt:lpstr>дельфиненок в бассейне</vt:lpstr>
      <vt:lpstr>"День именинника" </vt:lpstr>
      <vt:lpstr>Мини-футбол</vt:lpstr>
      <vt:lpstr>Мир ЛЕГО</vt:lpstr>
      <vt:lpstr>Компьютерная азбука</vt:lpstr>
      <vt:lpstr>Веселые ладошки</vt:lpstr>
      <vt:lpstr>Занимательная логика</vt:lpstr>
      <vt:lpstr>Юный Эйнштейн</vt:lpstr>
      <vt:lpstr>Юный гончар</vt:lpstr>
      <vt:lpstr>СИРС</vt:lpstr>
      <vt:lpstr>Дельфин</vt:lpstr>
      <vt:lpstr>Капитошка 2021</vt:lpstr>
      <vt:lpstr>АБВГДейка</vt:lpstr>
      <vt:lpstr>Сказочная рыбка</vt:lpstr>
      <vt:lpstr>Звукарик</vt:lpstr>
      <vt:lpstr>Тхэквандо ВТФ</vt:lpstr>
      <vt:lpstr>игры с тимокко</vt:lpstr>
      <vt:lpstr>расчет договоров на 2-е полугод</vt:lpstr>
      <vt:lpstr>расчет договоров нв 1 полугодие</vt:lpstr>
      <vt:lpstr>Расчет для контрактов</vt:lpstr>
      <vt:lpstr>'"День именинника" '!Область_печати</vt:lpstr>
      <vt:lpstr>'Step by step'!Область_печати</vt:lpstr>
      <vt:lpstr>АБВГДейка!Область_печати</vt:lpstr>
      <vt:lpstr>богатырь!Область_печати</vt:lpstr>
      <vt:lpstr>'Веселые ладошки'!Область_печати</vt:lpstr>
      <vt:lpstr>Дельфин!Область_печати</vt:lpstr>
      <vt:lpstr>'дельфиненок в бассейне'!Область_печати</vt:lpstr>
      <vt:lpstr>'джунгли зовут'!Область_печати</vt:lpstr>
      <vt:lpstr>'занимат матем'!Область_печати</vt:lpstr>
      <vt:lpstr>'Занимательная логика'!Область_печати</vt:lpstr>
      <vt:lpstr>Звукарик!Область_печати</vt:lpstr>
      <vt:lpstr>'игры с тимокко'!Область_печати</vt:lpstr>
      <vt:lpstr>капелька!Область_печати</vt:lpstr>
      <vt:lpstr>'Капитошка 2021'!Область_печати</vt:lpstr>
      <vt:lpstr>'Компьютерная азбука'!Область_печати</vt:lpstr>
      <vt:lpstr>'Мини-футбол'!Область_печати</vt:lpstr>
      <vt:lpstr>'Мир ЛЕГО'!Область_печати</vt:lpstr>
      <vt:lpstr>СИРС!Область_печати</vt:lpstr>
      <vt:lpstr>'Сказочная рыбка'!Область_печати</vt:lpstr>
      <vt:lpstr>Тиммоко!Область_печати</vt:lpstr>
      <vt:lpstr>'Тхэквандо ВТФ'!Область_печати</vt:lpstr>
      <vt:lpstr>'Эстет.занятие по хореографии'!Область_печати</vt:lpstr>
      <vt:lpstr>'Юный гончар'!Область_печати</vt:lpstr>
      <vt:lpstr>'Юный Эйнштейн'!Область_печати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Наталья Чепурнова</dc:creator>
  <cp:lastModifiedBy>Сергей</cp:lastModifiedBy>
  <cp:lastPrinted>2021-04-12T06:12:53Z</cp:lastPrinted>
  <dcterms:created xsi:type="dcterms:W3CDTF">2014-07-14T04:43:00Z</dcterms:created>
  <dcterms:modified xsi:type="dcterms:W3CDTF">2021-05-06T07:15:14Z</dcterms:modified>
</cp:coreProperties>
</file>